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C:\Users\bissellge\Desktop\NYPA 2023 Update\"/>
    </mc:Choice>
  </mc:AlternateContent>
  <xr:revisionPtr revIDLastSave="0" documentId="8_{D35E150C-6E99-480D-AB9B-EA433374F345}" xr6:coauthVersionLast="47" xr6:coauthVersionMax="47" xr10:uidLastSave="{00000000-0000-0000-0000-000000000000}"/>
  <bookViews>
    <workbookView xWindow="-108" yWindow="-108" windowWidth="23256" windowHeight="14016" tabRatio="847" xr2:uid="{00000000-000D-0000-FFFF-FFFF00000000}"/>
  </bookViews>
  <sheets>
    <sheet name="Index" sheetId="1" r:id="rId1"/>
    <sheet name="SUMMARY" sheetId="2" r:id="rId2"/>
    <sheet name="A1-O&amp;M" sheetId="3" r:id="rId3"/>
    <sheet name="A2-A&amp;G" sheetId="4" r:id="rId4"/>
    <sheet name="B1-Depn" sheetId="5" r:id="rId5"/>
    <sheet name="B2-Plant" sheetId="6" r:id="rId6"/>
    <sheet name="B3-Depn Rates" sheetId="7" r:id="rId7"/>
    <sheet name="C1-Rate Base" sheetId="8" r:id="rId8"/>
    <sheet name="D1-Cap Structure" sheetId="9" r:id="rId9"/>
    <sheet name="D2-Project Cap Structures" sheetId="10" r:id="rId10"/>
    <sheet name="E1-Allocator" sheetId="11" r:id="rId11"/>
    <sheet name="F1-Proj RR" sheetId="12" r:id="rId12"/>
    <sheet name="F2-Incentives" sheetId="13" r:id="rId13"/>
    <sheet name="F3-True-Up" sheetId="14" r:id="rId14"/>
    <sheet name="WP-AA" sheetId="15" r:id="rId15"/>
    <sheet name="WP-AB" sheetId="16" r:id="rId16"/>
    <sheet name="WP-AC" sheetId="17" r:id="rId17"/>
    <sheet name="WP-AD" sheetId="18" r:id="rId18"/>
    <sheet name="WP-AE" sheetId="19" r:id="rId19"/>
    <sheet name="WP-AF" sheetId="20" r:id="rId20"/>
    <sheet name="WP-AG" sheetId="21" r:id="rId21"/>
    <sheet name="WP-AH" sheetId="22" r:id="rId22"/>
    <sheet name="WP-AI" sheetId="23" r:id="rId23"/>
    <sheet name="WP-BA" sheetId="24" r:id="rId24"/>
    <sheet name="WP-BB" sheetId="25" r:id="rId25"/>
    <sheet name="WP-BC" sheetId="26" r:id="rId26"/>
    <sheet name="WP-BD" sheetId="27" r:id="rId27"/>
    <sheet name="WP-BE" sheetId="28" r:id="rId28"/>
    <sheet name="WP-BF" sheetId="29" r:id="rId29"/>
    <sheet name="WP-BG" sheetId="30" r:id="rId30"/>
    <sheet name="WP-BH" sheetId="31" r:id="rId31"/>
    <sheet name="WP-BI" sheetId="32" r:id="rId32"/>
    <sheet name="WP-BJ" sheetId="42" r:id="rId33"/>
    <sheet name="WP-CA" sheetId="33" r:id="rId34"/>
    <sheet name="WP-CB" sheetId="34" r:id="rId35"/>
    <sheet name="WP-DA" sheetId="35" r:id="rId36"/>
    <sheet name="WP-DB" sheetId="36" r:id="rId37"/>
    <sheet name="WP-EA" sheetId="37" r:id="rId38"/>
    <sheet name="WP-AR-IS" sheetId="38" r:id="rId39"/>
    <sheet name="WP-AR-BS" sheetId="39" r:id="rId40"/>
    <sheet name="WP-AR-Cap Assets" sheetId="40" r:id="rId41"/>
    <sheet name="WP-Reconciliations" sheetId="41" r:id="rId42"/>
  </sheets>
  <definedNames>
    <definedName name="_xlnm._FilterDatabase" localSheetId="24" hidden="1">'WP-BB'!$A$18:$AD$147</definedName>
    <definedName name="_xlnm._FilterDatabase" localSheetId="25" hidden="1">'WP-BC'!$A$13:$N$13</definedName>
    <definedName name="_Key1" localSheetId="9" hidden="1">#REF!</definedName>
    <definedName name="_Key1" localSheetId="39" hidden="1">#REF!</definedName>
    <definedName name="_Key1" localSheetId="38" hidden="1">#REF!</definedName>
    <definedName name="_Key1" localSheetId="24" hidden="1">#REF!</definedName>
    <definedName name="_Key1" localSheetId="25" hidden="1">#REF!</definedName>
    <definedName name="_Key1" hidden="1">#REF!</definedName>
    <definedName name="_Order1" hidden="1">255</definedName>
    <definedName name="_Sort" localSheetId="9" hidden="1">#REF!</definedName>
    <definedName name="_Sort" localSheetId="39" hidden="1">#REF!</definedName>
    <definedName name="_Sort" localSheetId="38" hidden="1">#REF!</definedName>
    <definedName name="_Sort" localSheetId="24" hidden="1">#REF!</definedName>
    <definedName name="_Sort" localSheetId="25" hidden="1">#REF!</definedName>
    <definedName name="_Sort" hidden="1">#REF!</definedName>
    <definedName name="ASH_KENSICO" localSheetId="4">#REF!</definedName>
    <definedName name="ASH_KENSICO" localSheetId="9">#REF!</definedName>
    <definedName name="ASH_KENSICO" localSheetId="16">#REF!</definedName>
    <definedName name="ASH_KENSICO" localSheetId="17">#REF!</definedName>
    <definedName name="ASH_KENSICO" localSheetId="20">#REF!</definedName>
    <definedName name="ASH_KENSICO" localSheetId="21">#REF!</definedName>
    <definedName name="ASH_KENSICO" localSheetId="39">#REF!</definedName>
    <definedName name="ASH_KENSICO" localSheetId="38">#REF!</definedName>
    <definedName name="ASH_KENSICO" localSheetId="23">#REF!</definedName>
    <definedName name="ASH_KENSICO" localSheetId="24">#REF!</definedName>
    <definedName name="ASH_KENSICO" localSheetId="25">#REF!</definedName>
    <definedName name="ASH_KENSICO" localSheetId="34">#REF!</definedName>
    <definedName name="ASH_KENSICO" localSheetId="37">#REF!</definedName>
    <definedName name="ASH_KENSICO">#REF!</definedName>
    <definedName name="BLEN_GILBOA" localSheetId="4">#REF!</definedName>
    <definedName name="BLEN_GILBOA" localSheetId="9">#REF!</definedName>
    <definedName name="BLEN_GILBOA" localSheetId="16">#REF!</definedName>
    <definedName name="BLEN_GILBOA" localSheetId="17">#REF!</definedName>
    <definedName name="BLEN_GILBOA" localSheetId="20">#REF!</definedName>
    <definedName name="BLEN_GILBOA" localSheetId="21">#REF!</definedName>
    <definedName name="BLEN_GILBOA" localSheetId="39">#REF!</definedName>
    <definedName name="BLEN_GILBOA" localSheetId="38">#REF!</definedName>
    <definedName name="BLEN_GILBOA" localSheetId="23">#REF!</definedName>
    <definedName name="BLEN_GILBOA" localSheetId="24">#REF!</definedName>
    <definedName name="BLEN_GILBOA" localSheetId="25">#REF!</definedName>
    <definedName name="BLEN_GILBOA" localSheetId="34">#REF!</definedName>
    <definedName name="BLEN_GILBOA" localSheetId="37">#REF!</definedName>
    <definedName name="BLEN_GILBOA">#REF!</definedName>
    <definedName name="FACILITY" localSheetId="4">#REF!</definedName>
    <definedName name="FACILITY" localSheetId="9">#REF!</definedName>
    <definedName name="FACILITY" localSheetId="16">#REF!</definedName>
    <definedName name="FACILITY" localSheetId="17">#REF!</definedName>
    <definedName name="FACILITY" localSheetId="20">#REF!</definedName>
    <definedName name="FACILITY" localSheetId="21">#REF!</definedName>
    <definedName name="FACILITY" localSheetId="39">#REF!</definedName>
    <definedName name="FACILITY" localSheetId="38">#REF!</definedName>
    <definedName name="FACILITY" localSheetId="23">#REF!</definedName>
    <definedName name="FACILITY" localSheetId="24">#REF!</definedName>
    <definedName name="FACILITY" localSheetId="25">#REF!</definedName>
    <definedName name="FACILITY" localSheetId="34">#REF!</definedName>
    <definedName name="FACILITY" localSheetId="37">#REF!</definedName>
    <definedName name="FACILITY">#REF!</definedName>
    <definedName name="FITZPATRICK" localSheetId="4">#REF!</definedName>
    <definedName name="FITZPATRICK" localSheetId="9">#REF!</definedName>
    <definedName name="FITZPATRICK" localSheetId="16">#REF!</definedName>
    <definedName name="FITZPATRICK" localSheetId="17">#REF!</definedName>
    <definedName name="FITZPATRICK" localSheetId="20">#REF!</definedName>
    <definedName name="FITZPATRICK" localSheetId="21">#REF!</definedName>
    <definedName name="FITZPATRICK" localSheetId="39">#REF!</definedName>
    <definedName name="FITZPATRICK" localSheetId="38">#REF!</definedName>
    <definedName name="FITZPATRICK" localSheetId="23">#REF!</definedName>
    <definedName name="FITZPATRICK" localSheetId="24">#REF!</definedName>
    <definedName name="FITZPATRICK" localSheetId="25">#REF!</definedName>
    <definedName name="FITZPATRICK" localSheetId="34">#REF!</definedName>
    <definedName name="FITZPATRICK" localSheetId="37">#REF!</definedName>
    <definedName name="FITZPATRICK">#REF!</definedName>
    <definedName name="FLYNN" localSheetId="4">#REF!</definedName>
    <definedName name="FLYNN" localSheetId="9">#REF!</definedName>
    <definedName name="FLYNN" localSheetId="16">#REF!</definedName>
    <definedName name="FLYNN" localSheetId="17">#REF!</definedName>
    <definedName name="FLYNN" localSheetId="20">#REF!</definedName>
    <definedName name="FLYNN" localSheetId="21">#REF!</definedName>
    <definedName name="FLYNN" localSheetId="39">#REF!</definedName>
    <definedName name="FLYNN" localSheetId="38">#REF!</definedName>
    <definedName name="FLYNN" localSheetId="23">#REF!</definedName>
    <definedName name="FLYNN" localSheetId="24">#REF!</definedName>
    <definedName name="FLYNN" localSheetId="25">#REF!</definedName>
    <definedName name="FLYNN" localSheetId="34">#REF!</definedName>
    <definedName name="FLYNN" localSheetId="37">#REF!</definedName>
    <definedName name="FLYNN">#REF!</definedName>
    <definedName name="FUNCTION" localSheetId="4">#REF!</definedName>
    <definedName name="FUNCTION" localSheetId="9">#REF!</definedName>
    <definedName name="FUNCTION" localSheetId="16">#REF!</definedName>
    <definedName name="FUNCTION" localSheetId="17">#REF!</definedName>
    <definedName name="FUNCTION" localSheetId="20">#REF!</definedName>
    <definedName name="FUNCTION" localSheetId="21">#REF!</definedName>
    <definedName name="FUNCTION" localSheetId="39">#REF!</definedName>
    <definedName name="FUNCTION" localSheetId="38">#REF!</definedName>
    <definedName name="FUNCTION" localSheetId="23">#REF!</definedName>
    <definedName name="FUNCTION" localSheetId="24">#REF!</definedName>
    <definedName name="FUNCTION" localSheetId="25">#REF!</definedName>
    <definedName name="FUNCTION" localSheetId="34">#REF!</definedName>
    <definedName name="FUNCTION" localSheetId="37">#REF!</definedName>
    <definedName name="FUNCTION">#REF!</definedName>
    <definedName name="GPLTdist">#REF!</definedName>
    <definedName name="GPLTprod">#REF!</definedName>
    <definedName name="GPLTtran">#REF!</definedName>
    <definedName name="HEADQUARTERS" localSheetId="4">#REF!</definedName>
    <definedName name="HEADQUARTERS" localSheetId="9">#REF!</definedName>
    <definedName name="HEADQUARTERS" localSheetId="16">#REF!</definedName>
    <definedName name="HEADQUARTERS" localSheetId="17">#REF!</definedName>
    <definedName name="HEADQUARTERS" localSheetId="20">#REF!</definedName>
    <definedName name="HEADQUARTERS" localSheetId="21">#REF!</definedName>
    <definedName name="HEADQUARTERS" localSheetId="39">#REF!</definedName>
    <definedName name="HEADQUARTERS" localSheetId="38">#REF!</definedName>
    <definedName name="HEADQUARTERS" localSheetId="23">#REF!</definedName>
    <definedName name="HEADQUARTERS" localSheetId="24">#REF!</definedName>
    <definedName name="HEADQUARTERS" localSheetId="25">#REF!</definedName>
    <definedName name="HEADQUARTERS" localSheetId="34">#REF!</definedName>
    <definedName name="HEADQUARTERS" localSheetId="37">#REF!</definedName>
    <definedName name="HEADQUARTERS">#REF!</definedName>
    <definedName name="INDIAN_PT_3" localSheetId="4">#REF!</definedName>
    <definedName name="INDIAN_PT_3" localSheetId="9">#REF!</definedName>
    <definedName name="INDIAN_PT_3" localSheetId="16">#REF!</definedName>
    <definedName name="INDIAN_PT_3" localSheetId="17">#REF!</definedName>
    <definedName name="INDIAN_PT_3" localSheetId="20">#REF!</definedName>
    <definedName name="INDIAN_PT_3" localSheetId="21">#REF!</definedName>
    <definedName name="INDIAN_PT_3" localSheetId="39">#REF!</definedName>
    <definedName name="INDIAN_PT_3" localSheetId="38">#REF!</definedName>
    <definedName name="INDIAN_PT_3" localSheetId="23">#REF!</definedName>
    <definedName name="INDIAN_PT_3" localSheetId="24">#REF!</definedName>
    <definedName name="INDIAN_PT_3" localSheetId="25">#REF!</definedName>
    <definedName name="INDIAN_PT_3" localSheetId="34">#REF!</definedName>
    <definedName name="INDIAN_PT_3" localSheetId="37">#REF!</definedName>
    <definedName name="INDIAN_PT_3">#REF!</definedName>
    <definedName name="L.I.SOUND" localSheetId="4">#REF!</definedName>
    <definedName name="L.I.SOUND" localSheetId="9">#REF!</definedName>
    <definedName name="L.I.SOUND" localSheetId="16">#REF!</definedName>
    <definedName name="L.I.SOUND" localSheetId="17">#REF!</definedName>
    <definedName name="L.I.SOUND" localSheetId="20">#REF!</definedName>
    <definedName name="L.I.SOUND" localSheetId="21">#REF!</definedName>
    <definedName name="L.I.SOUND" localSheetId="39">#REF!</definedName>
    <definedName name="L.I.SOUND" localSheetId="38">#REF!</definedName>
    <definedName name="L.I.SOUND" localSheetId="23">#REF!</definedName>
    <definedName name="L.I.SOUND" localSheetId="24">#REF!</definedName>
    <definedName name="L.I.SOUND" localSheetId="25">#REF!</definedName>
    <definedName name="L.I.SOUND" localSheetId="34">#REF!</definedName>
    <definedName name="L.I.SOUND" localSheetId="37">#REF!</definedName>
    <definedName name="L.I.SOUND">#REF!</definedName>
    <definedName name="MARCY_SOUTH" localSheetId="4">#REF!</definedName>
    <definedName name="MARCY_SOUTH" localSheetId="9">#REF!</definedName>
    <definedName name="MARCY_SOUTH" localSheetId="16">#REF!</definedName>
    <definedName name="MARCY_SOUTH" localSheetId="17">#REF!</definedName>
    <definedName name="MARCY_SOUTH" localSheetId="20">#REF!</definedName>
    <definedName name="MARCY_SOUTH" localSheetId="21">#REF!</definedName>
    <definedName name="MARCY_SOUTH" localSheetId="39">#REF!</definedName>
    <definedName name="MARCY_SOUTH" localSheetId="38">#REF!</definedName>
    <definedName name="MARCY_SOUTH" localSheetId="23">#REF!</definedName>
    <definedName name="MARCY_SOUTH" localSheetId="24">#REF!</definedName>
    <definedName name="MARCY_SOUTH" localSheetId="25">#REF!</definedName>
    <definedName name="MARCY_SOUTH" localSheetId="34">#REF!</definedName>
    <definedName name="MARCY_SOUTH" localSheetId="37">#REF!</definedName>
    <definedName name="MARCY_SOUTH">#REF!</definedName>
    <definedName name="MASS_MARCY" localSheetId="4">#REF!</definedName>
    <definedName name="MASS_MARCY" localSheetId="9">#REF!</definedName>
    <definedName name="MASS_MARCY" localSheetId="16">#REF!</definedName>
    <definedName name="MASS_MARCY" localSheetId="17">#REF!</definedName>
    <definedName name="MASS_MARCY" localSheetId="20">#REF!</definedName>
    <definedName name="MASS_MARCY" localSheetId="21">#REF!</definedName>
    <definedName name="MASS_MARCY" localSheetId="39">#REF!</definedName>
    <definedName name="MASS_MARCY" localSheetId="38">#REF!</definedName>
    <definedName name="MASS_MARCY" localSheetId="23">#REF!</definedName>
    <definedName name="MASS_MARCY" localSheetId="24">#REF!</definedName>
    <definedName name="MASS_MARCY" localSheetId="25">#REF!</definedName>
    <definedName name="MASS_MARCY" localSheetId="34">#REF!</definedName>
    <definedName name="MASS_MARCY" localSheetId="37">#REF!</definedName>
    <definedName name="MASS_MARCY">#REF!</definedName>
    <definedName name="NIAGARA" localSheetId="4">#REF!</definedName>
    <definedName name="NIAGARA" localSheetId="9">#REF!</definedName>
    <definedName name="NIAGARA" localSheetId="16">#REF!</definedName>
    <definedName name="NIAGARA" localSheetId="17">#REF!</definedName>
    <definedName name="NIAGARA" localSheetId="20">#REF!</definedName>
    <definedName name="NIAGARA" localSheetId="21">#REF!</definedName>
    <definedName name="NIAGARA" localSheetId="39">#REF!</definedName>
    <definedName name="NIAGARA" localSheetId="38">#REF!</definedName>
    <definedName name="NIAGARA" localSheetId="23">#REF!</definedName>
    <definedName name="NIAGARA" localSheetId="24">#REF!</definedName>
    <definedName name="NIAGARA" localSheetId="25">#REF!</definedName>
    <definedName name="NIAGARA" localSheetId="34">#REF!</definedName>
    <definedName name="NIAGARA" localSheetId="37">#REF!</definedName>
    <definedName name="NIAGARA">#REF!</definedName>
    <definedName name="NPLTDist">#REF!</definedName>
    <definedName name="NPLTPRod">#REF!</definedName>
    <definedName name="NPLTTran">#REF!</definedName>
    <definedName name="POLETTI" localSheetId="4">#REF!</definedName>
    <definedName name="POLETTI" localSheetId="9">#REF!</definedName>
    <definedName name="POLETTI" localSheetId="16">#REF!</definedName>
    <definedName name="POLETTI" localSheetId="17">#REF!</definedName>
    <definedName name="POLETTI" localSheetId="20">#REF!</definedName>
    <definedName name="POLETTI" localSheetId="21">#REF!</definedName>
    <definedName name="POLETTI" localSheetId="39">#REF!</definedName>
    <definedName name="POLETTI" localSheetId="38">#REF!</definedName>
    <definedName name="POLETTI" localSheetId="23">#REF!</definedName>
    <definedName name="POLETTI" localSheetId="24">#REF!</definedName>
    <definedName name="POLETTI" localSheetId="25">#REF!</definedName>
    <definedName name="POLETTI" localSheetId="34">#REF!</definedName>
    <definedName name="POLETTI" localSheetId="37">#REF!</definedName>
    <definedName name="POLETTI">#REF!</definedName>
    <definedName name="_xlnm.Print_Area" localSheetId="2">'A1-O&amp;M'!$A$1:$K$42</definedName>
    <definedName name="_xlnm.Print_Area" localSheetId="3">'A2-A&amp;G'!$A$1:$N$48</definedName>
    <definedName name="_xlnm.Print_Area" localSheetId="4">'B1-Depn'!$A$1:$Q$58</definedName>
    <definedName name="_xlnm.Print_Area" localSheetId="5">'B2-Plant'!$A$1:$V$65</definedName>
    <definedName name="_xlnm.Print_Area" localSheetId="6">'B3-Depn Rates'!$A$1:$Q$60</definedName>
    <definedName name="_xlnm.Print_Area" localSheetId="7">'C1-Rate Base'!$A$1:$R$50</definedName>
    <definedName name="_xlnm.Print_Area" localSheetId="8">'D1-Cap Structure'!$A$1:$L$32</definedName>
    <definedName name="_xlnm.Print_Area" localSheetId="10">'E1-Allocator'!$A$1:$I$38</definedName>
    <definedName name="_xlnm.Print_Area" localSheetId="11">'F1-Proj RR'!$A$1:$T$83</definedName>
    <definedName name="_xlnm.Print_Area" localSheetId="12">'F2-Incentives'!$A$1:$K$31</definedName>
    <definedName name="_xlnm.Print_Area" localSheetId="13">'F3-True-Up'!$A$1:$J$82</definedName>
    <definedName name="_xlnm.Print_Area" localSheetId="0">Index!$A$1:$D$51</definedName>
    <definedName name="_xlnm.Print_Area" localSheetId="1">SUMMARY!$A$1:$G$52</definedName>
    <definedName name="_xlnm.Print_Area" localSheetId="14">'WP-AA'!$A$1:$G$75</definedName>
    <definedName name="_xlnm.Print_Area" localSheetId="15">'WP-AB'!$A$1:$BA$75</definedName>
    <definedName name="_xlnm.Print_Area" localSheetId="16">'WP-AC'!$A$1:$H$25</definedName>
    <definedName name="_xlnm.Print_Area" localSheetId="17">'WP-AD'!$A$1:$G$25</definedName>
    <definedName name="_xlnm.Print_Area" localSheetId="18">'WP-AE'!$A$1:$J$34</definedName>
    <definedName name="_xlnm.Print_Area" localSheetId="19">'WP-AF'!$A$1:$I$25</definedName>
    <definedName name="_xlnm.Print_Area" localSheetId="20">'WP-AG'!$A$1:$M$38</definedName>
    <definedName name="_xlnm.Print_Area" localSheetId="21">'WP-AH'!$A$1:$L$40</definedName>
    <definedName name="_xlnm.Print_Area" localSheetId="22">'WP-AI'!$A$1:$K$27</definedName>
    <definedName name="_xlnm.Print_Area" localSheetId="39">'WP-AR-BS'!$A$1:$G$135</definedName>
    <definedName name="_xlnm.Print_Area" localSheetId="40">'WP-AR-Cap Assets'!$A$1:$P$57</definedName>
    <definedName name="_xlnm.Print_Area" localSheetId="38">'WP-AR-IS'!$A$1:$J$66</definedName>
    <definedName name="_xlnm.Print_Area" localSheetId="23">'WP-BA'!$B$1:$N$198</definedName>
    <definedName name="_xlnm.Print_Area" localSheetId="24">'WP-BB'!$E$1:$X$147</definedName>
    <definedName name="_xlnm.Print_Area" localSheetId="25">'WP-BC'!$B$1:$N$358</definedName>
    <definedName name="_xlnm.Print_Area" localSheetId="26">'WP-BD'!$A$1:$K$70</definedName>
    <definedName name="_xlnm.Print_Area" localSheetId="27">'WP-BE'!$A$1:$M$49</definedName>
    <definedName name="_xlnm.Print_Area" localSheetId="28">'WP-BF'!$A$1:$T$63</definedName>
    <definedName name="_xlnm.Print_Area" localSheetId="29">'WP-BG'!$A$1:$M$51</definedName>
    <definedName name="_xlnm.Print_Area" localSheetId="30">'WP-BH'!$A$1:$K$33</definedName>
    <definedName name="_xlnm.Print_Area" localSheetId="31">'WP-BI'!$A$1:$F$27</definedName>
    <definedName name="_xlnm.Print_Area" localSheetId="33">'WP-CA'!$A$1:$N$36</definedName>
    <definedName name="_xlnm.Print_Area" localSheetId="34">'WP-CB'!$A$1:$G$23</definedName>
    <definedName name="_xlnm.Print_Area" localSheetId="35">'WP-DA'!$A$1:$Q$51</definedName>
    <definedName name="_xlnm.Print_Area" localSheetId="36">'WP-DB'!$A$1:$H$45</definedName>
    <definedName name="_xlnm.Print_Area" localSheetId="37">'WP-EA'!$A$1:$L$39</definedName>
    <definedName name="_xlnm.Print_Area" localSheetId="41">'WP-Reconciliations'!$A$1:$O$159</definedName>
    <definedName name="_xlnm.Print_Area">SUMMARY!$H$24</definedName>
    <definedName name="_xlnm.Print_Titles" localSheetId="15">'WP-AB'!$B:$C</definedName>
    <definedName name="_xlnm.Print_Titles" localSheetId="39">'WP-AR-BS'!$1:$10</definedName>
    <definedName name="_xlnm.Print_Titles" localSheetId="23">'WP-BA'!$1:$13</definedName>
    <definedName name="_xlnm.Print_Titles" localSheetId="24">'WP-BB'!$G:$J,'WP-BB'!$1:$17</definedName>
    <definedName name="_xlnm.Print_Titles" localSheetId="25">'WP-BC'!$1:$13</definedName>
    <definedName name="_xlnm.Print_Titles" localSheetId="41">'WP-Reconciliations'!$4:$9</definedName>
    <definedName name="SAPBEXrevision" localSheetId="37" hidden="1">1</definedName>
    <definedName name="SAPBEXrevision" hidden="1">3</definedName>
    <definedName name="SAPBEXsysID" hidden="1">"BIP"</definedName>
    <definedName name="SAPBEXwbID" localSheetId="37" hidden="1">"D5ZWPSXURULJDDGZZZT05CVQ9"</definedName>
    <definedName name="SAPBEXwbID" hidden="1">"DBWCU6IQEMCIVCY9FMFOKC31R"</definedName>
    <definedName name="SM.HYDRO_1" localSheetId="4">#REF!</definedName>
    <definedName name="SM.HYDRO_1" localSheetId="9">#REF!</definedName>
    <definedName name="SM.HYDRO_1" localSheetId="16">#REF!</definedName>
    <definedName name="SM.HYDRO_1" localSheetId="17">#REF!</definedName>
    <definedName name="SM.HYDRO_1" localSheetId="20">#REF!</definedName>
    <definedName name="SM.HYDRO_1" localSheetId="21">#REF!</definedName>
    <definedName name="SM.HYDRO_1" localSheetId="39">#REF!</definedName>
    <definedName name="SM.HYDRO_1" localSheetId="38">#REF!</definedName>
    <definedName name="SM.HYDRO_1" localSheetId="23">#REF!</definedName>
    <definedName name="SM.HYDRO_1" localSheetId="24">#REF!</definedName>
    <definedName name="SM.HYDRO_1" localSheetId="25">#REF!</definedName>
    <definedName name="SM.HYDRO_1" localSheetId="34">#REF!</definedName>
    <definedName name="SM.HYDRO_1" localSheetId="37">#REF!</definedName>
    <definedName name="SM.HYDRO_1">#REF!</definedName>
    <definedName name="ST.LAWRENCE" localSheetId="4">#REF!</definedName>
    <definedName name="ST.LAWRENCE" localSheetId="9">#REF!</definedName>
    <definedName name="ST.LAWRENCE" localSheetId="16">#REF!</definedName>
    <definedName name="ST.LAWRENCE" localSheetId="17">#REF!</definedName>
    <definedName name="ST.LAWRENCE" localSheetId="20">#REF!</definedName>
    <definedName name="ST.LAWRENCE" localSheetId="21">#REF!</definedName>
    <definedName name="ST.LAWRENCE" localSheetId="39">#REF!</definedName>
    <definedName name="ST.LAWRENCE" localSheetId="38">#REF!</definedName>
    <definedName name="ST.LAWRENCE" localSheetId="23">#REF!</definedName>
    <definedName name="ST.LAWRENCE" localSheetId="24">#REF!</definedName>
    <definedName name="ST.LAWRENCE" localSheetId="25">#REF!</definedName>
    <definedName name="ST.LAWRENCE" localSheetId="34">#REF!</definedName>
    <definedName name="ST.LAWRENCE" localSheetId="37">#REF!</definedName>
    <definedName name="ST.LAWRENCE">#REF!</definedName>
    <definedName name="SUMMARY_1" localSheetId="4">#REF!</definedName>
    <definedName name="SUMMARY_1" localSheetId="9">#REF!</definedName>
    <definedName name="SUMMARY_1" localSheetId="16">#REF!</definedName>
    <definedName name="SUMMARY_1" localSheetId="17">#REF!</definedName>
    <definedName name="SUMMARY_1" localSheetId="20">#REF!</definedName>
    <definedName name="SUMMARY_1" localSheetId="21">#REF!</definedName>
    <definedName name="SUMMARY_1" localSheetId="39">#REF!</definedName>
    <definedName name="SUMMARY_1" localSheetId="38">#REF!</definedName>
    <definedName name="SUMMARY_1" localSheetId="23">#REF!</definedName>
    <definedName name="SUMMARY_1" localSheetId="24">#REF!</definedName>
    <definedName name="SUMMARY_1" localSheetId="25">#REF!</definedName>
    <definedName name="SUMMARY_1" localSheetId="34">#REF!</definedName>
    <definedName name="SUMMARY_1" localSheetId="37">#REF!</definedName>
    <definedName name="SUMMARY_1">#REF!</definedName>
    <definedName name="SUMMARY_2" localSheetId="4">#REF!</definedName>
    <definedName name="SUMMARY_2" localSheetId="9">#REF!</definedName>
    <definedName name="SUMMARY_2" localSheetId="16">#REF!</definedName>
    <definedName name="SUMMARY_2" localSheetId="17">#REF!</definedName>
    <definedName name="SUMMARY_2" localSheetId="20">#REF!</definedName>
    <definedName name="SUMMARY_2" localSheetId="21">#REF!</definedName>
    <definedName name="SUMMARY_2" localSheetId="39">#REF!</definedName>
    <definedName name="SUMMARY_2" localSheetId="38">#REF!</definedName>
    <definedName name="SUMMARY_2" localSheetId="23">#REF!</definedName>
    <definedName name="SUMMARY_2" localSheetId="24">#REF!</definedName>
    <definedName name="SUMMARY_2" localSheetId="25">#REF!</definedName>
    <definedName name="SUMMARY_2" localSheetId="34">#REF!</definedName>
    <definedName name="SUMMARY_2" localSheetId="37">#REF!</definedName>
    <definedName name="SUMMARY_2">#REF!</definedName>
    <definedName name="SWH" localSheetId="36">#REF!</definedName>
    <definedName name="SWH">#REF!</definedName>
    <definedName name="TP_Footer_User" hidden="1">"Will Kane"</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Z_343BF296_013A_41F5_BDAB_AD6220EA7F78_.wvu.Cols" localSheetId="23" hidden="1">'WP-BA'!$A:$A,'WP-BA'!$M:$M</definedName>
    <definedName name="Z_343BF296_013A_41F5_BDAB_AD6220EA7F78_.wvu.Cols" localSheetId="24" hidden="1">'WP-BB'!$A:$D,'WP-BB'!$S:$X</definedName>
    <definedName name="Z_343BF296_013A_41F5_BDAB_AD6220EA7F78_.wvu.Cols" localSheetId="25" hidden="1">'WP-BC'!$A:$A</definedName>
    <definedName name="Z_343BF296_013A_41F5_BDAB_AD6220EA7F78_.wvu.Cols" localSheetId="27" hidden="1">'WP-BE'!$B:$B</definedName>
    <definedName name="Z_343BF296_013A_41F5_BDAB_AD6220EA7F78_.wvu.FilterData" localSheetId="24" hidden="1">'WP-BB'!$A$18:$AD$147</definedName>
    <definedName name="Z_343BF296_013A_41F5_BDAB_AD6220EA7F78_.wvu.FilterData" localSheetId="25" hidden="1">'WP-BC'!$A$13:$N$13</definedName>
    <definedName name="Z_343BF296_013A_41F5_BDAB_AD6220EA7F78_.wvu.PrintArea" localSheetId="2" hidden="1">'A1-O&amp;M'!$A$1:$K$42</definedName>
    <definedName name="Z_343BF296_013A_41F5_BDAB_AD6220EA7F78_.wvu.PrintArea" localSheetId="3" hidden="1">'A2-A&amp;G'!$A$1:$N$47</definedName>
    <definedName name="Z_343BF296_013A_41F5_BDAB_AD6220EA7F78_.wvu.PrintArea" localSheetId="4" hidden="1">'B1-Depn'!$A$1:$Q$53</definedName>
    <definedName name="Z_343BF296_013A_41F5_BDAB_AD6220EA7F78_.wvu.PrintArea" localSheetId="5" hidden="1">'B2-Plant'!$A$1:$U$64</definedName>
    <definedName name="Z_343BF296_013A_41F5_BDAB_AD6220EA7F78_.wvu.PrintArea" localSheetId="6" hidden="1">'B3-Depn Rates'!$A$1:$N$60</definedName>
    <definedName name="Z_343BF296_013A_41F5_BDAB_AD6220EA7F78_.wvu.PrintArea" localSheetId="7" hidden="1">'C1-Rate Base'!$A$1:$R$50</definedName>
    <definedName name="Z_343BF296_013A_41F5_BDAB_AD6220EA7F78_.wvu.PrintArea" localSheetId="8" hidden="1">'D1-Cap Structure'!$A$1:$L$32</definedName>
    <definedName name="Z_343BF296_013A_41F5_BDAB_AD6220EA7F78_.wvu.PrintArea" localSheetId="9" hidden="1">'D2-Project Cap Structures'!$A$1:$L$85</definedName>
    <definedName name="Z_343BF296_013A_41F5_BDAB_AD6220EA7F78_.wvu.PrintArea" localSheetId="10" hidden="1">'E1-Allocator'!$A$1:$M$38</definedName>
    <definedName name="Z_343BF296_013A_41F5_BDAB_AD6220EA7F78_.wvu.PrintArea" localSheetId="11" hidden="1">'F1-Proj RR'!$A$1:$T$83</definedName>
    <definedName name="Z_343BF296_013A_41F5_BDAB_AD6220EA7F78_.wvu.PrintArea" localSheetId="12" hidden="1">'F2-Incentives'!$A$1:$K$31</definedName>
    <definedName name="Z_343BF296_013A_41F5_BDAB_AD6220EA7F78_.wvu.PrintArea" localSheetId="13" hidden="1">'F3-True-Up'!$A$1:$J$82</definedName>
    <definedName name="Z_343BF296_013A_41F5_BDAB_AD6220EA7F78_.wvu.PrintArea" localSheetId="0" hidden="1">Index!$A$1:$D$51</definedName>
    <definedName name="Z_343BF296_013A_41F5_BDAB_AD6220EA7F78_.wvu.PrintArea" localSheetId="1" hidden="1">SUMMARY!$A$1:$F$52</definedName>
    <definedName name="Z_343BF296_013A_41F5_BDAB_AD6220EA7F78_.wvu.PrintArea" localSheetId="14" hidden="1">'WP-AA'!$A$1:$G$75</definedName>
    <definedName name="Z_343BF296_013A_41F5_BDAB_AD6220EA7F78_.wvu.PrintArea" localSheetId="15" hidden="1">'WP-AB'!$A$1:$AN$75</definedName>
    <definedName name="Z_343BF296_013A_41F5_BDAB_AD6220EA7F78_.wvu.PrintArea" localSheetId="16" hidden="1">'WP-AC'!$A$1:$H$25</definedName>
    <definedName name="Z_343BF296_013A_41F5_BDAB_AD6220EA7F78_.wvu.PrintArea" localSheetId="17" hidden="1">'WP-AD'!$A$1:$G$25</definedName>
    <definedName name="Z_343BF296_013A_41F5_BDAB_AD6220EA7F78_.wvu.PrintArea" localSheetId="18" hidden="1">'WP-AE'!$A$1:$J$34</definedName>
    <definedName name="Z_343BF296_013A_41F5_BDAB_AD6220EA7F78_.wvu.PrintArea" localSheetId="19" hidden="1">'WP-AF'!$A$1:$I$25</definedName>
    <definedName name="Z_343BF296_013A_41F5_BDAB_AD6220EA7F78_.wvu.PrintArea" localSheetId="20" hidden="1">'WP-AG'!$A$1:$M$38</definedName>
    <definedName name="Z_343BF296_013A_41F5_BDAB_AD6220EA7F78_.wvu.PrintArea" localSheetId="21" hidden="1">'WP-AH'!$A$1:$L$40</definedName>
    <definedName name="Z_343BF296_013A_41F5_BDAB_AD6220EA7F78_.wvu.PrintArea" localSheetId="22" hidden="1">'WP-AI'!$A$1:$K$27</definedName>
    <definedName name="Z_343BF296_013A_41F5_BDAB_AD6220EA7F78_.wvu.PrintArea" localSheetId="39" hidden="1">'WP-AR-BS'!$A$1:$G$136</definedName>
    <definedName name="Z_343BF296_013A_41F5_BDAB_AD6220EA7F78_.wvu.PrintArea" localSheetId="40" hidden="1">'WP-AR-Cap Assets'!$A$1:$P$57</definedName>
    <definedName name="Z_343BF296_013A_41F5_BDAB_AD6220EA7F78_.wvu.PrintArea" localSheetId="38" hidden="1">'WP-AR-IS'!$A$1:$J$66</definedName>
    <definedName name="Z_343BF296_013A_41F5_BDAB_AD6220EA7F78_.wvu.PrintArea" localSheetId="23" hidden="1">'WP-BA'!$B$1:$N$200</definedName>
    <definedName name="Z_343BF296_013A_41F5_BDAB_AD6220EA7F78_.wvu.PrintArea" localSheetId="24" hidden="1">'WP-BB'!$E$1:$X$147</definedName>
    <definedName name="Z_343BF296_013A_41F5_BDAB_AD6220EA7F78_.wvu.PrintArea" localSheetId="25" hidden="1">'WP-BC'!$B$1:$N$360</definedName>
    <definedName name="Z_343BF296_013A_41F5_BDAB_AD6220EA7F78_.wvu.PrintArea" localSheetId="26" hidden="1">'WP-BD'!$A$1:$K$70</definedName>
    <definedName name="Z_343BF296_013A_41F5_BDAB_AD6220EA7F78_.wvu.PrintArea" localSheetId="27" hidden="1">'WP-BE'!$A$1:$M$49</definedName>
    <definedName name="Z_343BF296_013A_41F5_BDAB_AD6220EA7F78_.wvu.PrintArea" localSheetId="28" hidden="1">'WP-BF'!$A$1:$T$63</definedName>
    <definedName name="Z_343BF296_013A_41F5_BDAB_AD6220EA7F78_.wvu.PrintArea" localSheetId="29" hidden="1">'WP-BG'!$A$1:$M$46</definedName>
    <definedName name="Z_343BF296_013A_41F5_BDAB_AD6220EA7F78_.wvu.PrintArea" localSheetId="30" hidden="1">'WP-BH'!$A$1:$K$33</definedName>
    <definedName name="Z_343BF296_013A_41F5_BDAB_AD6220EA7F78_.wvu.PrintArea" localSheetId="31" hidden="1">'WP-BI'!$A$1:$F$27</definedName>
    <definedName name="Z_343BF296_013A_41F5_BDAB_AD6220EA7F78_.wvu.PrintArea" localSheetId="33" hidden="1">'WP-CA'!$A$1:$N$36</definedName>
    <definedName name="Z_343BF296_013A_41F5_BDAB_AD6220EA7F78_.wvu.PrintArea" localSheetId="34" hidden="1">'WP-CB'!$A$1:$G$23</definedName>
    <definedName name="Z_343BF296_013A_41F5_BDAB_AD6220EA7F78_.wvu.PrintArea" localSheetId="35" hidden="1">'WP-DA'!$A$1:$Q$51</definedName>
    <definedName name="Z_343BF296_013A_41F5_BDAB_AD6220EA7F78_.wvu.PrintArea" localSheetId="36" hidden="1">'WP-DB'!$A$1:$H$45</definedName>
    <definedName name="Z_343BF296_013A_41F5_BDAB_AD6220EA7F78_.wvu.PrintArea" localSheetId="37" hidden="1">'WP-EA'!$A$1:$K$39</definedName>
    <definedName name="Z_343BF296_013A_41F5_BDAB_AD6220EA7F78_.wvu.PrintArea" localSheetId="41" hidden="1">'WP-Reconciliations'!$A$1:$O$159</definedName>
    <definedName name="Z_343BF296_013A_41F5_BDAB_AD6220EA7F78_.wvu.PrintTitles" localSheetId="15" hidden="1">'WP-AB'!$B:$C</definedName>
    <definedName name="Z_343BF296_013A_41F5_BDAB_AD6220EA7F78_.wvu.PrintTitles" localSheetId="39" hidden="1">'WP-AR-BS'!$1:$10</definedName>
    <definedName name="Z_343BF296_013A_41F5_BDAB_AD6220EA7F78_.wvu.PrintTitles" localSheetId="23" hidden="1">'WP-BA'!$1:$13</definedName>
    <definedName name="Z_343BF296_013A_41F5_BDAB_AD6220EA7F78_.wvu.PrintTitles" localSheetId="24" hidden="1">'WP-BB'!$G:$J,'WP-BB'!$1:$17</definedName>
    <definedName name="Z_343BF296_013A_41F5_BDAB_AD6220EA7F78_.wvu.PrintTitles" localSheetId="25" hidden="1">'WP-BC'!$1:$13</definedName>
    <definedName name="Z_B321D76C_CDE5_48BB_9CDE_80FF97D58FCF_.wvu.Cols" localSheetId="23" hidden="1">'WP-BA'!$A:$A,'WP-BA'!$M:$M</definedName>
    <definedName name="Z_B321D76C_CDE5_48BB_9CDE_80FF97D58FCF_.wvu.Cols" localSheetId="24" hidden="1">'WP-BB'!$A:$D,'WP-BB'!$S:$X</definedName>
    <definedName name="Z_B321D76C_CDE5_48BB_9CDE_80FF97D58FCF_.wvu.Cols" localSheetId="25" hidden="1">'WP-BC'!$A:$A</definedName>
    <definedName name="Z_B321D76C_CDE5_48BB_9CDE_80FF97D58FCF_.wvu.Cols" localSheetId="27" hidden="1">'WP-BE'!$B:$B</definedName>
    <definedName name="Z_B321D76C_CDE5_48BB_9CDE_80FF97D58FCF_.wvu.FilterData" localSheetId="24" hidden="1">'WP-BB'!$A$18:$AD$147</definedName>
    <definedName name="Z_B321D76C_CDE5_48BB_9CDE_80FF97D58FCF_.wvu.FilterData" localSheetId="25" hidden="1">'WP-BC'!$A$13:$N$13</definedName>
    <definedName name="Z_B321D76C_CDE5_48BB_9CDE_80FF97D58FCF_.wvu.PrintArea" localSheetId="2" hidden="1">'A1-O&amp;M'!$A$1:$K$42</definedName>
    <definedName name="Z_B321D76C_CDE5_48BB_9CDE_80FF97D58FCF_.wvu.PrintArea" localSheetId="3" hidden="1">'A2-A&amp;G'!$A$1:$N$47</definedName>
    <definedName name="Z_B321D76C_CDE5_48BB_9CDE_80FF97D58FCF_.wvu.PrintArea" localSheetId="4" hidden="1">'B1-Depn'!$A$1:$Q$53</definedName>
    <definedName name="Z_B321D76C_CDE5_48BB_9CDE_80FF97D58FCF_.wvu.PrintArea" localSheetId="5" hidden="1">'B2-Plant'!$A$1:$U$64</definedName>
    <definedName name="Z_B321D76C_CDE5_48BB_9CDE_80FF97D58FCF_.wvu.PrintArea" localSheetId="6" hidden="1">'B3-Depn Rates'!$A$1:$N$60</definedName>
    <definedName name="Z_B321D76C_CDE5_48BB_9CDE_80FF97D58FCF_.wvu.PrintArea" localSheetId="7" hidden="1">'C1-Rate Base'!$A$1:$R$50</definedName>
    <definedName name="Z_B321D76C_CDE5_48BB_9CDE_80FF97D58FCF_.wvu.PrintArea" localSheetId="8" hidden="1">'D1-Cap Structure'!$A$1:$L$32</definedName>
    <definedName name="Z_B321D76C_CDE5_48BB_9CDE_80FF97D58FCF_.wvu.PrintArea" localSheetId="9" hidden="1">'D2-Project Cap Structures'!$A$1:$L$85</definedName>
    <definedName name="Z_B321D76C_CDE5_48BB_9CDE_80FF97D58FCF_.wvu.PrintArea" localSheetId="10" hidden="1">'E1-Allocator'!$A$1:$M$38</definedName>
    <definedName name="Z_B321D76C_CDE5_48BB_9CDE_80FF97D58FCF_.wvu.PrintArea" localSheetId="11" hidden="1">'F1-Proj RR'!$A$1:$T$83</definedName>
    <definedName name="Z_B321D76C_CDE5_48BB_9CDE_80FF97D58FCF_.wvu.PrintArea" localSheetId="12" hidden="1">'F2-Incentives'!$A$1:$K$31</definedName>
    <definedName name="Z_B321D76C_CDE5_48BB_9CDE_80FF97D58FCF_.wvu.PrintArea" localSheetId="13" hidden="1">'F3-True-Up'!$A$1:$J$82</definedName>
    <definedName name="Z_B321D76C_CDE5_48BB_9CDE_80FF97D58FCF_.wvu.PrintArea" localSheetId="0" hidden="1">Index!$A$1:$D$51</definedName>
    <definedName name="Z_B321D76C_CDE5_48BB_9CDE_80FF97D58FCF_.wvu.PrintArea" localSheetId="1" hidden="1">SUMMARY!$A$1:$F$52</definedName>
    <definedName name="Z_B321D76C_CDE5_48BB_9CDE_80FF97D58FCF_.wvu.PrintArea" localSheetId="14" hidden="1">'WP-AA'!$A$1:$G$75</definedName>
    <definedName name="Z_B321D76C_CDE5_48BB_9CDE_80FF97D58FCF_.wvu.PrintArea" localSheetId="15" hidden="1">'WP-AB'!$A$1:$AN$75</definedName>
    <definedName name="Z_B321D76C_CDE5_48BB_9CDE_80FF97D58FCF_.wvu.PrintArea" localSheetId="16" hidden="1">'WP-AC'!$A$1:$H$25</definedName>
    <definedName name="Z_B321D76C_CDE5_48BB_9CDE_80FF97D58FCF_.wvu.PrintArea" localSheetId="17" hidden="1">'WP-AD'!$A$1:$G$25</definedName>
    <definedName name="Z_B321D76C_CDE5_48BB_9CDE_80FF97D58FCF_.wvu.PrintArea" localSheetId="18" hidden="1">'WP-AE'!$A$1:$J$34</definedName>
    <definedName name="Z_B321D76C_CDE5_48BB_9CDE_80FF97D58FCF_.wvu.PrintArea" localSheetId="19" hidden="1">'WP-AF'!$A$1:$I$25</definedName>
    <definedName name="Z_B321D76C_CDE5_48BB_9CDE_80FF97D58FCF_.wvu.PrintArea" localSheetId="20" hidden="1">'WP-AG'!$A$1:$M$38</definedName>
    <definedName name="Z_B321D76C_CDE5_48BB_9CDE_80FF97D58FCF_.wvu.PrintArea" localSheetId="21" hidden="1">'WP-AH'!$A$1:$L$40</definedName>
    <definedName name="Z_B321D76C_CDE5_48BB_9CDE_80FF97D58FCF_.wvu.PrintArea" localSheetId="22" hidden="1">'WP-AI'!$A$1:$K$27</definedName>
    <definedName name="Z_B321D76C_CDE5_48BB_9CDE_80FF97D58FCF_.wvu.PrintArea" localSheetId="39" hidden="1">'WP-AR-BS'!$A$1:$G$136</definedName>
    <definedName name="Z_B321D76C_CDE5_48BB_9CDE_80FF97D58FCF_.wvu.PrintArea" localSheetId="40" hidden="1">'WP-AR-Cap Assets'!$A$1:$P$57</definedName>
    <definedName name="Z_B321D76C_CDE5_48BB_9CDE_80FF97D58FCF_.wvu.PrintArea" localSheetId="38" hidden="1">'WP-AR-IS'!$A$1:$J$66</definedName>
    <definedName name="Z_B321D76C_CDE5_48BB_9CDE_80FF97D58FCF_.wvu.PrintArea" localSheetId="23" hidden="1">'WP-BA'!$B$1:$N$200</definedName>
    <definedName name="Z_B321D76C_CDE5_48BB_9CDE_80FF97D58FCF_.wvu.PrintArea" localSheetId="24" hidden="1">'WP-BB'!$E$1:$X$147</definedName>
    <definedName name="Z_B321D76C_CDE5_48BB_9CDE_80FF97D58FCF_.wvu.PrintArea" localSheetId="25" hidden="1">'WP-BC'!$B$1:$N$360</definedName>
    <definedName name="Z_B321D76C_CDE5_48BB_9CDE_80FF97D58FCF_.wvu.PrintArea" localSheetId="26" hidden="1">'WP-BD'!$A$1:$K$70</definedName>
    <definedName name="Z_B321D76C_CDE5_48BB_9CDE_80FF97D58FCF_.wvu.PrintArea" localSheetId="27" hidden="1">'WP-BE'!$A$1:$M$49</definedName>
    <definedName name="Z_B321D76C_CDE5_48BB_9CDE_80FF97D58FCF_.wvu.PrintArea" localSheetId="28" hidden="1">'WP-BF'!$A$1:$T$63</definedName>
    <definedName name="Z_B321D76C_CDE5_48BB_9CDE_80FF97D58FCF_.wvu.PrintArea" localSheetId="29" hidden="1">'WP-BG'!$A$1:$M$46</definedName>
    <definedName name="Z_B321D76C_CDE5_48BB_9CDE_80FF97D58FCF_.wvu.PrintArea" localSheetId="30" hidden="1">'WP-BH'!$A$1:$K$33</definedName>
    <definedName name="Z_B321D76C_CDE5_48BB_9CDE_80FF97D58FCF_.wvu.PrintArea" localSheetId="31" hidden="1">'WP-BI'!$A$1:$F$27</definedName>
    <definedName name="Z_B321D76C_CDE5_48BB_9CDE_80FF97D58FCF_.wvu.PrintArea" localSheetId="33" hidden="1">'WP-CA'!$A$1:$N$36</definedName>
    <definedName name="Z_B321D76C_CDE5_48BB_9CDE_80FF97D58FCF_.wvu.PrintArea" localSheetId="34" hidden="1">'WP-CB'!$A$1:$G$23</definedName>
    <definedName name="Z_B321D76C_CDE5_48BB_9CDE_80FF97D58FCF_.wvu.PrintArea" localSheetId="35" hidden="1">'WP-DA'!$A$1:$Q$51</definedName>
    <definedName name="Z_B321D76C_CDE5_48BB_9CDE_80FF97D58FCF_.wvu.PrintArea" localSheetId="36" hidden="1">'WP-DB'!$A$1:$H$45</definedName>
    <definedName name="Z_B321D76C_CDE5_48BB_9CDE_80FF97D58FCF_.wvu.PrintArea" localSheetId="37" hidden="1">'WP-EA'!$A$1:$K$39</definedName>
    <definedName name="Z_B321D76C_CDE5_48BB_9CDE_80FF97D58FCF_.wvu.PrintArea" localSheetId="41" hidden="1">'WP-Reconciliations'!$A$1:$O$159</definedName>
    <definedName name="Z_B321D76C_CDE5_48BB_9CDE_80FF97D58FCF_.wvu.PrintTitles" localSheetId="15" hidden="1">'WP-AB'!$B:$C</definedName>
    <definedName name="Z_B321D76C_CDE5_48BB_9CDE_80FF97D58FCF_.wvu.PrintTitles" localSheetId="39" hidden="1">'WP-AR-BS'!$1:$10</definedName>
    <definedName name="Z_B321D76C_CDE5_48BB_9CDE_80FF97D58FCF_.wvu.PrintTitles" localSheetId="23" hidden="1">'WP-BA'!$1:$13</definedName>
    <definedName name="Z_B321D76C_CDE5_48BB_9CDE_80FF97D58FCF_.wvu.PrintTitles" localSheetId="24" hidden="1">'WP-BB'!$G:$J,'WP-BB'!$1:$17</definedName>
    <definedName name="Z_B321D76C_CDE5_48BB_9CDE_80FF97D58FCF_.wvu.PrintTitles" localSheetId="25" hidden="1">'WP-BC'!$1:$13</definedName>
    <definedName name="Z_F04A2B9A_C6FE_4FEB_AD1E_2CF9AC309BE4_.wvu.PrintArea" localSheetId="11" hidden="1">'F1-Proj RR'!$A$1:$R$85</definedName>
    <definedName name="Z_F04A2B9A_C6FE_4FEB_AD1E_2CF9AC309BE4_.wvu.PrintArea" localSheetId="13" hidden="1">'F3-True-Up'!$A$1:$L$31</definedName>
  </definedNames>
  <calcPr calcId="191028"/>
  <customWorkbookViews>
    <customWorkbookView name="NYPA User - Personal View" guid="{343BF296-013A-41F5-BDAB-AD6220EA7F78}" mergeInterval="0" personalView="1" maximized="1" xWindow="1912" yWindow="-8" windowWidth="1936" windowHeight="1056" tabRatio="847" activeSheetId="10"/>
    <customWorkbookView name="Kamalya Marano - Personal View" guid="{B321D76C-CDE5-48BB-9CDE-80FF97D58FCF}" mergeInterval="0" personalView="1" maximized="1" xWindow="1271" yWindow="-9" windowWidth="1298" windowHeight="1042" tabRatio="847"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2" i="29" l="1"/>
  <c r="I41" i="28" l="1"/>
  <c r="J52" i="29"/>
  <c r="G52" i="29"/>
  <c r="H52" i="29"/>
  <c r="I52" i="29"/>
  <c r="L52" i="29"/>
  <c r="N52" i="29"/>
  <c r="O52" i="29"/>
  <c r="P52" i="29"/>
  <c r="Q52" i="29"/>
  <c r="R52" i="29"/>
  <c r="S52" i="29"/>
  <c r="T52" i="29"/>
  <c r="F52" i="29"/>
  <c r="F41" i="30"/>
  <c r="G41" i="30"/>
  <c r="H41" i="30"/>
  <c r="I41" i="30"/>
  <c r="J41" i="30"/>
  <c r="K41" i="30"/>
  <c r="L41" i="30"/>
  <c r="E41" i="30"/>
  <c r="O55" i="41"/>
  <c r="F136" i="25" l="1"/>
  <c r="F135" i="25"/>
  <c r="F134" i="25"/>
  <c r="F133" i="25"/>
  <c r="H138" i="41" l="1"/>
  <c r="I40" i="4" l="1"/>
  <c r="H75" i="14" l="1"/>
  <c r="H76" i="14"/>
  <c r="H74" i="14" l="1"/>
  <c r="C30" i="24" l="1"/>
  <c r="C31" i="24"/>
  <c r="C32" i="24"/>
  <c r="C33" i="24"/>
  <c r="C34" i="24"/>
  <c r="C35" i="24"/>
  <c r="C36" i="24"/>
  <c r="C37" i="24"/>
  <c r="C38" i="24"/>
  <c r="A21" i="24"/>
  <c r="A22" i="24"/>
  <c r="K57" i="41"/>
  <c r="E71" i="15" l="1"/>
  <c r="D71" i="15"/>
  <c r="E51" i="15"/>
  <c r="L18" i="42"/>
  <c r="L19" i="42"/>
  <c r="L20" i="42"/>
  <c r="L23" i="42"/>
  <c r="H19" i="42"/>
  <c r="H20" i="42"/>
  <c r="H21" i="42"/>
  <c r="H18" i="42"/>
  <c r="H26" i="42"/>
  <c r="H32" i="31" l="1"/>
  <c r="L25" i="42"/>
  <c r="L26" i="42"/>
  <c r="L22" i="42"/>
  <c r="L21" i="42"/>
  <c r="AX75" i="16"/>
  <c r="H25" i="42"/>
  <c r="H24" i="42"/>
  <c r="L24" i="42"/>
  <c r="AW75" i="16"/>
  <c r="H23" i="42"/>
  <c r="H22" i="42"/>
  <c r="L33" i="30" l="1"/>
  <c r="O84" i="25" l="1"/>
  <c r="P84" i="25"/>
  <c r="R84" i="25"/>
  <c r="O85" i="25"/>
  <c r="P85" i="25"/>
  <c r="R85" i="25"/>
  <c r="D85" i="25"/>
  <c r="F85" i="25" s="1"/>
  <c r="D84" i="25"/>
  <c r="D83" i="25"/>
  <c r="O97" i="25"/>
  <c r="P97" i="25"/>
  <c r="R97" i="25"/>
  <c r="F97" i="25"/>
  <c r="R143" i="25"/>
  <c r="P143" i="25"/>
  <c r="O143" i="25"/>
  <c r="F143" i="25"/>
  <c r="Q84" i="25" l="1"/>
  <c r="Q85" i="25"/>
  <c r="Q97" i="25"/>
  <c r="Q143" i="25"/>
  <c r="M52" i="6" l="1"/>
  <c r="N52" i="6"/>
  <c r="O52" i="6"/>
  <c r="P52" i="6"/>
  <c r="M50" i="6"/>
  <c r="N50" i="6"/>
  <c r="O50" i="6"/>
  <c r="P50" i="6"/>
  <c r="D27" i="8"/>
  <c r="I49" i="12" s="1"/>
  <c r="A344" i="26"/>
  <c r="A334" i="26"/>
  <c r="L27" i="8" l="1"/>
  <c r="P50" i="40"/>
  <c r="P49" i="40"/>
  <c r="P48" i="40"/>
  <c r="A6" i="41" l="1"/>
  <c r="B6" i="40"/>
  <c r="A6" i="39"/>
  <c r="A5" i="38"/>
  <c r="A5" i="37"/>
  <c r="A6" i="36"/>
  <c r="A5" i="35"/>
  <c r="A5" i="34"/>
  <c r="A6" i="33"/>
  <c r="A5" i="42"/>
  <c r="A6" i="32"/>
  <c r="A6" i="31"/>
  <c r="A6" i="30"/>
  <c r="B5" i="29"/>
  <c r="A7" i="28"/>
  <c r="A5" i="27"/>
  <c r="C5" i="26"/>
  <c r="B5" i="24"/>
  <c r="A7" i="23"/>
  <c r="A6" i="22"/>
  <c r="A6" i="21"/>
  <c r="A6" i="20"/>
  <c r="A6" i="19"/>
  <c r="A6" i="18"/>
  <c r="A6" i="17"/>
  <c r="D6" i="16"/>
  <c r="A6" i="15"/>
  <c r="A8" i="11"/>
  <c r="A6" i="8"/>
  <c r="A5" i="6"/>
  <c r="A6" i="5"/>
  <c r="A5" i="4"/>
  <c r="A5" i="3"/>
  <c r="G6" i="25"/>
  <c r="BA69" i="16" l="1"/>
  <c r="E15" i="15"/>
  <c r="D17" i="15"/>
  <c r="E26" i="15"/>
  <c r="BA68" i="16"/>
  <c r="E50" i="15" s="1"/>
  <c r="F50" i="15" s="1"/>
  <c r="F51" i="15"/>
  <c r="E31" i="15"/>
  <c r="E17" i="15"/>
  <c r="BA71" i="16"/>
  <c r="E72" i="15"/>
  <c r="F72" i="15" s="1"/>
  <c r="BA70" i="16"/>
  <c r="D49" i="15"/>
  <c r="E49" i="15"/>
  <c r="C49" i="15"/>
  <c r="D75" i="16"/>
  <c r="E75" i="16"/>
  <c r="F75" i="16"/>
  <c r="G75" i="16"/>
  <c r="H75" i="16"/>
  <c r="I75" i="16"/>
  <c r="J75" i="16"/>
  <c r="K75" i="16"/>
  <c r="L75" i="16"/>
  <c r="M75" i="16"/>
  <c r="N75" i="16"/>
  <c r="O75" i="16"/>
  <c r="P75" i="16"/>
  <c r="Q75" i="16"/>
  <c r="R75" i="16"/>
  <c r="S75" i="16"/>
  <c r="T75" i="16"/>
  <c r="U75" i="16"/>
  <c r="V75" i="16"/>
  <c r="W75" i="16"/>
  <c r="X75" i="16"/>
  <c r="Y75" i="16"/>
  <c r="Z75" i="16"/>
  <c r="AA75" i="16"/>
  <c r="AB75" i="16"/>
  <c r="AC75" i="16"/>
  <c r="AD75" i="16"/>
  <c r="AE75" i="16"/>
  <c r="AF75" i="16"/>
  <c r="AG75" i="16"/>
  <c r="AH75" i="16"/>
  <c r="AI75" i="16"/>
  <c r="AJ75" i="16"/>
  <c r="AK75" i="16"/>
  <c r="AL75" i="16"/>
  <c r="AM75" i="16"/>
  <c r="AN75" i="16"/>
  <c r="AO75" i="16"/>
  <c r="AP75" i="16"/>
  <c r="AQ75" i="16"/>
  <c r="AR75" i="16"/>
  <c r="AS75" i="16"/>
  <c r="AT75" i="16"/>
  <c r="AU75" i="16"/>
  <c r="AY75" i="16"/>
  <c r="AZ75" i="16"/>
  <c r="F49" i="15" l="1"/>
  <c r="H23" i="41" s="1"/>
  <c r="F28" i="42"/>
  <c r="H156" i="41" l="1"/>
  <c r="F52" i="42"/>
  <c r="F40" i="42"/>
  <c r="F57" i="29"/>
  <c r="F39" i="29"/>
  <c r="F36" i="37" l="1"/>
  <c r="J40" i="41"/>
  <c r="F38" i="37" l="1"/>
  <c r="J36" i="37"/>
  <c r="J38" i="37" s="1"/>
  <c r="H36" i="37"/>
  <c r="H38" i="37" s="1"/>
  <c r="L14" i="37" l="1"/>
  <c r="L15" i="37"/>
  <c r="D123" i="39"/>
  <c r="G22" i="38"/>
  <c r="F41" i="28"/>
  <c r="K73" i="25"/>
  <c r="BA73" i="16"/>
  <c r="BA53" i="16"/>
  <c r="A11" i="7" l="1"/>
  <c r="A12" i="7" s="1"/>
  <c r="A13" i="7" s="1"/>
  <c r="A14" i="7" s="1"/>
  <c r="A15" i="7" s="1"/>
  <c r="A16" i="7" s="1"/>
  <c r="A17" i="7" s="1"/>
  <c r="A18" i="7" s="1"/>
  <c r="A20" i="7" s="1"/>
  <c r="A21" i="7" s="1"/>
  <c r="A22" i="7" s="1"/>
  <c r="A23" i="7" s="1"/>
  <c r="A24" i="7" s="1"/>
  <c r="A25" i="7" s="1"/>
  <c r="A26" i="7" s="1"/>
  <c r="A27" i="7" s="1"/>
  <c r="A28" i="7" s="1"/>
  <c r="A29" i="7" s="1"/>
  <c r="A30" i="7" s="1"/>
  <c r="A31" i="7" s="1"/>
  <c r="A33" i="7" s="1"/>
  <c r="A34" i="7" s="1"/>
  <c r="A35" i="7" s="1"/>
  <c r="A36" i="7" s="1"/>
  <c r="A37" i="7" s="1"/>
  <c r="A21" i="11"/>
  <c r="H139" i="41" l="1"/>
  <c r="J100" i="41" l="1"/>
  <c r="H100" i="41"/>
  <c r="M57" i="41"/>
  <c r="L57" i="41"/>
  <c r="L56" i="41"/>
  <c r="N56" i="41" l="1"/>
  <c r="BA19" i="16" l="1"/>
  <c r="BA20" i="16"/>
  <c r="BA21" i="16"/>
  <c r="BA22" i="16"/>
  <c r="BA23" i="16"/>
  <c r="BA24" i="16"/>
  <c r="BA25" i="16"/>
  <c r="BA26" i="16"/>
  <c r="BA27" i="16"/>
  <c r="BA28" i="16"/>
  <c r="BA29" i="16"/>
  <c r="BA30" i="16"/>
  <c r="BA31" i="16"/>
  <c r="BA32" i="16"/>
  <c r="BA33" i="16"/>
  <c r="BA34" i="16"/>
  <c r="BA35" i="16"/>
  <c r="BA36" i="16"/>
  <c r="BA37" i="16"/>
  <c r="BA38" i="16"/>
  <c r="BA39" i="16"/>
  <c r="BA40" i="16"/>
  <c r="BA41" i="16"/>
  <c r="BA42" i="16"/>
  <c r="BA43" i="16"/>
  <c r="BA44" i="16"/>
  <c r="BA45" i="16"/>
  <c r="BA46" i="16"/>
  <c r="BA47" i="16"/>
  <c r="BA48" i="16"/>
  <c r="BA49" i="16"/>
  <c r="BA50" i="16"/>
  <c r="BA51" i="16"/>
  <c r="BA52" i="16"/>
  <c r="BA54" i="16"/>
  <c r="BA55" i="16"/>
  <c r="BA56" i="16"/>
  <c r="BA57" i="16"/>
  <c r="BA58" i="16"/>
  <c r="BA59" i="16"/>
  <c r="BA60" i="16"/>
  <c r="BA61" i="16"/>
  <c r="BA62" i="16"/>
  <c r="BA63" i="16"/>
  <c r="BA64" i="16"/>
  <c r="BA65" i="16"/>
  <c r="BA66" i="16"/>
  <c r="BA67" i="16"/>
  <c r="BA72" i="16"/>
  <c r="BA18" i="16"/>
  <c r="P47" i="40"/>
  <c r="N52" i="40"/>
  <c r="L52" i="40"/>
  <c r="J52" i="40"/>
  <c r="I57" i="41"/>
  <c r="N41" i="40"/>
  <c r="L41" i="40"/>
  <c r="J41" i="40"/>
  <c r="P37" i="40"/>
  <c r="N29" i="40"/>
  <c r="L29" i="40"/>
  <c r="J29" i="40"/>
  <c r="P25" i="40"/>
  <c r="H56" i="41" s="1"/>
  <c r="J56" i="41" s="1"/>
  <c r="P24" i="40"/>
  <c r="N57" i="41"/>
  <c r="J24" i="41"/>
  <c r="J41" i="41"/>
  <c r="J23" i="41"/>
  <c r="N54" i="40" l="1"/>
  <c r="BA75" i="16"/>
  <c r="H57" i="41"/>
  <c r="J57" i="41" s="1"/>
  <c r="J54" i="40"/>
  <c r="J56" i="40" s="1"/>
  <c r="H23" i="33"/>
  <c r="N26" i="42"/>
  <c r="M40" i="42"/>
  <c r="K40" i="42"/>
  <c r="I40" i="42"/>
  <c r="L49" i="12" s="1"/>
  <c r="E48" i="30"/>
  <c r="L48" i="30"/>
  <c r="K48" i="30"/>
  <c r="J48" i="30"/>
  <c r="I48" i="30"/>
  <c r="H48" i="30"/>
  <c r="G48" i="30"/>
  <c r="F48" i="30"/>
  <c r="A343" i="26"/>
  <c r="A342" i="26"/>
  <c r="A341" i="26"/>
  <c r="A340" i="26"/>
  <c r="A339" i="26"/>
  <c r="A338" i="26"/>
  <c r="A350" i="26"/>
  <c r="A349" i="26"/>
  <c r="A348" i="26"/>
  <c r="A347" i="26"/>
  <c r="A346" i="26"/>
  <c r="A345" i="26"/>
  <c r="A337" i="26"/>
  <c r="A336" i="26"/>
  <c r="A335" i="26"/>
  <c r="A164" i="26"/>
  <c r="J50" i="6" l="1"/>
  <c r="K50" i="6"/>
  <c r="L50" i="6"/>
  <c r="I50" i="6"/>
  <c r="L34" i="37"/>
  <c r="L20" i="37"/>
  <c r="L32" i="37"/>
  <c r="L16" i="37"/>
  <c r="L17" i="37"/>
  <c r="L24" i="37"/>
  <c r="L30" i="37"/>
  <c r="L28" i="37"/>
  <c r="D21" i="11" s="1"/>
  <c r="F21" i="11" s="1"/>
  <c r="L18" i="37"/>
  <c r="L22" i="37"/>
  <c r="L26" i="37"/>
  <c r="W142" i="25"/>
  <c r="D142" i="25"/>
  <c r="F142" i="25" s="1"/>
  <c r="H28" i="22" l="1"/>
  <c r="H19" i="8"/>
  <c r="J27" i="4"/>
  <c r="H36" i="41" s="1"/>
  <c r="L36" i="37"/>
  <c r="L38" i="37"/>
  <c r="D19" i="11" s="1"/>
  <c r="D23" i="11" s="1"/>
  <c r="Q53" i="6" l="1"/>
  <c r="R53" i="6"/>
  <c r="B54" i="6"/>
  <c r="S39" i="6"/>
  <c r="T53" i="6" l="1"/>
  <c r="M52" i="42" l="1"/>
  <c r="K52" i="42"/>
  <c r="J52" i="42"/>
  <c r="N52" i="42" s="1"/>
  <c r="E50" i="12" s="1"/>
  <c r="I52" i="42"/>
  <c r="L50" i="12" s="1"/>
  <c r="G52" i="42"/>
  <c r="O50" i="42"/>
  <c r="N50" i="42"/>
  <c r="L50" i="42"/>
  <c r="H50" i="42"/>
  <c r="O49" i="42"/>
  <c r="N49" i="42"/>
  <c r="L49" i="42"/>
  <c r="O48" i="42"/>
  <c r="N48" i="42"/>
  <c r="L48" i="42"/>
  <c r="O47" i="42"/>
  <c r="N47" i="42"/>
  <c r="L47" i="42"/>
  <c r="H47" i="42"/>
  <c r="O46" i="42"/>
  <c r="N46" i="42"/>
  <c r="L46" i="42"/>
  <c r="H46" i="42"/>
  <c r="O45" i="42"/>
  <c r="N45" i="42"/>
  <c r="L45" i="42"/>
  <c r="O44" i="42"/>
  <c r="N44" i="42"/>
  <c r="L44" i="42"/>
  <c r="O43" i="42"/>
  <c r="N43" i="42"/>
  <c r="L43" i="42"/>
  <c r="O42" i="42"/>
  <c r="N42" i="42"/>
  <c r="L42" i="42"/>
  <c r="J40" i="42"/>
  <c r="N40" i="42" s="1"/>
  <c r="E49" i="12" s="1"/>
  <c r="G40" i="42"/>
  <c r="O40" i="42" s="1"/>
  <c r="F49" i="12" s="1"/>
  <c r="O38" i="42"/>
  <c r="N38" i="42"/>
  <c r="L38" i="42"/>
  <c r="H38" i="42"/>
  <c r="O37" i="42"/>
  <c r="N37" i="42"/>
  <c r="L37" i="42"/>
  <c r="H37" i="42"/>
  <c r="O36" i="42"/>
  <c r="N36" i="42"/>
  <c r="L36" i="42"/>
  <c r="H36" i="42"/>
  <c r="O35" i="42"/>
  <c r="N35" i="42"/>
  <c r="L35" i="42"/>
  <c r="H35" i="42"/>
  <c r="O34" i="42"/>
  <c r="N34" i="42"/>
  <c r="L34" i="42"/>
  <c r="H34" i="42"/>
  <c r="O33" i="42"/>
  <c r="N33" i="42"/>
  <c r="L33" i="42"/>
  <c r="H33" i="42"/>
  <c r="O32" i="42"/>
  <c r="N32" i="42"/>
  <c r="L32" i="42"/>
  <c r="H32" i="42"/>
  <c r="O31" i="42"/>
  <c r="N31" i="42"/>
  <c r="L31" i="42"/>
  <c r="H31" i="42"/>
  <c r="O30" i="42"/>
  <c r="N30" i="42"/>
  <c r="L30" i="42"/>
  <c r="H30" i="42"/>
  <c r="M28" i="42"/>
  <c r="K28" i="42"/>
  <c r="J28" i="42"/>
  <c r="N28" i="42" s="1"/>
  <c r="E48" i="12" s="1"/>
  <c r="I28" i="42"/>
  <c r="L48" i="12" s="1"/>
  <c r="G28" i="42"/>
  <c r="O26" i="42"/>
  <c r="P26" i="42"/>
  <c r="O25" i="42"/>
  <c r="N25" i="42"/>
  <c r="P25" i="42"/>
  <c r="P24" i="42"/>
  <c r="O24" i="42"/>
  <c r="N24" i="42"/>
  <c r="O23" i="42"/>
  <c r="N23" i="42"/>
  <c r="P23" i="42"/>
  <c r="P22" i="42"/>
  <c r="O22" i="42"/>
  <c r="N22" i="42"/>
  <c r="O21" i="42"/>
  <c r="N21" i="42"/>
  <c r="P21" i="42"/>
  <c r="O20" i="42"/>
  <c r="N20" i="42"/>
  <c r="L28" i="42"/>
  <c r="P20" i="42"/>
  <c r="O19" i="42"/>
  <c r="N19" i="42"/>
  <c r="P19" i="42"/>
  <c r="O18" i="42"/>
  <c r="N18" i="42"/>
  <c r="P18" i="42"/>
  <c r="F57" i="10"/>
  <c r="H57" i="10" s="1"/>
  <c r="D59" i="10"/>
  <c r="D43" i="10"/>
  <c r="F41" i="10"/>
  <c r="H41" i="10" s="1"/>
  <c r="O28" i="42" l="1"/>
  <c r="F48" i="12" s="1"/>
  <c r="P48" i="42"/>
  <c r="P50" i="42"/>
  <c r="L52" i="42"/>
  <c r="L40" i="42"/>
  <c r="P47" i="42"/>
  <c r="O52" i="42"/>
  <c r="F50" i="12" s="1"/>
  <c r="P46" i="42"/>
  <c r="P43" i="42"/>
  <c r="P45" i="42"/>
  <c r="P49" i="42"/>
  <c r="H52" i="42"/>
  <c r="P44" i="42"/>
  <c r="P42" i="42"/>
  <c r="P32" i="42"/>
  <c r="P34" i="42"/>
  <c r="P36" i="42"/>
  <c r="P38" i="42"/>
  <c r="P31" i="42"/>
  <c r="P35" i="42"/>
  <c r="P37" i="42"/>
  <c r="H40" i="42"/>
  <c r="P33" i="42"/>
  <c r="H28" i="42"/>
  <c r="P28" i="42" s="1"/>
  <c r="P30" i="42"/>
  <c r="P52" i="42" l="1"/>
  <c r="I48" i="12"/>
  <c r="H29" i="10" s="1"/>
  <c r="P40" i="42"/>
  <c r="H17" i="20"/>
  <c r="H21" i="20" s="1"/>
  <c r="H38" i="4" s="1"/>
  <c r="I50" i="12" l="1"/>
  <c r="H45" i="10"/>
  <c r="E31" i="36"/>
  <c r="H61" i="10" l="1"/>
  <c r="E39" i="36"/>
  <c r="F31" i="36"/>
  <c r="F39" i="36" s="1"/>
  <c r="F23" i="36"/>
  <c r="E23" i="36"/>
  <c r="H117" i="41" s="1"/>
  <c r="M18" i="35" l="1"/>
  <c r="F25" i="10" s="1"/>
  <c r="Q44" i="12" l="1"/>
  <c r="A8" i="10" l="1"/>
  <c r="P24" i="6" l="1"/>
  <c r="O24" i="6"/>
  <c r="N24" i="6"/>
  <c r="M24" i="6"/>
  <c r="W143" i="25" l="1"/>
  <c r="R73" i="25"/>
  <c r="Q73" i="25"/>
  <c r="P73" i="25"/>
  <c r="O73" i="25"/>
  <c r="N73" i="25"/>
  <c r="M73" i="25"/>
  <c r="L73" i="25"/>
  <c r="W71" i="25"/>
  <c r="D71" i="25"/>
  <c r="D70" i="25"/>
  <c r="E131" i="39" l="1"/>
  <c r="D131" i="39"/>
  <c r="E123" i="39"/>
  <c r="E111" i="39"/>
  <c r="D111" i="39"/>
  <c r="E100" i="39"/>
  <c r="D100" i="39"/>
  <c r="E88" i="39"/>
  <c r="D88" i="39"/>
  <c r="E70" i="39"/>
  <c r="D70" i="39"/>
  <c r="E58" i="39"/>
  <c r="D58" i="39"/>
  <c r="E36" i="39"/>
  <c r="D36" i="39"/>
  <c r="E43" i="39"/>
  <c r="D43" i="39"/>
  <c r="E50" i="39"/>
  <c r="D50" i="39"/>
  <c r="E28" i="39"/>
  <c r="D28" i="39"/>
  <c r="H57" i="38"/>
  <c r="G57" i="38"/>
  <c r="H51" i="38"/>
  <c r="G51" i="38"/>
  <c r="H41" i="38"/>
  <c r="G41" i="38"/>
  <c r="H33" i="38"/>
  <c r="G33" i="38"/>
  <c r="H22" i="38"/>
  <c r="T57" i="29"/>
  <c r="R57" i="29"/>
  <c r="P57" i="29"/>
  <c r="N57" i="29"/>
  <c r="L57" i="29"/>
  <c r="J57" i="29"/>
  <c r="H57" i="29"/>
  <c r="H30" i="19"/>
  <c r="I28" i="33" l="1"/>
  <c r="H28" i="33"/>
  <c r="C48" i="15"/>
  <c r="E48" i="15"/>
  <c r="I23" i="33" l="1"/>
  <c r="H27" i="31"/>
  <c r="K33" i="30"/>
  <c r="J33" i="30"/>
  <c r="I33" i="30"/>
  <c r="H33" i="30"/>
  <c r="G33" i="30"/>
  <c r="F33" i="30"/>
  <c r="E33" i="30"/>
  <c r="K21" i="30"/>
  <c r="J21" i="30"/>
  <c r="I21" i="30"/>
  <c r="H21" i="30"/>
  <c r="G21" i="30"/>
  <c r="F21" i="30"/>
  <c r="E21" i="30"/>
  <c r="T44" i="29"/>
  <c r="N44" i="29"/>
  <c r="L44" i="29"/>
  <c r="J44" i="29"/>
  <c r="H44" i="29"/>
  <c r="F44" i="29"/>
  <c r="T39" i="29"/>
  <c r="S39" i="29"/>
  <c r="Q39" i="29"/>
  <c r="O39" i="29"/>
  <c r="N39" i="29"/>
  <c r="L39" i="29"/>
  <c r="J39" i="29"/>
  <c r="I39" i="29"/>
  <c r="H39" i="29"/>
  <c r="T34" i="29"/>
  <c r="N34" i="29"/>
  <c r="L34" i="29"/>
  <c r="J34" i="29"/>
  <c r="H34" i="29"/>
  <c r="F34" i="29"/>
  <c r="T22" i="29"/>
  <c r="N22" i="29"/>
  <c r="J22" i="29"/>
  <c r="H22" i="29"/>
  <c r="F22" i="29"/>
  <c r="M41" i="28"/>
  <c r="K41" i="28"/>
  <c r="J41" i="28"/>
  <c r="H41" i="28"/>
  <c r="G41" i="28"/>
  <c r="I51" i="30" l="1"/>
  <c r="K51" i="30"/>
  <c r="G51" i="30"/>
  <c r="F51" i="30"/>
  <c r="H51" i="30"/>
  <c r="J51" i="30"/>
  <c r="E51" i="30"/>
  <c r="F60" i="29"/>
  <c r="F62" i="29" s="1"/>
  <c r="T60" i="29"/>
  <c r="J60" i="29"/>
  <c r="L60" i="29"/>
  <c r="H60" i="29"/>
  <c r="N60" i="29"/>
  <c r="D48" i="15"/>
  <c r="F48" i="15" l="1"/>
  <c r="H29" i="4" s="1"/>
  <c r="A352" i="26"/>
  <c r="A351" i="26"/>
  <c r="A241" i="26"/>
  <c r="A240" i="26"/>
  <c r="A165" i="26"/>
  <c r="A163" i="26"/>
  <c r="A103" i="26"/>
  <c r="A102" i="26"/>
  <c r="N55" i="26" l="1"/>
  <c r="M55" i="26"/>
  <c r="L55" i="26"/>
  <c r="K55" i="26"/>
  <c r="D21" i="25" l="1"/>
  <c r="A185" i="24"/>
  <c r="C185" i="24" s="1"/>
  <c r="O33" i="25" l="1"/>
  <c r="P33" i="25"/>
  <c r="R33" i="25"/>
  <c r="D24" i="25"/>
  <c r="D25" i="25"/>
  <c r="D26" i="25"/>
  <c r="D27" i="25"/>
  <c r="D28" i="25"/>
  <c r="D29" i="25"/>
  <c r="D30" i="25"/>
  <c r="D31" i="25"/>
  <c r="D32" i="25"/>
  <c r="D33" i="25"/>
  <c r="D36" i="25"/>
  <c r="D37" i="25"/>
  <c r="D38" i="25"/>
  <c r="D39" i="25"/>
  <c r="D40" i="25"/>
  <c r="D43" i="25"/>
  <c r="D44" i="25"/>
  <c r="D45" i="25"/>
  <c r="D49" i="25"/>
  <c r="D50" i="25"/>
  <c r="D51" i="25"/>
  <c r="D52" i="25"/>
  <c r="D53" i="25"/>
  <c r="D54" i="25"/>
  <c r="D57" i="25"/>
  <c r="D58" i="25"/>
  <c r="D59" i="25"/>
  <c r="D60" i="25"/>
  <c r="D61" i="25"/>
  <c r="D62" i="25"/>
  <c r="D63" i="25"/>
  <c r="D64" i="25"/>
  <c r="D65" i="25"/>
  <c r="D68" i="25"/>
  <c r="D75" i="25"/>
  <c r="D76" i="25"/>
  <c r="D77" i="25"/>
  <c r="D78" i="25"/>
  <c r="D79" i="25"/>
  <c r="D80" i="25"/>
  <c r="D81" i="25"/>
  <c r="D82" i="25"/>
  <c r="D88" i="25"/>
  <c r="D89" i="25"/>
  <c r="D90" i="25"/>
  <c r="D91" i="25"/>
  <c r="D94" i="25"/>
  <c r="D95" i="25"/>
  <c r="D96" i="25"/>
  <c r="D98" i="25"/>
  <c r="D99" i="25"/>
  <c r="D100" i="25"/>
  <c r="D101" i="25"/>
  <c r="D102" i="25"/>
  <c r="D103" i="25"/>
  <c r="D104" i="25"/>
  <c r="D107" i="25"/>
  <c r="D108" i="25"/>
  <c r="D109" i="25"/>
  <c r="D110" i="25"/>
  <c r="D111" i="25"/>
  <c r="D112" i="25"/>
  <c r="D113" i="25"/>
  <c r="D114" i="25"/>
  <c r="D115" i="25"/>
  <c r="D116" i="25"/>
  <c r="D117" i="25"/>
  <c r="D118" i="25"/>
  <c r="D119" i="25"/>
  <c r="D122" i="25"/>
  <c r="D123" i="25"/>
  <c r="D124" i="25"/>
  <c r="D125" i="25"/>
  <c r="D126" i="25"/>
  <c r="D127" i="25"/>
  <c r="D128" i="25"/>
  <c r="D129" i="25"/>
  <c r="D130" i="25"/>
  <c r="D131" i="25"/>
  <c r="D132" i="25"/>
  <c r="D133" i="25"/>
  <c r="D134" i="25"/>
  <c r="D135" i="25"/>
  <c r="D136" i="25"/>
  <c r="D139" i="25"/>
  <c r="D20" i="25"/>
  <c r="Q33" i="25" l="1"/>
  <c r="A192" i="24"/>
  <c r="A191" i="24"/>
  <c r="A182" i="24"/>
  <c r="A181" i="24"/>
  <c r="A175" i="24"/>
  <c r="A174" i="24"/>
  <c r="A168" i="24"/>
  <c r="A167" i="24"/>
  <c r="A158" i="24"/>
  <c r="A157" i="24"/>
  <c r="A134" i="24"/>
  <c r="C134" i="24" s="1"/>
  <c r="A135" i="24"/>
  <c r="C135" i="24" s="1"/>
  <c r="A136" i="24"/>
  <c r="C136" i="24" s="1"/>
  <c r="A137" i="24"/>
  <c r="C137" i="24" s="1"/>
  <c r="A138" i="24"/>
  <c r="A139" i="24"/>
  <c r="A140" i="24"/>
  <c r="A141" i="24"/>
  <c r="A142" i="24"/>
  <c r="C142" i="24" s="1"/>
  <c r="A143" i="24"/>
  <c r="C143" i="24" s="1"/>
  <c r="A144" i="24"/>
  <c r="C144" i="24" s="1"/>
  <c r="A145" i="24"/>
  <c r="C145" i="24" s="1"/>
  <c r="A146" i="24"/>
  <c r="C146" i="24" s="1"/>
  <c r="A147" i="24"/>
  <c r="C147" i="24" s="1"/>
  <c r="A148" i="24"/>
  <c r="A149" i="24"/>
  <c r="A150" i="24"/>
  <c r="A151" i="24"/>
  <c r="A152" i="24"/>
  <c r="C152" i="24" s="1"/>
  <c r="A153" i="24"/>
  <c r="C153" i="24" s="1"/>
  <c r="A154" i="24"/>
  <c r="C154" i="24" s="1"/>
  <c r="A155" i="24"/>
  <c r="C155" i="24" s="1"/>
  <c r="A156" i="24"/>
  <c r="C156" i="24" s="1"/>
  <c r="A159" i="24"/>
  <c r="A160" i="24"/>
  <c r="A161" i="24"/>
  <c r="C161" i="24" s="1"/>
  <c r="A162" i="24"/>
  <c r="C162" i="24" s="1"/>
  <c r="A163" i="24"/>
  <c r="C163" i="24" s="1"/>
  <c r="A164" i="24"/>
  <c r="C164" i="24" s="1"/>
  <c r="A165" i="24"/>
  <c r="C165" i="24" s="1"/>
  <c r="A166" i="24"/>
  <c r="C166" i="24" s="1"/>
  <c r="A169" i="24"/>
  <c r="A170" i="24"/>
  <c r="A171" i="24"/>
  <c r="C171" i="24" s="1"/>
  <c r="A172" i="24"/>
  <c r="C172" i="24" s="1"/>
  <c r="A173" i="24"/>
  <c r="C173" i="24" s="1"/>
  <c r="A176" i="24"/>
  <c r="A177" i="24"/>
  <c r="A178" i="24"/>
  <c r="C178" i="24" s="1"/>
  <c r="A179" i="24"/>
  <c r="C179" i="24" s="1"/>
  <c r="A180" i="24"/>
  <c r="C180" i="24" s="1"/>
  <c r="A183" i="24"/>
  <c r="A184" i="24"/>
  <c r="A186" i="24"/>
  <c r="C186" i="24" s="1"/>
  <c r="A187" i="24"/>
  <c r="C187" i="24" s="1"/>
  <c r="A188" i="24"/>
  <c r="C188" i="24" s="1"/>
  <c r="A189" i="24"/>
  <c r="C189" i="24" s="1"/>
  <c r="A190" i="24"/>
  <c r="C190" i="24" s="1"/>
  <c r="A193" i="24"/>
  <c r="A195" i="24"/>
  <c r="A197" i="24"/>
  <c r="A17" i="24"/>
  <c r="C17" i="24" s="1"/>
  <c r="A18" i="24"/>
  <c r="C18" i="24" s="1"/>
  <c r="A19" i="24"/>
  <c r="C19" i="24" s="1"/>
  <c r="A20" i="24"/>
  <c r="C20" i="24" s="1"/>
  <c r="A23" i="24"/>
  <c r="A24" i="24"/>
  <c r="A25" i="24"/>
  <c r="C25" i="24" s="1"/>
  <c r="A26" i="24"/>
  <c r="C26" i="24" s="1"/>
  <c r="A27" i="24"/>
  <c r="C27" i="24" s="1"/>
  <c r="A28" i="24"/>
  <c r="C28" i="24" s="1"/>
  <c r="A29" i="24"/>
  <c r="C29" i="24" s="1"/>
  <c r="A39" i="24"/>
  <c r="A40" i="24"/>
  <c r="A41" i="24"/>
  <c r="A42" i="24"/>
  <c r="A43" i="24"/>
  <c r="C43" i="24" s="1"/>
  <c r="A44" i="24"/>
  <c r="C44" i="24" s="1"/>
  <c r="A45" i="24"/>
  <c r="C45" i="24" s="1"/>
  <c r="A46" i="24"/>
  <c r="C46" i="24" s="1"/>
  <c r="A47" i="24"/>
  <c r="C47" i="24" s="1"/>
  <c r="A48" i="24"/>
  <c r="A49" i="24"/>
  <c r="A50" i="24"/>
  <c r="A51" i="24"/>
  <c r="A52" i="24"/>
  <c r="C52" i="24" s="1"/>
  <c r="A53" i="24"/>
  <c r="C53" i="24" s="1"/>
  <c r="A54" i="24"/>
  <c r="C54" i="24" s="1"/>
  <c r="A55" i="24"/>
  <c r="C55" i="24" s="1"/>
  <c r="A56" i="24"/>
  <c r="A57" i="24"/>
  <c r="A58" i="24"/>
  <c r="A59" i="24"/>
  <c r="A60" i="24"/>
  <c r="C60" i="24" s="1"/>
  <c r="A61" i="24"/>
  <c r="C61" i="24" s="1"/>
  <c r="A62" i="24"/>
  <c r="C62" i="24" s="1"/>
  <c r="A63" i="24"/>
  <c r="C63" i="24" s="1"/>
  <c r="A64" i="24"/>
  <c r="C64" i="24" s="1"/>
  <c r="A65" i="24"/>
  <c r="A66" i="24"/>
  <c r="A67" i="24"/>
  <c r="A68" i="24"/>
  <c r="A69" i="24"/>
  <c r="C69" i="24" s="1"/>
  <c r="A70" i="24"/>
  <c r="C70" i="24" s="1"/>
  <c r="A71" i="24"/>
  <c r="C71" i="24" s="1"/>
  <c r="A72" i="24"/>
  <c r="C72" i="24" s="1"/>
  <c r="A73" i="24"/>
  <c r="C73" i="24" s="1"/>
  <c r="A74" i="24"/>
  <c r="A75" i="24"/>
  <c r="A76" i="24"/>
  <c r="A77" i="24"/>
  <c r="A78" i="24"/>
  <c r="C78" i="24" s="1"/>
  <c r="A79" i="24"/>
  <c r="C79" i="24" s="1"/>
  <c r="A80" i="24"/>
  <c r="C80" i="24" s="1"/>
  <c r="A81" i="24"/>
  <c r="C81" i="24" s="1"/>
  <c r="A82" i="24"/>
  <c r="C82" i="24" s="1"/>
  <c r="A83" i="24"/>
  <c r="A84" i="24"/>
  <c r="A85" i="24"/>
  <c r="A86" i="24"/>
  <c r="A87" i="24"/>
  <c r="C87" i="24" s="1"/>
  <c r="A88" i="24"/>
  <c r="C88" i="24" s="1"/>
  <c r="A89" i="24"/>
  <c r="C89" i="24" s="1"/>
  <c r="A90" i="24"/>
  <c r="C90" i="24" s="1"/>
  <c r="A91" i="24"/>
  <c r="C91" i="24" s="1"/>
  <c r="A92" i="24"/>
  <c r="C92" i="24" s="1"/>
  <c r="A93" i="24"/>
  <c r="C93" i="24" s="1"/>
  <c r="A94" i="24"/>
  <c r="A95" i="24"/>
  <c r="A96" i="24"/>
  <c r="A97" i="24"/>
  <c r="A98" i="24"/>
  <c r="C98" i="24" s="1"/>
  <c r="A99" i="24"/>
  <c r="C99" i="24" s="1"/>
  <c r="A100" i="24"/>
  <c r="C100" i="24" s="1"/>
  <c r="A101" i="24"/>
  <c r="C101" i="24" s="1"/>
  <c r="A102" i="24"/>
  <c r="C102" i="24" s="1"/>
  <c r="A103" i="24"/>
  <c r="A104" i="24"/>
  <c r="A105" i="24"/>
  <c r="A106" i="24"/>
  <c r="A107" i="24"/>
  <c r="C107" i="24" s="1"/>
  <c r="A108" i="24"/>
  <c r="C108" i="24" s="1"/>
  <c r="A109" i="24"/>
  <c r="A110" i="24"/>
  <c r="A111" i="24"/>
  <c r="A112" i="24"/>
  <c r="A114" i="24"/>
  <c r="A116" i="24"/>
  <c r="A117" i="24"/>
  <c r="A118" i="24"/>
  <c r="A119" i="24"/>
  <c r="C119" i="24" s="1"/>
  <c r="A120" i="24"/>
  <c r="C120" i="24" s="1"/>
  <c r="A121" i="24"/>
  <c r="C121" i="24" s="1"/>
  <c r="A122" i="24"/>
  <c r="C122" i="24" s="1"/>
  <c r="A123" i="24"/>
  <c r="C123" i="24" s="1"/>
  <c r="A124" i="24"/>
  <c r="C124" i="24" s="1"/>
  <c r="A125" i="24"/>
  <c r="C125" i="24" s="1"/>
  <c r="A126" i="24"/>
  <c r="A127" i="24"/>
  <c r="A128" i="24"/>
  <c r="A129" i="24"/>
  <c r="A130" i="24"/>
  <c r="C130" i="24" s="1"/>
  <c r="A131" i="24"/>
  <c r="C131" i="24" s="1"/>
  <c r="A132" i="24"/>
  <c r="C132" i="24" s="1"/>
  <c r="A133" i="24"/>
  <c r="C133" i="24" s="1"/>
  <c r="A16" i="24"/>
  <c r="C16" i="24" s="1"/>
  <c r="A19" i="26"/>
  <c r="A20" i="26"/>
  <c r="A21" i="26"/>
  <c r="A22" i="26"/>
  <c r="A23" i="26"/>
  <c r="A24" i="26"/>
  <c r="A25" i="26"/>
  <c r="A26" i="26"/>
  <c r="A27" i="26"/>
  <c r="A28" i="26"/>
  <c r="A29" i="26"/>
  <c r="A30" i="26"/>
  <c r="A31" i="26"/>
  <c r="A32" i="26"/>
  <c r="A33"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34"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2" i="26"/>
  <c r="A243" i="26"/>
  <c r="A245"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333" i="26"/>
  <c r="A18" i="26"/>
  <c r="K36" i="24" l="1"/>
  <c r="N65" i="25"/>
  <c r="K62" i="25"/>
  <c r="L62" i="25"/>
  <c r="N62" i="25"/>
  <c r="N109" i="25"/>
  <c r="L109" i="25"/>
  <c r="N85" i="25"/>
  <c r="K85" i="25"/>
  <c r="L85" i="25"/>
  <c r="K38" i="24"/>
  <c r="K32" i="24"/>
  <c r="K64" i="25"/>
  <c r="L64" i="25"/>
  <c r="N64" i="25"/>
  <c r="K61" i="25"/>
  <c r="N61" i="25"/>
  <c r="K30" i="25"/>
  <c r="N30" i="25"/>
  <c r="K90" i="25"/>
  <c r="N143" i="25"/>
  <c r="K143" i="25"/>
  <c r="L143" i="25"/>
  <c r="K84" i="25"/>
  <c r="L84" i="25"/>
  <c r="N84" i="25"/>
  <c r="K34" i="24"/>
  <c r="L54" i="25"/>
  <c r="N54" i="25"/>
  <c r="K60" i="25"/>
  <c r="L60" i="25"/>
  <c r="N60" i="25"/>
  <c r="L29" i="25"/>
  <c r="N29" i="25"/>
  <c r="K25" i="25"/>
  <c r="N25" i="25"/>
  <c r="L25" i="25"/>
  <c r="L53" i="25"/>
  <c r="N53" i="25"/>
  <c r="K53" i="25"/>
  <c r="L45" i="25"/>
  <c r="L48" i="25" s="1"/>
  <c r="K45" i="25"/>
  <c r="K48" i="25" s="1"/>
  <c r="L28" i="25"/>
  <c r="K28" i="25"/>
  <c r="L40" i="25"/>
  <c r="N40" i="25"/>
  <c r="K40" i="25"/>
  <c r="K35" i="24"/>
  <c r="K52" i="25"/>
  <c r="L52" i="25"/>
  <c r="N52" i="25"/>
  <c r="L38" i="25"/>
  <c r="N38" i="25"/>
  <c r="K27" i="25"/>
  <c r="L27" i="25"/>
  <c r="N27" i="25"/>
  <c r="L32" i="25"/>
  <c r="N32" i="25"/>
  <c r="K32" i="25"/>
  <c r="N97" i="25"/>
  <c r="K97" i="25"/>
  <c r="L97" i="25"/>
  <c r="K107" i="24"/>
  <c r="K37" i="24"/>
  <c r="K31" i="24"/>
  <c r="L51" i="25"/>
  <c r="N51" i="25"/>
  <c r="K59" i="25"/>
  <c r="L59" i="25"/>
  <c r="N59" i="25"/>
  <c r="L26" i="25"/>
  <c r="N26" i="25"/>
  <c r="K30" i="24"/>
  <c r="K33" i="24"/>
  <c r="L63" i="25"/>
  <c r="N63" i="25"/>
  <c r="L20" i="25"/>
  <c r="L23" i="25" s="1"/>
  <c r="N20" i="25"/>
  <c r="N23" i="25" s="1"/>
  <c r="K50" i="25"/>
  <c r="L50" i="25"/>
  <c r="N50" i="25"/>
  <c r="F39" i="25"/>
  <c r="F90" i="25"/>
  <c r="F52" i="25"/>
  <c r="F60" i="25"/>
  <c r="F62" i="25"/>
  <c r="F30" i="25"/>
  <c r="F109" i="25"/>
  <c r="F20" i="25"/>
  <c r="F40" i="25"/>
  <c r="F38" i="25"/>
  <c r="F28" i="25"/>
  <c r="F53" i="25"/>
  <c r="F31" i="25"/>
  <c r="F61" i="25"/>
  <c r="F63" i="25"/>
  <c r="F54" i="25"/>
  <c r="F32" i="25"/>
  <c r="F25" i="25"/>
  <c r="F64" i="25"/>
  <c r="F65" i="25"/>
  <c r="F33" i="25"/>
  <c r="F26" i="25"/>
  <c r="F27" i="25"/>
  <c r="F51" i="25"/>
  <c r="F29" i="25"/>
  <c r="F45" i="25"/>
  <c r="F59" i="25"/>
  <c r="F50" i="25"/>
  <c r="O63" i="25"/>
  <c r="P39" i="25"/>
  <c r="P53" i="25"/>
  <c r="R51" i="25"/>
  <c r="R60" i="25"/>
  <c r="R28" i="25"/>
  <c r="K38" i="25"/>
  <c r="K51" i="25"/>
  <c r="O90" i="25"/>
  <c r="L31" i="25"/>
  <c r="R20" i="25"/>
  <c r="R23" i="25" s="1"/>
  <c r="R61" i="25"/>
  <c r="O38" i="25"/>
  <c r="O28" i="25"/>
  <c r="O60" i="25"/>
  <c r="R59" i="25"/>
  <c r="O62" i="25"/>
  <c r="O45" i="25"/>
  <c r="O48" i="25" s="1"/>
  <c r="P29" i="25"/>
  <c r="P20" i="25"/>
  <c r="P23" i="25" s="1"/>
  <c r="O20" i="25"/>
  <c r="O23" i="25" s="1"/>
  <c r="L90" i="25"/>
  <c r="P45" i="25"/>
  <c r="P48" i="25" s="1"/>
  <c r="K109" i="25"/>
  <c r="N31" i="25"/>
  <c r="K54" i="25"/>
  <c r="P30" i="25"/>
  <c r="R109" i="25"/>
  <c r="O64" i="25"/>
  <c r="R63" i="25"/>
  <c r="N39" i="25"/>
  <c r="O32" i="25"/>
  <c r="P26" i="25"/>
  <c r="P50" i="25"/>
  <c r="P54" i="25"/>
  <c r="R31" i="25"/>
  <c r="O29" i="25"/>
  <c r="P64" i="25"/>
  <c r="K65" i="25"/>
  <c r="L65" i="25"/>
  <c r="R54" i="25"/>
  <c r="O39" i="25"/>
  <c r="P40" i="25"/>
  <c r="K31" i="25"/>
  <c r="P31" i="25"/>
  <c r="O26" i="25"/>
  <c r="O27" i="25"/>
  <c r="O59" i="25"/>
  <c r="R64" i="25"/>
  <c r="P63" i="25"/>
  <c r="L61" i="25"/>
  <c r="R65" i="25"/>
  <c r="R53" i="25"/>
  <c r="P90" i="25"/>
  <c r="P25" i="25"/>
  <c r="R32" i="25"/>
  <c r="R30" i="25"/>
  <c r="P60" i="25"/>
  <c r="O65" i="25"/>
  <c r="P65" i="25"/>
  <c r="R52" i="25"/>
  <c r="P52" i="25"/>
  <c r="R38" i="25"/>
  <c r="K39" i="25"/>
  <c r="R40" i="25"/>
  <c r="O30" i="25"/>
  <c r="O31" i="25"/>
  <c r="L30" i="25"/>
  <c r="R62" i="25"/>
  <c r="P61" i="25"/>
  <c r="P32" i="25"/>
  <c r="O52" i="25"/>
  <c r="K20" i="25"/>
  <c r="K23" i="25" s="1"/>
  <c r="K26" i="25"/>
  <c r="O25" i="25"/>
  <c r="R90" i="25"/>
  <c r="O109" i="25"/>
  <c r="O50" i="25"/>
  <c r="O54" i="25"/>
  <c r="N45" i="25"/>
  <c r="N48" i="25" s="1"/>
  <c r="P62" i="25"/>
  <c r="O51" i="25"/>
  <c r="P51" i="25"/>
  <c r="P38" i="25"/>
  <c r="L39" i="25"/>
  <c r="N28" i="25"/>
  <c r="P27" i="25"/>
  <c r="P28" i="25"/>
  <c r="O61" i="25"/>
  <c r="K63" i="25"/>
  <c r="K29" i="25"/>
  <c r="O40" i="25"/>
  <c r="O53" i="25"/>
  <c r="R25" i="25"/>
  <c r="P109" i="25"/>
  <c r="R26" i="25"/>
  <c r="P59" i="25"/>
  <c r="R29" i="25"/>
  <c r="R39" i="25"/>
  <c r="R50" i="25"/>
  <c r="R27" i="25"/>
  <c r="R45" i="25"/>
  <c r="R48" i="25" s="1"/>
  <c r="L52" i="6" l="1"/>
  <c r="M84" i="25"/>
  <c r="J52" i="6"/>
  <c r="N90" i="25"/>
  <c r="K52" i="6"/>
  <c r="M97" i="25"/>
  <c r="M85" i="25"/>
  <c r="I52" i="6"/>
  <c r="M39" i="25"/>
  <c r="I24" i="6"/>
  <c r="G55" i="26"/>
  <c r="K24" i="6"/>
  <c r="I55" i="26"/>
  <c r="L24" i="6"/>
  <c r="J55" i="26"/>
  <c r="J24" i="6"/>
  <c r="H55" i="26"/>
  <c r="Q26" i="25"/>
  <c r="M51" i="25"/>
  <c r="Q50" i="25"/>
  <c r="M109" i="25"/>
  <c r="M60" i="25"/>
  <c r="Q40" i="25"/>
  <c r="Q54" i="25"/>
  <c r="Q31" i="25"/>
  <c r="Q38" i="25"/>
  <c r="Q62" i="25"/>
  <c r="M25" i="25"/>
  <c r="M28" i="25"/>
  <c r="M27" i="25"/>
  <c r="M32" i="25"/>
  <c r="M50" i="25"/>
  <c r="Q90" i="25"/>
  <c r="Q61" i="25"/>
  <c r="M53" i="25"/>
  <c r="M90" i="25"/>
  <c r="Q65" i="25"/>
  <c r="M52" i="25"/>
  <c r="M61" i="25"/>
  <c r="M65" i="25"/>
  <c r="Q53" i="25"/>
  <c r="Q20" i="25"/>
  <c r="Q23" i="25" s="1"/>
  <c r="Q109" i="25"/>
  <c r="M26" i="25"/>
  <c r="M54" i="25"/>
  <c r="M62" i="25"/>
  <c r="M31" i="25"/>
  <c r="N43" i="25"/>
  <c r="Q27" i="25"/>
  <c r="Q30" i="25"/>
  <c r="Q28" i="25"/>
  <c r="M38" i="25"/>
  <c r="M63" i="25"/>
  <c r="K43" i="25"/>
  <c r="O36" i="25"/>
  <c r="Q52" i="25"/>
  <c r="Q63" i="25"/>
  <c r="Q64" i="25"/>
  <c r="Q32" i="25"/>
  <c r="Q29" i="25"/>
  <c r="M30" i="25"/>
  <c r="L43" i="25"/>
  <c r="L68" i="25"/>
  <c r="N68" i="25"/>
  <c r="P43" i="25"/>
  <c r="M64" i="25"/>
  <c r="M40" i="25"/>
  <c r="R36" i="25"/>
  <c r="R43" i="25"/>
  <c r="N57" i="25"/>
  <c r="O68" i="25"/>
  <c r="P36" i="25"/>
  <c r="O43" i="25"/>
  <c r="R57" i="25"/>
  <c r="R68" i="25"/>
  <c r="K57" i="25"/>
  <c r="K68" i="25"/>
  <c r="P57" i="25"/>
  <c r="M45" i="25"/>
  <c r="M48" i="25" s="1"/>
  <c r="P68" i="25"/>
  <c r="O57" i="25"/>
  <c r="L57" i="25"/>
  <c r="Q59" i="25"/>
  <c r="Q39" i="25"/>
  <c r="Q25" i="25"/>
  <c r="M29" i="25"/>
  <c r="Q60" i="25"/>
  <c r="M59" i="25"/>
  <c r="Q45" i="25"/>
  <c r="Q48" i="25" s="1"/>
  <c r="Q51" i="25"/>
  <c r="F34" i="22"/>
  <c r="J34" i="22" s="1"/>
  <c r="F26" i="21" l="1"/>
  <c r="F35" i="21"/>
  <c r="P75" i="25"/>
  <c r="O75" i="25"/>
  <c r="R75" i="25"/>
  <c r="Q43" i="25"/>
  <c r="F28" i="22"/>
  <c r="F36" i="22" s="1"/>
  <c r="M68" i="25"/>
  <c r="M43" i="25"/>
  <c r="M57" i="25"/>
  <c r="Q57" i="25"/>
  <c r="Q36" i="25"/>
  <c r="Q68" i="25"/>
  <c r="Q75" i="25" l="1"/>
  <c r="H158" i="41"/>
  <c r="H159" i="41" s="1"/>
  <c r="H30" i="33" l="1"/>
  <c r="I30" i="33" l="1"/>
  <c r="K16" i="35"/>
  <c r="I20" i="35"/>
  <c r="H91" i="41" l="1"/>
  <c r="J30" i="33"/>
  <c r="I112" i="41" l="1"/>
  <c r="H112" i="41"/>
  <c r="I110" i="41"/>
  <c r="H110" i="41"/>
  <c r="J99" i="41"/>
  <c r="H99" i="41"/>
  <c r="I90" i="41"/>
  <c r="H90" i="41"/>
  <c r="H92" i="41" s="1"/>
  <c r="I113" i="41" l="1"/>
  <c r="H113" i="41"/>
  <c r="O53" i="41"/>
  <c r="L55" i="41"/>
  <c r="K53" i="41"/>
  <c r="I17" i="41"/>
  <c r="H30" i="41" l="1"/>
  <c r="H17" i="41"/>
  <c r="H140" i="41" l="1"/>
  <c r="I116" i="41" l="1"/>
  <c r="I115" i="41"/>
  <c r="H116" i="41"/>
  <c r="H115" i="41"/>
  <c r="J27" i="41" l="1"/>
  <c r="I42" i="41"/>
  <c r="J42" i="41" s="1"/>
  <c r="J30" i="41"/>
  <c r="J17" i="41" l="1"/>
  <c r="O54" i="41" l="1"/>
  <c r="N55" i="41"/>
  <c r="K54" i="41"/>
  <c r="K59" i="41" s="1"/>
  <c r="P34" i="6" l="1"/>
  <c r="O34" i="6"/>
  <c r="N34" i="6"/>
  <c r="M34" i="6"/>
  <c r="L34" i="6"/>
  <c r="H45" i="5" s="1"/>
  <c r="K34" i="6"/>
  <c r="J34" i="6"/>
  <c r="I34" i="6"/>
  <c r="N33" i="25" l="1"/>
  <c r="N36" i="25" s="1"/>
  <c r="N75" i="25" s="1"/>
  <c r="P30" i="6" l="1"/>
  <c r="O66" i="41" s="1"/>
  <c r="L30" i="6"/>
  <c r="K66" i="41" s="1"/>
  <c r="O67" i="41"/>
  <c r="P45" i="6"/>
  <c r="P36" i="6"/>
  <c r="P33" i="6"/>
  <c r="P28" i="6"/>
  <c r="O62" i="41" s="1"/>
  <c r="P18" i="6"/>
  <c r="S41" i="6"/>
  <c r="L33" i="6"/>
  <c r="L28" i="6"/>
  <c r="K62" i="41" s="1"/>
  <c r="L18" i="6"/>
  <c r="K63" i="41" l="1"/>
  <c r="K64" i="41" s="1"/>
  <c r="O63" i="41"/>
  <c r="O64" i="41" s="1"/>
  <c r="K67" i="41"/>
  <c r="K68" i="41" s="1"/>
  <c r="O68" i="41"/>
  <c r="O45" i="6"/>
  <c r="O18" i="6"/>
  <c r="L45" i="6"/>
  <c r="K45" i="6"/>
  <c r="K18" i="6"/>
  <c r="J242" i="26" l="1"/>
  <c r="L25" i="6" s="1"/>
  <c r="L26" i="6" s="1"/>
  <c r="K20" i="12" l="1"/>
  <c r="L21" i="30" l="1"/>
  <c r="L51" i="30" l="1"/>
  <c r="P51" i="6" s="1"/>
  <c r="P54" i="6" s="1"/>
  <c r="A8" i="14" l="1"/>
  <c r="A7" i="14"/>
  <c r="A8" i="9"/>
  <c r="F23" i="9" l="1"/>
  <c r="J37" i="3" l="1"/>
  <c r="I79" i="14"/>
  <c r="I78" i="14"/>
  <c r="I77" i="14"/>
  <c r="I76" i="14"/>
  <c r="G22" i="14" s="1"/>
  <c r="I75" i="14"/>
  <c r="G21" i="14" s="1"/>
  <c r="I74" i="14"/>
  <c r="G20" i="14" s="1"/>
  <c r="E67" i="14"/>
  <c r="E68" i="14" s="1"/>
  <c r="H68" i="14" s="1"/>
  <c r="A47" i="14"/>
  <c r="A48" i="14" s="1"/>
  <c r="A49" i="14" s="1"/>
  <c r="A50" i="14" s="1"/>
  <c r="A51" i="14" s="1"/>
  <c r="A52" i="14" s="1"/>
  <c r="A53" i="14" s="1"/>
  <c r="A54" i="14" s="1"/>
  <c r="A55" i="14" s="1"/>
  <c r="A56" i="14" s="1"/>
  <c r="A57" i="14" s="1"/>
  <c r="A58" i="14" s="1"/>
  <c r="A59" i="14" s="1"/>
  <c r="A60" i="14" s="1"/>
  <c r="A61" i="14" s="1"/>
  <c r="A62" i="14" s="1"/>
  <c r="A63" i="14" s="1"/>
  <c r="A64" i="14" s="1"/>
  <c r="A65" i="14" s="1"/>
  <c r="A66" i="14" s="1"/>
  <c r="A68" i="14" s="1"/>
  <c r="E39" i="14"/>
  <c r="F24" i="14"/>
  <c r="E41" i="14"/>
  <c r="I39" i="41" l="1"/>
  <c r="J39" i="41" s="1"/>
  <c r="I80" i="14"/>
  <c r="I24" i="14"/>
  <c r="J24" i="14" s="1"/>
  <c r="S51" i="12" s="1"/>
  <c r="H22" i="14"/>
  <c r="H21" i="14"/>
  <c r="H20" i="14"/>
  <c r="F32" i="15" l="1"/>
  <c r="L33" i="25" l="1"/>
  <c r="L36" i="25" s="1"/>
  <c r="L75" i="25" s="1"/>
  <c r="K33" i="25"/>
  <c r="L53" i="41"/>
  <c r="P46" i="40"/>
  <c r="P36" i="40"/>
  <c r="P35" i="40"/>
  <c r="P34" i="40"/>
  <c r="P32" i="40"/>
  <c r="L52" i="41"/>
  <c r="P23" i="40"/>
  <c r="P22" i="40"/>
  <c r="P29" i="40" l="1"/>
  <c r="H52" i="41" s="1"/>
  <c r="P41" i="40"/>
  <c r="H53" i="41" s="1"/>
  <c r="P44" i="40"/>
  <c r="L54" i="40"/>
  <c r="H55" i="41"/>
  <c r="J55" i="41" s="1"/>
  <c r="M53" i="41"/>
  <c r="N53" i="41" s="1"/>
  <c r="N52" i="41"/>
  <c r="L54" i="41"/>
  <c r="L59" i="41" s="1"/>
  <c r="N56" i="40"/>
  <c r="U139" i="25"/>
  <c r="S139" i="25"/>
  <c r="W136" i="25"/>
  <c r="W135" i="25"/>
  <c r="W134" i="25"/>
  <c r="W133" i="25"/>
  <c r="W132" i="25"/>
  <c r="W131" i="25"/>
  <c r="W130" i="25"/>
  <c r="W129" i="25"/>
  <c r="W128" i="25"/>
  <c r="W127" i="25"/>
  <c r="W126" i="25"/>
  <c r="W125" i="25"/>
  <c r="W124" i="25"/>
  <c r="U122" i="25"/>
  <c r="S122" i="25"/>
  <c r="W119" i="25"/>
  <c r="W118" i="25"/>
  <c r="W117" i="25"/>
  <c r="W116" i="25"/>
  <c r="W115" i="25"/>
  <c r="W114" i="25"/>
  <c r="W113" i="25"/>
  <c r="W112" i="25"/>
  <c r="W111" i="25"/>
  <c r="W110" i="25"/>
  <c r="W109" i="25"/>
  <c r="U107" i="25"/>
  <c r="S107" i="25"/>
  <c r="W104" i="25"/>
  <c r="W103" i="25"/>
  <c r="W102" i="25"/>
  <c r="W101" i="25"/>
  <c r="W100" i="25"/>
  <c r="W99" i="25"/>
  <c r="W98" i="25"/>
  <c r="W96" i="25"/>
  <c r="U94" i="25"/>
  <c r="S94" i="25"/>
  <c r="W91" i="25"/>
  <c r="W90" i="25"/>
  <c r="U88" i="25"/>
  <c r="S88" i="25"/>
  <c r="W83" i="25"/>
  <c r="W82" i="25"/>
  <c r="W81" i="25"/>
  <c r="W80" i="25"/>
  <c r="W79" i="25"/>
  <c r="W78" i="25"/>
  <c r="U68" i="25"/>
  <c r="S68" i="25"/>
  <c r="W65" i="25"/>
  <c r="W64" i="25"/>
  <c r="W63" i="25"/>
  <c r="W62" i="25"/>
  <c r="W61" i="25"/>
  <c r="W60" i="25"/>
  <c r="W59" i="25"/>
  <c r="U57" i="25"/>
  <c r="S57" i="25"/>
  <c r="W54" i="25"/>
  <c r="W53" i="25"/>
  <c r="W52" i="25"/>
  <c r="W51" i="25"/>
  <c r="W50" i="25"/>
  <c r="W45" i="25"/>
  <c r="U43" i="25"/>
  <c r="S43" i="25"/>
  <c r="W40" i="25"/>
  <c r="W39" i="25"/>
  <c r="W38" i="25"/>
  <c r="W20" i="25"/>
  <c r="P52" i="40" l="1"/>
  <c r="I53" i="41" s="1"/>
  <c r="N30" i="6"/>
  <c r="M66" i="41" s="1"/>
  <c r="M30" i="6"/>
  <c r="L66" i="41" s="1"/>
  <c r="J30" i="6"/>
  <c r="I66" i="41" s="1"/>
  <c r="M54" i="41"/>
  <c r="M59" i="41" s="1"/>
  <c r="N54" i="41"/>
  <c r="N59" i="41" s="1"/>
  <c r="H54" i="41"/>
  <c r="H59" i="41" s="1"/>
  <c r="J52" i="41"/>
  <c r="W57" i="25"/>
  <c r="W94" i="25"/>
  <c r="S75" i="25"/>
  <c r="S147" i="25"/>
  <c r="L56" i="40"/>
  <c r="W43" i="25"/>
  <c r="W107" i="25"/>
  <c r="W139" i="25"/>
  <c r="U75" i="25"/>
  <c r="W68" i="25"/>
  <c r="W88" i="25"/>
  <c r="U147" i="25"/>
  <c r="W122" i="25"/>
  <c r="M33" i="25"/>
  <c r="M36" i="25" s="1"/>
  <c r="M20" i="25"/>
  <c r="M23" i="25" s="1"/>
  <c r="K36" i="25"/>
  <c r="K75" i="25" s="1"/>
  <c r="C71" i="15"/>
  <c r="E19" i="15"/>
  <c r="E54" i="15"/>
  <c r="E55" i="15"/>
  <c r="E20" i="15"/>
  <c r="E21" i="15"/>
  <c r="E22" i="15"/>
  <c r="E23" i="15"/>
  <c r="E56" i="15"/>
  <c r="E57" i="15"/>
  <c r="E58" i="15"/>
  <c r="E59" i="15"/>
  <c r="E53" i="15"/>
  <c r="E24" i="15"/>
  <c r="E25" i="15"/>
  <c r="E60" i="15"/>
  <c r="E61" i="15"/>
  <c r="E62" i="15"/>
  <c r="E63" i="15"/>
  <c r="E27" i="15"/>
  <c r="E28" i="15"/>
  <c r="E29" i="15"/>
  <c r="E30" i="15"/>
  <c r="E64" i="15"/>
  <c r="E65" i="15"/>
  <c r="E66" i="15"/>
  <c r="E67" i="15"/>
  <c r="E68" i="15"/>
  <c r="E69" i="15"/>
  <c r="E33" i="15"/>
  <c r="E34" i="15"/>
  <c r="E35" i="15"/>
  <c r="E36" i="15"/>
  <c r="E37" i="15"/>
  <c r="E38" i="15"/>
  <c r="E39" i="15"/>
  <c r="E41" i="15"/>
  <c r="E40" i="15"/>
  <c r="E42" i="15"/>
  <c r="E43" i="15"/>
  <c r="E47" i="15"/>
  <c r="E44" i="15"/>
  <c r="E45" i="15"/>
  <c r="E16" i="15"/>
  <c r="P54" i="40" l="1"/>
  <c r="P56" i="40" s="1"/>
  <c r="I54" i="41"/>
  <c r="I59" i="41" s="1"/>
  <c r="J53" i="41"/>
  <c r="J54" i="41" s="1"/>
  <c r="J59" i="41" s="1"/>
  <c r="M75" i="25"/>
  <c r="I30" i="6"/>
  <c r="H20" i="41"/>
  <c r="J20" i="41" s="1"/>
  <c r="E75" i="15"/>
  <c r="N66" i="41"/>
  <c r="W75" i="25"/>
  <c r="F71" i="15"/>
  <c r="G73" i="15" s="1"/>
  <c r="W147" i="25"/>
  <c r="K30" i="6" l="1"/>
  <c r="O30" i="6"/>
  <c r="H66" i="41"/>
  <c r="J66" i="41" s="1"/>
  <c r="H63" i="41" l="1"/>
  <c r="L63" i="41"/>
  <c r="N33" i="6"/>
  <c r="M28" i="6"/>
  <c r="L62" i="41" s="1"/>
  <c r="M33" i="6"/>
  <c r="J33" i="6"/>
  <c r="I28" i="6"/>
  <c r="H62" i="41" s="1"/>
  <c r="H64" i="41" l="1"/>
  <c r="B19" i="6"/>
  <c r="B20" i="6" s="1"/>
  <c r="B21" i="6" s="1"/>
  <c r="B24" i="6" s="1"/>
  <c r="L64" i="41" l="1"/>
  <c r="B25" i="6"/>
  <c r="B26" i="6" s="1"/>
  <c r="B28" i="6" s="1"/>
  <c r="B30" i="6" s="1"/>
  <c r="B33" i="6" s="1"/>
  <c r="B34" i="6" s="1"/>
  <c r="B35" i="6" s="1"/>
  <c r="B36" i="6" s="1"/>
  <c r="B37" i="6" s="1"/>
  <c r="B38" i="6" l="1"/>
  <c r="B39" i="6" s="1"/>
  <c r="B40" i="6" s="1"/>
  <c r="B41" i="6" s="1"/>
  <c r="B45" i="6" s="1"/>
  <c r="B46" i="6" s="1"/>
  <c r="B47" i="6" s="1"/>
  <c r="B49" i="6" s="1"/>
  <c r="B50" i="6" s="1"/>
  <c r="B51" i="6" s="1"/>
  <c r="C16" i="15"/>
  <c r="D16" i="15"/>
  <c r="C19" i="15"/>
  <c r="D19" i="15"/>
  <c r="C54" i="15"/>
  <c r="D54" i="15"/>
  <c r="C55" i="15"/>
  <c r="D55" i="15"/>
  <c r="C20" i="15"/>
  <c r="D20" i="15"/>
  <c r="C21" i="15"/>
  <c r="D21" i="15"/>
  <c r="C22" i="15"/>
  <c r="D22" i="15"/>
  <c r="C23" i="15"/>
  <c r="D23" i="15"/>
  <c r="C56" i="15"/>
  <c r="D56" i="15"/>
  <c r="C57" i="15"/>
  <c r="D57" i="15"/>
  <c r="C58" i="15"/>
  <c r="D58" i="15"/>
  <c r="C59" i="15"/>
  <c r="D59" i="15"/>
  <c r="C53" i="15"/>
  <c r="D53" i="15"/>
  <c r="C24" i="15"/>
  <c r="D24" i="15"/>
  <c r="C25" i="15"/>
  <c r="D25" i="15"/>
  <c r="C26" i="15"/>
  <c r="D26" i="15"/>
  <c r="C60" i="15"/>
  <c r="D60" i="15"/>
  <c r="C61" i="15"/>
  <c r="D61" i="15"/>
  <c r="C62" i="15"/>
  <c r="D62" i="15"/>
  <c r="C63" i="15"/>
  <c r="D63" i="15"/>
  <c r="C15" i="15"/>
  <c r="D15" i="15"/>
  <c r="C27" i="15"/>
  <c r="D27" i="15"/>
  <c r="C28" i="15"/>
  <c r="D28" i="15"/>
  <c r="C29" i="15"/>
  <c r="D29" i="15"/>
  <c r="C30" i="15"/>
  <c r="D30" i="15"/>
  <c r="C64" i="15"/>
  <c r="D64" i="15"/>
  <c r="C65" i="15"/>
  <c r="D65" i="15"/>
  <c r="C66" i="15"/>
  <c r="D66" i="15"/>
  <c r="C67" i="15"/>
  <c r="D67" i="15"/>
  <c r="C68" i="15"/>
  <c r="D68" i="15"/>
  <c r="C69" i="15"/>
  <c r="D69" i="15"/>
  <c r="D31" i="15"/>
  <c r="C33" i="15"/>
  <c r="D33" i="15"/>
  <c r="C34" i="15"/>
  <c r="D34" i="15"/>
  <c r="C35" i="15"/>
  <c r="D35" i="15"/>
  <c r="C36" i="15"/>
  <c r="D36" i="15"/>
  <c r="C37" i="15"/>
  <c r="D37" i="15"/>
  <c r="C38" i="15"/>
  <c r="D38" i="15"/>
  <c r="C39" i="15"/>
  <c r="D39" i="15"/>
  <c r="C41" i="15"/>
  <c r="D41" i="15"/>
  <c r="C40" i="15"/>
  <c r="D40" i="15"/>
  <c r="C42" i="15"/>
  <c r="D42" i="15"/>
  <c r="C43" i="15"/>
  <c r="D43" i="15"/>
  <c r="C47" i="15"/>
  <c r="D47" i="15"/>
  <c r="C44" i="15"/>
  <c r="D44" i="15"/>
  <c r="C45" i="15"/>
  <c r="D45" i="15"/>
  <c r="B52" i="6" l="1"/>
  <c r="B53" i="6" s="1"/>
  <c r="I19" i="41"/>
  <c r="H19" i="41"/>
  <c r="D75" i="15"/>
  <c r="F15" i="15"/>
  <c r="G15" i="15" s="1"/>
  <c r="J23" i="4"/>
  <c r="F42" i="15"/>
  <c r="H31" i="41" s="1"/>
  <c r="F44" i="15"/>
  <c r="H25" i="4" s="1"/>
  <c r="F43" i="15"/>
  <c r="H24" i="4" s="1"/>
  <c r="F40" i="15"/>
  <c r="F41" i="15"/>
  <c r="F39" i="15"/>
  <c r="H29" i="41" s="1"/>
  <c r="F38" i="15"/>
  <c r="H28" i="41" s="1"/>
  <c r="F37" i="15"/>
  <c r="H19" i="4" s="1"/>
  <c r="F36" i="15"/>
  <c r="H18" i="4" s="1"/>
  <c r="F35" i="15"/>
  <c r="H17" i="4" s="1"/>
  <c r="F34" i="15"/>
  <c r="H16" i="4" s="1"/>
  <c r="F33" i="15"/>
  <c r="F69" i="15"/>
  <c r="H29" i="3" s="1"/>
  <c r="F68" i="15"/>
  <c r="H28" i="3" s="1"/>
  <c r="F67" i="15"/>
  <c r="H27" i="3" s="1"/>
  <c r="F66" i="15"/>
  <c r="H26" i="3" s="1"/>
  <c r="F65" i="15"/>
  <c r="H25" i="3" s="1"/>
  <c r="F64" i="15"/>
  <c r="H24" i="3" s="1"/>
  <c r="F30" i="15"/>
  <c r="H19" i="3" s="1"/>
  <c r="F46" i="15"/>
  <c r="F25" i="15"/>
  <c r="F24" i="15"/>
  <c r="F53" i="15"/>
  <c r="F58" i="15"/>
  <c r="F57" i="15"/>
  <c r="F56" i="15"/>
  <c r="F22" i="15"/>
  <c r="F21" i="15"/>
  <c r="F20" i="15"/>
  <c r="F54" i="15"/>
  <c r="F19" i="15"/>
  <c r="F16" i="15"/>
  <c r="G16" i="15" s="1"/>
  <c r="F45" i="15"/>
  <c r="H26" i="4" s="1"/>
  <c r="F47" i="15"/>
  <c r="H28" i="4" s="1"/>
  <c r="F17" i="15"/>
  <c r="F29" i="15"/>
  <c r="H18" i="3" s="1"/>
  <c r="F28" i="15"/>
  <c r="H17" i="3" s="1"/>
  <c r="F27" i="15"/>
  <c r="H16" i="3" s="1"/>
  <c r="F63" i="15"/>
  <c r="F62" i="15"/>
  <c r="F61" i="15"/>
  <c r="F60" i="15"/>
  <c r="F26" i="15"/>
  <c r="F59" i="15"/>
  <c r="F23" i="15"/>
  <c r="F55" i="15"/>
  <c r="C31" i="15"/>
  <c r="F31" i="15" s="1"/>
  <c r="H21" i="41" s="1"/>
  <c r="G52" i="15" l="1"/>
  <c r="H21" i="3"/>
  <c r="H27" i="4"/>
  <c r="H32" i="41"/>
  <c r="J32" i="41" s="1"/>
  <c r="G70" i="15"/>
  <c r="J21" i="41"/>
  <c r="H22" i="41"/>
  <c r="J22" i="41" s="1"/>
  <c r="J19" i="41"/>
  <c r="H23" i="4"/>
  <c r="J31" i="41"/>
  <c r="H20" i="4"/>
  <c r="H21" i="4"/>
  <c r="J29" i="41"/>
  <c r="C75" i="15"/>
  <c r="F75" i="15"/>
  <c r="H22" i="4"/>
  <c r="G17" i="15"/>
  <c r="H25" i="41" l="1"/>
  <c r="H37" i="4"/>
  <c r="G75" i="15"/>
  <c r="J28" i="41"/>
  <c r="H34" i="4"/>
  <c r="H36" i="4"/>
  <c r="R49" i="6" l="1"/>
  <c r="Q49" i="6"/>
  <c r="T49" i="6" l="1"/>
  <c r="D24" i="23"/>
  <c r="E24" i="23"/>
  <c r="A7" i="12"/>
  <c r="A7" i="13"/>
  <c r="M67" i="41"/>
  <c r="L67" i="41"/>
  <c r="I67" i="41"/>
  <c r="I68" i="41" s="1"/>
  <c r="H67" i="41"/>
  <c r="N45" i="6"/>
  <c r="M45" i="6"/>
  <c r="J45" i="6"/>
  <c r="I45" i="6"/>
  <c r="Q50" i="6"/>
  <c r="N18" i="6"/>
  <c r="M18" i="6"/>
  <c r="J18" i="6"/>
  <c r="I18" i="6"/>
  <c r="M68" i="41" l="1"/>
  <c r="H68" i="41"/>
  <c r="J68" i="41" s="1"/>
  <c r="J67" i="41"/>
  <c r="Q45" i="6"/>
  <c r="R45" i="6"/>
  <c r="R24" i="6"/>
  <c r="R33" i="6"/>
  <c r="Q24" i="6"/>
  <c r="Q28" i="6"/>
  <c r="R18" i="6"/>
  <c r="Q18" i="6"/>
  <c r="N67" i="41" l="1"/>
  <c r="L68" i="41"/>
  <c r="N68" i="41" s="1"/>
  <c r="T45" i="6"/>
  <c r="T24" i="6"/>
  <c r="T18" i="6"/>
  <c r="A135" i="39" l="1"/>
  <c r="B135" i="39"/>
  <c r="E77" i="39"/>
  <c r="D77" i="39"/>
  <c r="K101" i="41" l="1"/>
  <c r="I101" i="41"/>
  <c r="H98" i="41"/>
  <c r="H101" i="41" s="1"/>
  <c r="J98" i="41"/>
  <c r="J101" i="41" s="1"/>
  <c r="E113" i="39"/>
  <c r="E115" i="39" s="1"/>
  <c r="E132" i="39" s="1"/>
  <c r="E60" i="39"/>
  <c r="E62" i="39" s="1"/>
  <c r="E72" i="39" s="1"/>
  <c r="D113" i="39"/>
  <c r="D115" i="39" s="1"/>
  <c r="D132" i="39" s="1"/>
  <c r="D60" i="39"/>
  <c r="D62" i="39" s="1"/>
  <c r="D72" i="39" s="1"/>
  <c r="G35" i="38"/>
  <c r="H35" i="38"/>
  <c r="H53" i="38" l="1"/>
  <c r="H59" i="38" s="1"/>
  <c r="G53" i="38"/>
  <c r="G59" i="38" s="1"/>
  <c r="H63" i="38" l="1"/>
  <c r="F41" i="36" s="1"/>
  <c r="G63" i="38" l="1"/>
  <c r="K102" i="41"/>
  <c r="K103" i="41" s="1"/>
  <c r="K242" i="26"/>
  <c r="M25" i="6" s="1"/>
  <c r="N242" i="26"/>
  <c r="P25" i="6" s="1"/>
  <c r="K104" i="26"/>
  <c r="N104" i="26"/>
  <c r="P19" i="6" s="1"/>
  <c r="G104" i="26"/>
  <c r="J104" i="26"/>
  <c r="L166" i="26"/>
  <c r="K166" i="26"/>
  <c r="N166" i="26"/>
  <c r="P20" i="6" s="1"/>
  <c r="H166" i="26"/>
  <c r="J166" i="26"/>
  <c r="L20" i="6" s="1"/>
  <c r="K353" i="26"/>
  <c r="N353" i="26"/>
  <c r="P46" i="6" s="1"/>
  <c r="P47" i="6" s="1"/>
  <c r="G353" i="26"/>
  <c r="J353" i="26"/>
  <c r="L46" i="6" s="1"/>
  <c r="L60" i="26"/>
  <c r="K60" i="26"/>
  <c r="N60" i="26"/>
  <c r="O59" i="41" s="1"/>
  <c r="H60" i="26"/>
  <c r="G60" i="26"/>
  <c r="J60" i="26"/>
  <c r="N28" i="6"/>
  <c r="M62" i="41" s="1"/>
  <c r="N62" i="41" s="1"/>
  <c r="J28" i="6"/>
  <c r="O33" i="6"/>
  <c r="M63" i="41" l="1"/>
  <c r="N63" i="41" s="1"/>
  <c r="E41" i="36"/>
  <c r="I102" i="41" s="1"/>
  <c r="I103" i="41" s="1"/>
  <c r="I62" i="41"/>
  <c r="I63" i="41"/>
  <c r="J63" i="41" s="1"/>
  <c r="L19" i="6"/>
  <c r="L21" i="6" s="1"/>
  <c r="K76" i="41" s="1"/>
  <c r="P21" i="6"/>
  <c r="O76" i="41" s="1"/>
  <c r="L47" i="6"/>
  <c r="N243" i="26"/>
  <c r="P26" i="6"/>
  <c r="E22" i="23"/>
  <c r="M26" i="6"/>
  <c r="M46" i="6"/>
  <c r="R50" i="6"/>
  <c r="I46" i="6"/>
  <c r="I104" i="26"/>
  <c r="K28" i="6"/>
  <c r="R28" i="6"/>
  <c r="M20" i="6"/>
  <c r="N20" i="6"/>
  <c r="M19" i="6"/>
  <c r="J20" i="6"/>
  <c r="I19" i="6"/>
  <c r="K355" i="26"/>
  <c r="N355" i="26"/>
  <c r="J355" i="26"/>
  <c r="G62" i="26"/>
  <c r="K62" i="26"/>
  <c r="H62" i="26"/>
  <c r="L62" i="26"/>
  <c r="J62" i="26"/>
  <c r="N62" i="26"/>
  <c r="M166" i="26"/>
  <c r="I60" i="26"/>
  <c r="M60" i="26"/>
  <c r="H242" i="26"/>
  <c r="J25" i="6" s="1"/>
  <c r="L242" i="26"/>
  <c r="N25" i="6" s="1"/>
  <c r="H104" i="26"/>
  <c r="L104" i="26"/>
  <c r="H353" i="26"/>
  <c r="L353" i="26"/>
  <c r="M104" i="26"/>
  <c r="M64" i="41" l="1"/>
  <c r="N64" i="41" s="1"/>
  <c r="I64" i="41"/>
  <c r="J62" i="41"/>
  <c r="M242" i="26"/>
  <c r="O28" i="6"/>
  <c r="K19" i="6"/>
  <c r="O19" i="6"/>
  <c r="O20" i="6"/>
  <c r="M353" i="26"/>
  <c r="I353" i="26"/>
  <c r="R20" i="6"/>
  <c r="I47" i="6"/>
  <c r="T50" i="6"/>
  <c r="M47" i="6"/>
  <c r="J26" i="6"/>
  <c r="T28" i="6"/>
  <c r="N26" i="6"/>
  <c r="M21" i="6"/>
  <c r="L76" i="41" s="1"/>
  <c r="Q46" i="6"/>
  <c r="N46" i="6"/>
  <c r="J46" i="6"/>
  <c r="Q19" i="6"/>
  <c r="R25" i="6"/>
  <c r="K358" i="26"/>
  <c r="N19" i="6"/>
  <c r="J19" i="6"/>
  <c r="M62" i="26"/>
  <c r="I62" i="26"/>
  <c r="N358" i="26"/>
  <c r="J358" i="26"/>
  <c r="L355" i="26"/>
  <c r="L358" i="26" s="1"/>
  <c r="H355" i="26"/>
  <c r="H358" i="26" s="1"/>
  <c r="J64" i="41" l="1"/>
  <c r="E30" i="35"/>
  <c r="H118" i="41"/>
  <c r="O21" i="6"/>
  <c r="N76" i="41" s="1"/>
  <c r="K46" i="6"/>
  <c r="K47" i="6" s="1"/>
  <c r="O46" i="6"/>
  <c r="O47" i="6" s="1"/>
  <c r="M355" i="26"/>
  <c r="M358" i="26" s="1"/>
  <c r="O25" i="6"/>
  <c r="O26" i="6" s="1"/>
  <c r="J47" i="6"/>
  <c r="Q47" i="6"/>
  <c r="N47" i="6"/>
  <c r="R26" i="6"/>
  <c r="J21" i="6"/>
  <c r="N21" i="6"/>
  <c r="M76" i="41" s="1"/>
  <c r="R46" i="6"/>
  <c r="T46" i="6" s="1"/>
  <c r="R19" i="6"/>
  <c r="T19" i="6" s="1"/>
  <c r="I76" i="41" l="1"/>
  <c r="R47" i="6"/>
  <c r="T47" i="6" s="1"/>
  <c r="R21" i="6"/>
  <c r="F21" i="32" l="1"/>
  <c r="H102" i="41" l="1"/>
  <c r="H103" i="41" s="1"/>
  <c r="E14" i="35"/>
  <c r="J102" i="41"/>
  <c r="J103" i="41" s="1"/>
  <c r="L41" i="28"/>
  <c r="R34" i="29"/>
  <c r="P34" i="29"/>
  <c r="R39" i="29"/>
  <c r="P39" i="29"/>
  <c r="R22" i="29"/>
  <c r="P22" i="29"/>
  <c r="R44" i="29"/>
  <c r="P44" i="29"/>
  <c r="R60" i="29" l="1"/>
  <c r="E31" i="35"/>
  <c r="P60" i="29"/>
  <c r="E32" i="35" l="1"/>
  <c r="M14" i="35" s="1"/>
  <c r="G44" i="12"/>
  <c r="A6" i="12"/>
  <c r="A13" i="13"/>
  <c r="A16" i="13" s="1"/>
  <c r="A17" i="13" s="1"/>
  <c r="A18" i="13" s="1"/>
  <c r="A19" i="13" s="1"/>
  <c r="A22" i="13" s="1"/>
  <c r="A23" i="13" s="1"/>
  <c r="A24" i="13" s="1"/>
  <c r="A25" i="13" s="1"/>
  <c r="T66" i="12"/>
  <c r="A39" i="12"/>
  <c r="A38" i="12"/>
  <c r="F39" i="10" l="1"/>
  <c r="H39" i="10" s="1"/>
  <c r="H43" i="10" s="1"/>
  <c r="H49" i="10" s="1"/>
  <c r="F55" i="10"/>
  <c r="H55" i="10" s="1"/>
  <c r="H59" i="10" s="1"/>
  <c r="H65" i="10" s="1"/>
  <c r="A40" i="12"/>
  <c r="A6" i="13"/>
  <c r="A43" i="28" l="1"/>
  <c r="D21" i="32" l="1"/>
  <c r="R34" i="6" l="1"/>
  <c r="Q34" i="6" l="1"/>
  <c r="T34" i="6" l="1"/>
  <c r="R30" i="6"/>
  <c r="Q30" i="6"/>
  <c r="F21" i="34"/>
  <c r="D26" i="8" l="1"/>
  <c r="T30" i="6"/>
  <c r="N62" i="29" l="1"/>
  <c r="M35" i="6" s="1"/>
  <c r="T62" i="29"/>
  <c r="P35" i="6" s="1"/>
  <c r="P62" i="29"/>
  <c r="N35" i="6" s="1"/>
  <c r="I91" i="41"/>
  <c r="I92" i="41" s="1"/>
  <c r="O35" i="6" l="1"/>
  <c r="I117" i="41" l="1"/>
  <c r="I118" i="41" s="1"/>
  <c r="H31" i="3" l="1"/>
  <c r="J32" i="3" s="1"/>
  <c r="D22" i="17" l="1"/>
  <c r="D22" i="18"/>
  <c r="G24" i="23" l="1"/>
  <c r="D25" i="8" l="1"/>
  <c r="J35" i="21" l="1"/>
  <c r="J25" i="41" l="1"/>
  <c r="H31" i="31" l="1"/>
  <c r="H30" i="31" s="1"/>
  <c r="H24" i="27"/>
  <c r="G242" i="26" l="1"/>
  <c r="A244" i="26" s="1"/>
  <c r="I33" i="6"/>
  <c r="F112" i="25" l="1"/>
  <c r="F124" i="25"/>
  <c r="F126" i="25"/>
  <c r="F118" i="25"/>
  <c r="F110" i="25"/>
  <c r="F119" i="25"/>
  <c r="P142" i="25"/>
  <c r="P145" i="25" s="1"/>
  <c r="F91" i="25"/>
  <c r="F101" i="25"/>
  <c r="F84" i="25"/>
  <c r="F113" i="25"/>
  <c r="F115" i="25"/>
  <c r="F117" i="25"/>
  <c r="F79" i="25"/>
  <c r="N142" i="25"/>
  <c r="N145" i="25" s="1"/>
  <c r="F104" i="25"/>
  <c r="L142" i="25"/>
  <c r="L145" i="25" s="1"/>
  <c r="F127" i="25"/>
  <c r="F102" i="25"/>
  <c r="F80" i="25"/>
  <c r="F82" i="25"/>
  <c r="F114" i="25"/>
  <c r="F116" i="25"/>
  <c r="F78" i="25"/>
  <c r="F111" i="25"/>
  <c r="F128" i="25"/>
  <c r="F96" i="25"/>
  <c r="F129" i="25"/>
  <c r="F98" i="25"/>
  <c r="K142" i="25"/>
  <c r="F99" i="25"/>
  <c r="K113" i="25"/>
  <c r="F130" i="25"/>
  <c r="F83" i="25"/>
  <c r="F132" i="25"/>
  <c r="F81" i="25"/>
  <c r="O142" i="25"/>
  <c r="F103" i="25"/>
  <c r="F131" i="25"/>
  <c r="F125" i="25"/>
  <c r="F100" i="25"/>
  <c r="R142" i="25"/>
  <c r="R145" i="25" s="1"/>
  <c r="K185" i="24"/>
  <c r="K179" i="24"/>
  <c r="K162" i="24"/>
  <c r="K132" i="24"/>
  <c r="K180" i="24"/>
  <c r="K142" i="24"/>
  <c r="K173" i="24"/>
  <c r="K130" i="24"/>
  <c r="K156" i="24"/>
  <c r="K188" i="24"/>
  <c r="K155" i="24"/>
  <c r="K131" i="24"/>
  <c r="K163" i="24"/>
  <c r="K152" i="24"/>
  <c r="K124" i="24"/>
  <c r="K164" i="24"/>
  <c r="K134" i="24"/>
  <c r="K153" i="24"/>
  <c r="K122" i="24"/>
  <c r="K133" i="24"/>
  <c r="K171" i="24"/>
  <c r="K147" i="24"/>
  <c r="K123" i="24"/>
  <c r="K189" i="24"/>
  <c r="K144" i="24"/>
  <c r="K120" i="24"/>
  <c r="K154" i="24"/>
  <c r="K119" i="24"/>
  <c r="K145" i="24"/>
  <c r="K178" i="24"/>
  <c r="K125" i="24"/>
  <c r="K165" i="24"/>
  <c r="K143" i="24"/>
  <c r="K190" i="24"/>
  <c r="K172" i="24"/>
  <c r="K136" i="24"/>
  <c r="K187" i="24"/>
  <c r="K146" i="24"/>
  <c r="K186" i="24"/>
  <c r="K137" i="24"/>
  <c r="K166" i="24"/>
  <c r="K121" i="24"/>
  <c r="K161" i="24"/>
  <c r="K135" i="24"/>
  <c r="K69" i="24"/>
  <c r="K20" i="24"/>
  <c r="K149" i="24"/>
  <c r="K126" i="24"/>
  <c r="K72" i="24"/>
  <c r="K27" i="24"/>
  <c r="K102" i="24"/>
  <c r="K82" i="24"/>
  <c r="K66" i="24"/>
  <c r="K29" i="24"/>
  <c r="K168" i="24"/>
  <c r="K101" i="24"/>
  <c r="K61" i="24"/>
  <c r="K17" i="24"/>
  <c r="K84" i="24"/>
  <c r="K40" i="24"/>
  <c r="K103" i="24"/>
  <c r="K87" i="24"/>
  <c r="K71" i="24"/>
  <c r="K43" i="24"/>
  <c r="K18" i="24"/>
  <c r="K139" i="24"/>
  <c r="L78" i="25"/>
  <c r="R131" i="25"/>
  <c r="L130" i="25"/>
  <c r="N112" i="25"/>
  <c r="R129" i="25"/>
  <c r="K117" i="25"/>
  <c r="P131" i="25"/>
  <c r="N115" i="25"/>
  <c r="O115" i="25"/>
  <c r="O127" i="25"/>
  <c r="N81" i="25"/>
  <c r="P96" i="25"/>
  <c r="L115" i="25"/>
  <c r="K115" i="25"/>
  <c r="P129" i="25"/>
  <c r="L119" i="25"/>
  <c r="P115" i="25"/>
  <c r="N130" i="25"/>
  <c r="K114" i="25"/>
  <c r="P128" i="25"/>
  <c r="L116" i="25"/>
  <c r="L101" i="25"/>
  <c r="K110" i="25"/>
  <c r="L113" i="25"/>
  <c r="R102" i="25"/>
  <c r="O119" i="25"/>
  <c r="O136" i="25"/>
  <c r="K65" i="24"/>
  <c r="K157" i="24"/>
  <c r="K104" i="24"/>
  <c r="K64" i="24"/>
  <c r="K98" i="24"/>
  <c r="K78" i="24"/>
  <c r="K62" i="24"/>
  <c r="K25" i="24"/>
  <c r="K182" i="24"/>
  <c r="K93" i="24"/>
  <c r="K53" i="24"/>
  <c r="K108" i="24"/>
  <c r="K60" i="24"/>
  <c r="K19" i="24"/>
  <c r="K148" i="24"/>
  <c r="K99" i="24"/>
  <c r="K83" i="24"/>
  <c r="K63" i="24"/>
  <c r="K39" i="24"/>
  <c r="R116" i="25"/>
  <c r="L100" i="25"/>
  <c r="P80" i="25"/>
  <c r="K128" i="25"/>
  <c r="O126" i="25"/>
  <c r="P119" i="25"/>
  <c r="N134" i="25"/>
  <c r="O131" i="25"/>
  <c r="R132" i="25"/>
  <c r="R126" i="25"/>
  <c r="K102" i="25"/>
  <c r="P82" i="25"/>
  <c r="R133" i="25"/>
  <c r="P117" i="25"/>
  <c r="N132" i="25"/>
  <c r="R115" i="25"/>
  <c r="N118" i="25"/>
  <c r="K133" i="25"/>
  <c r="P116" i="25"/>
  <c r="N131" i="25"/>
  <c r="L128" i="25"/>
  <c r="L96" i="25"/>
  <c r="R111" i="25"/>
  <c r="O99" i="25"/>
  <c r="L98" i="25"/>
  <c r="R80" i="25"/>
  <c r="O135" i="25"/>
  <c r="P101" i="25"/>
  <c r="N128" i="25"/>
  <c r="P126" i="25"/>
  <c r="L124" i="25"/>
  <c r="O100" i="25"/>
  <c r="P99" i="25"/>
  <c r="L79" i="25"/>
  <c r="O101" i="25"/>
  <c r="R125" i="25"/>
  <c r="K109" i="24"/>
  <c r="K57" i="24"/>
  <c r="K191" i="24"/>
  <c r="K88" i="24"/>
  <c r="K56" i="24"/>
  <c r="K94" i="24"/>
  <c r="K74" i="24"/>
  <c r="K54" i="24"/>
  <c r="K21" i="24"/>
  <c r="K138" i="24"/>
  <c r="K127" i="24"/>
  <c r="K81" i="24"/>
  <c r="K45" i="24"/>
  <c r="K174" i="24"/>
  <c r="K100" i="24"/>
  <c r="K52" i="24"/>
  <c r="K158" i="24"/>
  <c r="K95" i="24"/>
  <c r="K79" i="24"/>
  <c r="K55" i="24"/>
  <c r="K26" i="24"/>
  <c r="K167" i="24"/>
  <c r="P79" i="25"/>
  <c r="R100" i="25"/>
  <c r="O103" i="25"/>
  <c r="L104" i="25"/>
  <c r="P133" i="25"/>
  <c r="O118" i="25"/>
  <c r="O124" i="25"/>
  <c r="N126" i="25"/>
  <c r="L127" i="25"/>
  <c r="O133" i="25"/>
  <c r="R124" i="25"/>
  <c r="R130" i="25"/>
  <c r="K91" i="25"/>
  <c r="R113" i="25"/>
  <c r="O130" i="25"/>
  <c r="N124" i="25"/>
  <c r="O134" i="25"/>
  <c r="K125" i="25"/>
  <c r="P135" i="25"/>
  <c r="N119" i="25"/>
  <c r="K134" i="25"/>
  <c r="L136" i="25"/>
  <c r="K89" i="24"/>
  <c r="K49" i="24"/>
  <c r="K16" i="24"/>
  <c r="K80" i="24"/>
  <c r="K48" i="24"/>
  <c r="K192" i="24"/>
  <c r="K110" i="24"/>
  <c r="K90" i="24"/>
  <c r="K70" i="24"/>
  <c r="K46" i="24"/>
  <c r="K73" i="24"/>
  <c r="K28" i="24"/>
  <c r="K92" i="24"/>
  <c r="K44" i="24"/>
  <c r="K175" i="24"/>
  <c r="K111" i="24"/>
  <c r="K91" i="24"/>
  <c r="K75" i="24"/>
  <c r="K47" i="24"/>
  <c r="K22" i="24"/>
  <c r="K181" i="24"/>
  <c r="K132" i="25"/>
  <c r="L83" i="25"/>
  <c r="R78" i="25"/>
  <c r="P78" i="25"/>
  <c r="L133" i="25"/>
  <c r="N114" i="25"/>
  <c r="K129" i="25"/>
  <c r="L135" i="25"/>
  <c r="O125" i="25"/>
  <c r="R114" i="25"/>
  <c r="N104" i="25"/>
  <c r="K79" i="25"/>
  <c r="P111" i="25"/>
  <c r="L125" i="25"/>
  <c r="O128" i="25"/>
  <c r="K127" i="25"/>
  <c r="L129" i="25"/>
  <c r="O132" i="25"/>
  <c r="P127" i="25"/>
  <c r="L131" i="25"/>
  <c r="K126" i="25"/>
  <c r="P136" i="25"/>
  <c r="L81" i="25"/>
  <c r="N82" i="25"/>
  <c r="R96" i="25"/>
  <c r="O104" i="25"/>
  <c r="L80" i="25"/>
  <c r="L112" i="25"/>
  <c r="R79" i="25"/>
  <c r="N113" i="25"/>
  <c r="O114" i="25"/>
  <c r="P114" i="25"/>
  <c r="N133" i="25"/>
  <c r="K100" i="25"/>
  <c r="R104" i="25"/>
  <c r="R81" i="25"/>
  <c r="R99" i="25"/>
  <c r="N98" i="25"/>
  <c r="O102" i="25"/>
  <c r="O112" i="25"/>
  <c r="K96" i="25"/>
  <c r="R134" i="25"/>
  <c r="K131" i="25"/>
  <c r="N127" i="25"/>
  <c r="L126" i="25"/>
  <c r="P83" i="25"/>
  <c r="N100" i="25"/>
  <c r="N136" i="25"/>
  <c r="L134" i="25"/>
  <c r="O78" i="25"/>
  <c r="R136" i="25"/>
  <c r="K116" i="25"/>
  <c r="R117" i="25"/>
  <c r="N101" i="25"/>
  <c r="K99" i="25"/>
  <c r="K112" i="25"/>
  <c r="O79" i="25"/>
  <c r="K98" i="25"/>
  <c r="K78" i="25"/>
  <c r="O129" i="25"/>
  <c r="O83" i="25"/>
  <c r="O116" i="25"/>
  <c r="K118" i="25"/>
  <c r="K136" i="25"/>
  <c r="R101" i="25"/>
  <c r="R91" i="25"/>
  <c r="R94" i="25" s="1"/>
  <c r="O113" i="25"/>
  <c r="P124" i="25"/>
  <c r="N83" i="25"/>
  <c r="P118" i="25"/>
  <c r="P103" i="25"/>
  <c r="K124" i="25"/>
  <c r="L82" i="25"/>
  <c r="N96" i="25"/>
  <c r="L103" i="25"/>
  <c r="R98" i="25"/>
  <c r="P113" i="25"/>
  <c r="K101" i="25"/>
  <c r="R118" i="25"/>
  <c r="R103" i="25"/>
  <c r="P125" i="25"/>
  <c r="N125" i="25"/>
  <c r="L118" i="25"/>
  <c r="N79" i="25"/>
  <c r="O96" i="25"/>
  <c r="R82" i="25"/>
  <c r="K119" i="25"/>
  <c r="N102" i="25"/>
  <c r="O98" i="25"/>
  <c r="K82" i="25"/>
  <c r="N135" i="25"/>
  <c r="N103" i="25"/>
  <c r="K130" i="25"/>
  <c r="L110" i="25"/>
  <c r="P112" i="25"/>
  <c r="N116" i="25"/>
  <c r="P130" i="25"/>
  <c r="O110" i="25"/>
  <c r="P110" i="25"/>
  <c r="P98" i="25"/>
  <c r="R83" i="25"/>
  <c r="K103" i="25"/>
  <c r="O82" i="25"/>
  <c r="N110" i="25"/>
  <c r="K135" i="25"/>
  <c r="N129" i="25"/>
  <c r="L132" i="25"/>
  <c r="O81" i="25"/>
  <c r="R110" i="25"/>
  <c r="K80" i="25"/>
  <c r="R112" i="25"/>
  <c r="K83" i="25"/>
  <c r="N91" i="25"/>
  <c r="N94" i="25" s="1"/>
  <c r="P104" i="25"/>
  <c r="O117" i="25"/>
  <c r="R119" i="25"/>
  <c r="L117" i="25"/>
  <c r="O80" i="25"/>
  <c r="L91" i="25"/>
  <c r="L94" i="25" s="1"/>
  <c r="P91" i="25"/>
  <c r="P94" i="25" s="1"/>
  <c r="R127" i="25"/>
  <c r="P134" i="25"/>
  <c r="N78" i="25"/>
  <c r="P81" i="25"/>
  <c r="L111" i="25"/>
  <c r="N80" i="25"/>
  <c r="O111" i="25"/>
  <c r="R135" i="25"/>
  <c r="P132" i="25"/>
  <c r="N111" i="25"/>
  <c r="K104" i="25"/>
  <c r="K81" i="25"/>
  <c r="L102" i="25"/>
  <c r="L99" i="25"/>
  <c r="P102" i="25"/>
  <c r="K111" i="25"/>
  <c r="L114" i="25"/>
  <c r="R128" i="25"/>
  <c r="N99" i="25"/>
  <c r="P100" i="25"/>
  <c r="N117" i="25"/>
  <c r="O91" i="25"/>
  <c r="Q33" i="6"/>
  <c r="I242" i="26"/>
  <c r="K25" i="6" s="1"/>
  <c r="K26" i="6" s="1"/>
  <c r="K33" i="6"/>
  <c r="I25" i="6"/>
  <c r="I166" i="26"/>
  <c r="G166" i="26"/>
  <c r="G355" i="26" s="1"/>
  <c r="G358" i="26" s="1"/>
  <c r="D21" i="34"/>
  <c r="M113" i="25" l="1"/>
  <c r="I26" i="6"/>
  <c r="M98" i="25"/>
  <c r="Q142" i="25"/>
  <c r="Q145" i="25" s="1"/>
  <c r="O145" i="25"/>
  <c r="K145" i="25"/>
  <c r="M143" i="25" s="1"/>
  <c r="M142" i="25"/>
  <c r="M100" i="25"/>
  <c r="M119" i="25"/>
  <c r="M79" i="25"/>
  <c r="Q79" i="25"/>
  <c r="K183" i="24"/>
  <c r="M130" i="25"/>
  <c r="M80" i="25"/>
  <c r="M103" i="25"/>
  <c r="Q128" i="25"/>
  <c r="T33" i="6"/>
  <c r="M136" i="25"/>
  <c r="K140" i="24"/>
  <c r="H19" i="5" s="1"/>
  <c r="Q116" i="25"/>
  <c r="K150" i="24"/>
  <c r="H20" i="5" s="1"/>
  <c r="M116" i="25"/>
  <c r="Q80" i="25"/>
  <c r="M127" i="25"/>
  <c r="M135" i="25"/>
  <c r="Q117" i="25"/>
  <c r="M112" i="25"/>
  <c r="M101" i="25"/>
  <c r="Q111" i="25"/>
  <c r="Q82" i="25"/>
  <c r="K169" i="24"/>
  <c r="M81" i="25"/>
  <c r="Q133" i="25"/>
  <c r="M111" i="25"/>
  <c r="M83" i="25"/>
  <c r="Q83" i="25"/>
  <c r="Q131" i="25"/>
  <c r="M115" i="25"/>
  <c r="Q129" i="25"/>
  <c r="M104" i="25"/>
  <c r="M131" i="25"/>
  <c r="P122" i="25"/>
  <c r="M82" i="25"/>
  <c r="N88" i="25"/>
  <c r="P139" i="25"/>
  <c r="Q114" i="25"/>
  <c r="K139" i="25"/>
  <c r="M124" i="25"/>
  <c r="R122" i="25"/>
  <c r="Q98" i="25"/>
  <c r="N107" i="25"/>
  <c r="Q78" i="25"/>
  <c r="O88" i="25"/>
  <c r="Q104" i="25"/>
  <c r="Q132" i="25"/>
  <c r="N139" i="25"/>
  <c r="Q126" i="25"/>
  <c r="K112" i="24"/>
  <c r="K41" i="24"/>
  <c r="Q136" i="25"/>
  <c r="M110" i="25"/>
  <c r="K122" i="25"/>
  <c r="M114" i="25"/>
  <c r="K50" i="24"/>
  <c r="K128" i="24"/>
  <c r="Q81" i="25"/>
  <c r="N122" i="25"/>
  <c r="Q96" i="25"/>
  <c r="O107" i="25"/>
  <c r="M96" i="25"/>
  <c r="K107" i="25"/>
  <c r="R107" i="25"/>
  <c r="M126" i="25"/>
  <c r="Q125" i="25"/>
  <c r="M132" i="25"/>
  <c r="Q130" i="25"/>
  <c r="R139" i="25"/>
  <c r="O139" i="25"/>
  <c r="Q124" i="25"/>
  <c r="Q103" i="25"/>
  <c r="K58" i="24"/>
  <c r="Q100" i="25"/>
  <c r="Q99" i="25"/>
  <c r="M128" i="25"/>
  <c r="Q119" i="25"/>
  <c r="Q127" i="25"/>
  <c r="M117" i="25"/>
  <c r="Q112" i="25"/>
  <c r="P88" i="25"/>
  <c r="M125" i="25"/>
  <c r="Q118" i="25"/>
  <c r="K193" i="24"/>
  <c r="Q101" i="25"/>
  <c r="L139" i="25"/>
  <c r="Q135" i="25"/>
  <c r="M102" i="25"/>
  <c r="K85" i="24"/>
  <c r="K159" i="24"/>
  <c r="Q115" i="25"/>
  <c r="L88" i="25"/>
  <c r="K96" i="24"/>
  <c r="O94" i="25"/>
  <c r="Q91" i="25"/>
  <c r="Q94" i="25" s="1"/>
  <c r="O122" i="25"/>
  <c r="Q110" i="25"/>
  <c r="L122" i="25"/>
  <c r="Q113" i="25"/>
  <c r="M118" i="25"/>
  <c r="K88" i="25"/>
  <c r="M78" i="25"/>
  <c r="M99" i="25"/>
  <c r="Q102" i="25"/>
  <c r="M129" i="25"/>
  <c r="R88" i="25"/>
  <c r="K23" i="24"/>
  <c r="M134" i="25"/>
  <c r="Q134" i="25"/>
  <c r="K94" i="25"/>
  <c r="M91" i="25"/>
  <c r="M94" i="25" s="1"/>
  <c r="K176" i="24"/>
  <c r="L107" i="25"/>
  <c r="M133" i="25"/>
  <c r="K67" i="24"/>
  <c r="K105" i="24"/>
  <c r="P107" i="25"/>
  <c r="K76" i="24"/>
  <c r="K20" i="6"/>
  <c r="K21" i="6" s="1"/>
  <c r="J76" i="41" s="1"/>
  <c r="I355" i="26"/>
  <c r="I358" i="26" s="1"/>
  <c r="D22" i="23"/>
  <c r="I20" i="6"/>
  <c r="Q25" i="6"/>
  <c r="M145" i="25" l="1"/>
  <c r="K197" i="24"/>
  <c r="H27" i="5" s="1"/>
  <c r="K116" i="24"/>
  <c r="K147" i="25"/>
  <c r="M88" i="25"/>
  <c r="N147" i="25"/>
  <c r="L147" i="25"/>
  <c r="Q122" i="25"/>
  <c r="P147" i="25"/>
  <c r="H25" i="5"/>
  <c r="M122" i="25"/>
  <c r="O147" i="25"/>
  <c r="Q139" i="25"/>
  <c r="Q88" i="25"/>
  <c r="M139" i="25"/>
  <c r="Q107" i="25"/>
  <c r="R147" i="25"/>
  <c r="M107" i="25"/>
  <c r="D16" i="18"/>
  <c r="D16" i="17"/>
  <c r="T25" i="6"/>
  <c r="Q26" i="6"/>
  <c r="T26" i="6" s="1"/>
  <c r="I21" i="6"/>
  <c r="Q20" i="6"/>
  <c r="T20" i="6" s="1"/>
  <c r="H76" i="41" l="1"/>
  <c r="M147" i="25"/>
  <c r="Q147" i="25"/>
  <c r="Q21" i="6"/>
  <c r="T21" i="6" s="1"/>
  <c r="J29" i="5"/>
  <c r="J30" i="5"/>
  <c r="J31" i="5"/>
  <c r="J32" i="5"/>
  <c r="J33" i="5"/>
  <c r="J35" i="5"/>
  <c r="H18" i="5"/>
  <c r="H21" i="5"/>
  <c r="H22" i="5"/>
  <c r="H23" i="5"/>
  <c r="H24" i="5"/>
  <c r="B56" i="6" l="1"/>
  <c r="M36" i="6"/>
  <c r="M39" i="6" l="1"/>
  <c r="L70" i="41" s="1"/>
  <c r="N36" i="6"/>
  <c r="N39" i="6" s="1"/>
  <c r="M41" i="6" l="1"/>
  <c r="L77" i="41" s="1"/>
  <c r="O36" i="6"/>
  <c r="O39" i="6" s="1"/>
  <c r="G43" i="28"/>
  <c r="I36" i="6"/>
  <c r="J51" i="6"/>
  <c r="J54" i="6" s="1"/>
  <c r="I35" i="6" l="1"/>
  <c r="J36" i="6"/>
  <c r="H62" i="29"/>
  <c r="I51" i="6"/>
  <c r="I54" i="6" s="1"/>
  <c r="I56" i="6" s="1"/>
  <c r="O71" i="41"/>
  <c r="I39" i="6" l="1"/>
  <c r="I41" i="6" s="1"/>
  <c r="L51" i="6"/>
  <c r="K51" i="6"/>
  <c r="L36" i="6"/>
  <c r="H44" i="5" s="1"/>
  <c r="K36" i="6"/>
  <c r="P56" i="6"/>
  <c r="O78" i="41" s="1"/>
  <c r="N51" i="6"/>
  <c r="N54" i="6" s="1"/>
  <c r="J35" i="6"/>
  <c r="J39" i="6" s="1"/>
  <c r="M51" i="6"/>
  <c r="H71" i="41"/>
  <c r="O51" i="6"/>
  <c r="L62" i="29"/>
  <c r="R52" i="6"/>
  <c r="O54" i="6" l="1"/>
  <c r="O56" i="6" s="1"/>
  <c r="N78" i="41" s="1"/>
  <c r="K54" i="6"/>
  <c r="K56" i="6" s="1"/>
  <c r="J78" i="41" s="1"/>
  <c r="L54" i="6"/>
  <c r="L56" i="6" s="1"/>
  <c r="K78" i="41" s="1"/>
  <c r="M54" i="6"/>
  <c r="M56" i="6" s="1"/>
  <c r="H70" i="41"/>
  <c r="H72" i="41" s="1"/>
  <c r="L35" i="6"/>
  <c r="H78" i="41"/>
  <c r="K35" i="6"/>
  <c r="K39" i="6" s="1"/>
  <c r="H77" i="41"/>
  <c r="M71" i="41"/>
  <c r="J47" i="5"/>
  <c r="L71" i="41" l="1"/>
  <c r="L72" i="41" s="1"/>
  <c r="L74" i="41" s="1"/>
  <c r="K71" i="41"/>
  <c r="H46" i="5"/>
  <c r="L78" i="41"/>
  <c r="L79" i="41" s="1"/>
  <c r="H79" i="41"/>
  <c r="H74" i="41"/>
  <c r="N56" i="6"/>
  <c r="M78" i="41" s="1"/>
  <c r="D26" i="23"/>
  <c r="Q52" i="6"/>
  <c r="N71" i="41" l="1"/>
  <c r="L80" i="41"/>
  <c r="H80" i="41"/>
  <c r="T52" i="6"/>
  <c r="G22" i="23"/>
  <c r="G26" i="23" l="1"/>
  <c r="I26" i="23" l="1"/>
  <c r="I24" i="23"/>
  <c r="H26" i="21" s="1"/>
  <c r="I22" i="23"/>
  <c r="F23" i="10" l="1"/>
  <c r="I71" i="41" l="1"/>
  <c r="J71" i="41" l="1"/>
  <c r="J56" i="6"/>
  <c r="I78" i="41" s="1"/>
  <c r="H67" i="27" l="1"/>
  <c r="H66" i="27"/>
  <c r="H65" i="27"/>
  <c r="H64" i="27"/>
  <c r="H63" i="27"/>
  <c r="H62" i="27"/>
  <c r="H61" i="27"/>
  <c r="H60" i="27"/>
  <c r="H59" i="27"/>
  <c r="H58" i="27"/>
  <c r="H57" i="27"/>
  <c r="H56" i="27"/>
  <c r="H55" i="27"/>
  <c r="H54" i="27"/>
  <c r="H53" i="27"/>
  <c r="H52" i="27"/>
  <c r="H51" i="27"/>
  <c r="H50" i="27"/>
  <c r="H49" i="27"/>
  <c r="H48" i="27"/>
  <c r="H47" i="27"/>
  <c r="H46" i="27"/>
  <c r="H45" i="27"/>
  <c r="H44" i="27"/>
  <c r="H43" i="27"/>
  <c r="P37" i="6" s="1"/>
  <c r="H42" i="27"/>
  <c r="H41" i="27"/>
  <c r="H40" i="27"/>
  <c r="H39" i="27"/>
  <c r="H38" i="27"/>
  <c r="H37" i="27"/>
  <c r="H36" i="27"/>
  <c r="H35" i="27"/>
  <c r="H34" i="27"/>
  <c r="H33" i="27"/>
  <c r="H32" i="27"/>
  <c r="H31" i="27"/>
  <c r="H30" i="27"/>
  <c r="H29" i="27"/>
  <c r="H28" i="27"/>
  <c r="H27" i="27"/>
  <c r="H26" i="27"/>
  <c r="H25" i="27"/>
  <c r="H23" i="27"/>
  <c r="H22" i="27"/>
  <c r="H21" i="27"/>
  <c r="H20" i="27"/>
  <c r="H19" i="27"/>
  <c r="B19" i="27"/>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B59" i="27" s="1"/>
  <c r="B60" i="27" s="1"/>
  <c r="B61" i="27" s="1"/>
  <c r="B62" i="27" s="1"/>
  <c r="B63" i="27" s="1"/>
  <c r="B64" i="27" s="1"/>
  <c r="B65" i="27" s="1"/>
  <c r="B66" i="27" s="1"/>
  <c r="B67" i="27" s="1"/>
  <c r="H18" i="27"/>
  <c r="H17" i="13"/>
  <c r="P39" i="6" l="1"/>
  <c r="O70" i="41" s="1"/>
  <c r="O72" i="41" s="1"/>
  <c r="O74" i="41" s="1"/>
  <c r="L37" i="6"/>
  <c r="L39" i="6" s="1"/>
  <c r="F18" i="27"/>
  <c r="D19" i="27"/>
  <c r="H69" i="27"/>
  <c r="P41" i="6" l="1"/>
  <c r="O77" i="41" s="1"/>
  <c r="O79" i="41" s="1"/>
  <c r="O80" i="41" s="1"/>
  <c r="K70" i="41"/>
  <c r="K72" i="41" s="1"/>
  <c r="K74" i="41" s="1"/>
  <c r="H43" i="5"/>
  <c r="H50" i="5" s="1"/>
  <c r="D20" i="27"/>
  <c r="F19" i="27"/>
  <c r="L47" i="12" l="1"/>
  <c r="L67" i="12" s="1"/>
  <c r="L41" i="6"/>
  <c r="F20" i="27"/>
  <c r="D21" i="27"/>
  <c r="K77" i="41" l="1"/>
  <c r="K79" i="41" s="1"/>
  <c r="K80" i="41" s="1"/>
  <c r="D22" i="27"/>
  <c r="F21" i="27"/>
  <c r="F22" i="27" l="1"/>
  <c r="D23" i="27"/>
  <c r="D24" i="27" l="1"/>
  <c r="F23" i="27"/>
  <c r="F24" i="27" l="1"/>
  <c r="D25" i="27"/>
  <c r="D26" i="27" l="1"/>
  <c r="F25" i="27"/>
  <c r="F26" i="27" l="1"/>
  <c r="D27" i="27"/>
  <c r="D28" i="27" l="1"/>
  <c r="F27" i="27"/>
  <c r="D29" i="27" l="1"/>
  <c r="F28" i="27"/>
  <c r="F29" i="27" l="1"/>
  <c r="D30" i="27"/>
  <c r="D31" i="27" l="1"/>
  <c r="F30" i="27"/>
  <c r="F31" i="27" l="1"/>
  <c r="D32" i="27"/>
  <c r="D33" i="27" l="1"/>
  <c r="F32" i="27"/>
  <c r="F33" i="27" l="1"/>
  <c r="D34" i="27"/>
  <c r="D35" i="27" l="1"/>
  <c r="F34" i="27"/>
  <c r="F35" i="27" l="1"/>
  <c r="D36" i="27"/>
  <c r="D37" i="27" l="1"/>
  <c r="F36" i="27"/>
  <c r="F37" i="27" l="1"/>
  <c r="D38" i="27"/>
  <c r="D39" i="27" l="1"/>
  <c r="F38" i="27"/>
  <c r="F39" i="27" l="1"/>
  <c r="D40" i="27"/>
  <c r="D41" i="27" l="1"/>
  <c r="F40" i="27"/>
  <c r="D42" i="27" l="1"/>
  <c r="F41" i="27"/>
  <c r="D43" i="27" l="1"/>
  <c r="F42" i="27"/>
  <c r="D44" i="27" l="1"/>
  <c r="F43" i="27"/>
  <c r="O41" i="6" l="1"/>
  <c r="M70" i="41"/>
  <c r="D45" i="27"/>
  <c r="F44" i="27"/>
  <c r="N77" i="41" l="1"/>
  <c r="N79" i="41" s="1"/>
  <c r="K41" i="6"/>
  <c r="I70" i="41"/>
  <c r="I72" i="41" s="1"/>
  <c r="I74" i="41" s="1"/>
  <c r="N41" i="6"/>
  <c r="F45" i="27"/>
  <c r="D46" i="27"/>
  <c r="J77" i="41" l="1"/>
  <c r="J79" i="41" s="1"/>
  <c r="M77" i="41"/>
  <c r="M79" i="41" s="1"/>
  <c r="J41" i="6"/>
  <c r="I77" i="41" s="1"/>
  <c r="I79" i="41" s="1"/>
  <c r="N70" i="41"/>
  <c r="M72" i="41"/>
  <c r="D47" i="27"/>
  <c r="F46" i="27"/>
  <c r="M74" i="41" l="1"/>
  <c r="N72" i="41"/>
  <c r="J70" i="41"/>
  <c r="F47" i="27"/>
  <c r="D48" i="27"/>
  <c r="J72" i="41" l="1"/>
  <c r="N74" i="41"/>
  <c r="N80" i="41" s="1"/>
  <c r="M80" i="41"/>
  <c r="D49" i="27"/>
  <c r="F48" i="27"/>
  <c r="J74" i="41" l="1"/>
  <c r="J80" i="41" s="1"/>
  <c r="I80" i="41"/>
  <c r="F49" i="27"/>
  <c r="D50" i="27"/>
  <c r="D51" i="27" l="1"/>
  <c r="F50" i="27"/>
  <c r="F51" i="27" l="1"/>
  <c r="D52" i="27"/>
  <c r="D53" i="27" l="1"/>
  <c r="F52" i="27"/>
  <c r="J52" i="27" s="1"/>
  <c r="J69" i="27" s="1"/>
  <c r="D24" i="8" s="1"/>
  <c r="F53" i="27" l="1"/>
  <c r="D54" i="27"/>
  <c r="D55" i="27" l="1"/>
  <c r="F54" i="27"/>
  <c r="F55" i="27" l="1"/>
  <c r="D56" i="27"/>
  <c r="D57" i="27" l="1"/>
  <c r="F56" i="27"/>
  <c r="F57" i="27" l="1"/>
  <c r="D58" i="27"/>
  <c r="D59" i="27" l="1"/>
  <c r="F58" i="27"/>
  <c r="F59" i="27" l="1"/>
  <c r="D60" i="27"/>
  <c r="D61" i="27" l="1"/>
  <c r="F60" i="27"/>
  <c r="F61" i="27" l="1"/>
  <c r="D62" i="27"/>
  <c r="D63" i="27" l="1"/>
  <c r="F62" i="27"/>
  <c r="F63" i="27" l="1"/>
  <c r="D64" i="27"/>
  <c r="D65" i="27" l="1"/>
  <c r="F64" i="27"/>
  <c r="F65" i="27" l="1"/>
  <c r="D66" i="27"/>
  <c r="D67" i="27" l="1"/>
  <c r="F67" i="27" s="1"/>
  <c r="F66" i="27"/>
  <c r="E36" i="35" l="1"/>
  <c r="M16" i="35"/>
  <c r="F21" i="9" l="1"/>
  <c r="H16" i="13" s="1"/>
  <c r="E24" i="35" l="1"/>
  <c r="E18" i="35" s="1"/>
  <c r="E27" i="35" l="1"/>
  <c r="E20" i="35" l="1"/>
  <c r="G14" i="35" l="1"/>
  <c r="G18" i="35"/>
  <c r="G16" i="35"/>
  <c r="O16" i="35"/>
  <c r="E26" i="23"/>
  <c r="K18" i="35" l="1"/>
  <c r="D25" i="10"/>
  <c r="D23" i="10" s="1"/>
  <c r="G20" i="35"/>
  <c r="K14" i="35" l="1"/>
  <c r="K20" i="35" s="1"/>
  <c r="D21" i="9"/>
  <c r="F16" i="13" s="1"/>
  <c r="J16" i="13" s="1"/>
  <c r="O18" i="35"/>
  <c r="D23" i="9"/>
  <c r="F17" i="13" s="1"/>
  <c r="J17" i="13" s="1"/>
  <c r="H25" i="10"/>
  <c r="O14" i="35" l="1"/>
  <c r="O20" i="35" s="1"/>
  <c r="H63" i="10" s="1"/>
  <c r="H67" i="10" s="1"/>
  <c r="Q50" i="12" s="1"/>
  <c r="H23" i="9"/>
  <c r="H23" i="10"/>
  <c r="H27" i="10" s="1"/>
  <c r="H33" i="10" s="1"/>
  <c r="D27" i="10"/>
  <c r="J18" i="13"/>
  <c r="H21" i="9"/>
  <c r="D25" i="9"/>
  <c r="J26" i="21"/>
  <c r="J37" i="21" s="1"/>
  <c r="J20" i="4" s="1"/>
  <c r="H25" i="9" l="1"/>
  <c r="N31" i="8" s="1"/>
  <c r="H31" i="10"/>
  <c r="H35" i="10" s="1"/>
  <c r="H47" i="10"/>
  <c r="H51" i="10" s="1"/>
  <c r="Q49" i="12" s="1"/>
  <c r="H33" i="4"/>
  <c r="H72" i="10" l="1"/>
  <c r="D30" i="2" s="1"/>
  <c r="Q48" i="12"/>
  <c r="H34" i="41"/>
  <c r="J34" i="41" l="1"/>
  <c r="L24" i="8" l="1"/>
  <c r="Q36" i="6" l="1"/>
  <c r="D18" i="18" s="1"/>
  <c r="R36" i="6"/>
  <c r="E20" i="18" l="1"/>
  <c r="D24" i="18" s="1"/>
  <c r="J36" i="3" s="1"/>
  <c r="I38" i="41" s="1"/>
  <c r="J38" i="41" s="1"/>
  <c r="T36" i="6"/>
  <c r="R35" i="6"/>
  <c r="R39" i="6" s="1"/>
  <c r="Q35" i="6"/>
  <c r="D18" i="17" s="1"/>
  <c r="F20" i="17" s="1"/>
  <c r="D24" i="17" l="1"/>
  <c r="J35" i="3" s="1"/>
  <c r="Q39" i="6"/>
  <c r="Q41" i="6" s="1"/>
  <c r="R41" i="6"/>
  <c r="Q51" i="6"/>
  <c r="R51" i="6"/>
  <c r="T35" i="6"/>
  <c r="T39" i="6" s="1"/>
  <c r="J40" i="3" l="1"/>
  <c r="I37" i="41"/>
  <c r="I43" i="41" s="1"/>
  <c r="R54" i="6"/>
  <c r="R56" i="6" s="1"/>
  <c r="Q54" i="6"/>
  <c r="Q56" i="6" s="1"/>
  <c r="T41" i="6"/>
  <c r="I47" i="12" s="1"/>
  <c r="T51" i="6"/>
  <c r="D18" i="2" l="1"/>
  <c r="J37" i="41"/>
  <c r="T54" i="6"/>
  <c r="T56" i="6" s="1"/>
  <c r="F19" i="8" s="1"/>
  <c r="I44" i="41"/>
  <c r="F31" i="8" l="1"/>
  <c r="H31" i="4"/>
  <c r="H40" i="4" l="1"/>
  <c r="K19" i="12" l="1"/>
  <c r="D19" i="8"/>
  <c r="K24" i="13" l="1"/>
  <c r="K18" i="12"/>
  <c r="K21" i="12" l="1"/>
  <c r="I67" i="12" l="1"/>
  <c r="B20" i="14" l="1"/>
  <c r="C47" i="12" s="1"/>
  <c r="J34" i="5" l="1"/>
  <c r="J36" i="5"/>
  <c r="J37" i="5"/>
  <c r="J38" i="5"/>
  <c r="J40" i="5" l="1"/>
  <c r="J50" i="5" s="1"/>
  <c r="L30" i="33" l="1"/>
  <c r="N30" i="33" s="1"/>
  <c r="H33" i="41"/>
  <c r="J28" i="22"/>
  <c r="J36" i="22" s="1"/>
  <c r="H25" i="8"/>
  <c r="L25" i="8" s="1"/>
  <c r="H31" i="8"/>
  <c r="H26" i="8"/>
  <c r="L26" i="8" s="1"/>
  <c r="J40" i="4"/>
  <c r="L50" i="5"/>
  <c r="N50" i="5" s="1"/>
  <c r="J19" i="8"/>
  <c r="P50" i="5" l="1"/>
  <c r="D22" i="2" s="1"/>
  <c r="K27" i="12"/>
  <c r="J21" i="4"/>
  <c r="H35" i="41" s="1"/>
  <c r="J33" i="41"/>
  <c r="J31" i="8"/>
  <c r="L19" i="8"/>
  <c r="J42" i="4" l="1"/>
  <c r="D20" i="2" s="1"/>
  <c r="J35" i="41"/>
  <c r="H43" i="41"/>
  <c r="J43" i="41" s="1"/>
  <c r="D24" i="2" l="1"/>
  <c r="D23" i="8"/>
  <c r="L23" i="8" s="1"/>
  <c r="L31" i="8" s="1"/>
  <c r="K11" i="13" s="1"/>
  <c r="K19" i="13" s="1"/>
  <c r="K24" i="12"/>
  <c r="K29" i="12" s="1"/>
  <c r="G47" i="12" s="1"/>
  <c r="H44" i="41"/>
  <c r="J44" i="41" s="1"/>
  <c r="D31" i="8" l="1"/>
  <c r="D26" i="2"/>
  <c r="P31" i="8"/>
  <c r="K32" i="12" s="1"/>
  <c r="K34" i="12" s="1"/>
  <c r="M34" i="12" s="1"/>
  <c r="J47" i="12" s="1"/>
  <c r="J48" i="12" s="1"/>
  <c r="M29" i="12"/>
  <c r="G48" i="12"/>
  <c r="H48" i="12" s="1"/>
  <c r="K22" i="13" l="1"/>
  <c r="K23" i="13" s="1"/>
  <c r="K25" i="13" s="1"/>
  <c r="O62" i="12" s="1"/>
  <c r="D28" i="2"/>
  <c r="K47" i="12"/>
  <c r="G49" i="12"/>
  <c r="H49" i="12" s="1"/>
  <c r="J49" i="12"/>
  <c r="K48" i="12"/>
  <c r="M48" i="12" s="1"/>
  <c r="O55" i="12" l="1"/>
  <c r="O65" i="12"/>
  <c r="O56" i="12"/>
  <c r="O57" i="12"/>
  <c r="O49" i="12"/>
  <c r="O53" i="12"/>
  <c r="O50" i="12"/>
  <c r="O61" i="12"/>
  <c r="D32" i="2"/>
  <c r="O47" i="12"/>
  <c r="O52" i="12"/>
  <c r="O59" i="12"/>
  <c r="O63" i="12"/>
  <c r="O51" i="12"/>
  <c r="O48" i="12"/>
  <c r="R48" i="12" s="1"/>
  <c r="E21" i="14" s="1"/>
  <c r="O58" i="12"/>
  <c r="O60" i="12"/>
  <c r="O54" i="12"/>
  <c r="O64" i="12"/>
  <c r="G50" i="12"/>
  <c r="G51" i="12" s="1"/>
  <c r="K49" i="12"/>
  <c r="M49" i="12" s="1"/>
  <c r="J50" i="12"/>
  <c r="K50" i="12" s="1"/>
  <c r="R49" i="12" l="1"/>
  <c r="E22" i="14" s="1"/>
  <c r="F22" i="14" s="1"/>
  <c r="F21" i="14"/>
  <c r="O67" i="12"/>
  <c r="D34" i="2" s="1"/>
  <c r="G52" i="12"/>
  <c r="H51" i="12"/>
  <c r="J51" i="12"/>
  <c r="I21" i="14" l="1"/>
  <c r="I22" i="14"/>
  <c r="H52" i="12"/>
  <c r="G53" i="12"/>
  <c r="J52" i="12"/>
  <c r="K51" i="12"/>
  <c r="M51" i="12" l="1"/>
  <c r="R51" i="12" s="1"/>
  <c r="T51" i="12" s="1"/>
  <c r="J22" i="14"/>
  <c r="S49" i="12" s="1"/>
  <c r="T49" i="12" s="1"/>
  <c r="D44" i="2" s="1"/>
  <c r="J21" i="14"/>
  <c r="S48" i="12" s="1"/>
  <c r="T48" i="12" s="1"/>
  <c r="D43" i="2" s="1"/>
  <c r="H53" i="12"/>
  <c r="G54" i="12"/>
  <c r="J53" i="12"/>
  <c r="K52" i="12"/>
  <c r="M52" i="12" s="1"/>
  <c r="H54" i="12" l="1"/>
  <c r="G55" i="12"/>
  <c r="T52" i="12"/>
  <c r="R52" i="12"/>
  <c r="K53" i="12"/>
  <c r="M53" i="12" s="1"/>
  <c r="J54" i="12"/>
  <c r="H55" i="12" l="1"/>
  <c r="G56" i="12"/>
  <c r="K54" i="12"/>
  <c r="M54" i="12" s="1"/>
  <c r="J55" i="12"/>
  <c r="T53" i="12"/>
  <c r="R53" i="12"/>
  <c r="G57" i="12" l="1"/>
  <c r="H56" i="12"/>
  <c r="J56" i="12"/>
  <c r="K55" i="12"/>
  <c r="M55" i="12" s="1"/>
  <c r="T54" i="12"/>
  <c r="R54" i="12"/>
  <c r="G58" i="12" l="1"/>
  <c r="H57" i="12"/>
  <c r="T55" i="12"/>
  <c r="R55" i="12"/>
  <c r="K56" i="12"/>
  <c r="M56" i="12" s="1"/>
  <c r="J57" i="12"/>
  <c r="H58" i="12" l="1"/>
  <c r="G59" i="12"/>
  <c r="K57" i="12"/>
  <c r="M57" i="12" s="1"/>
  <c r="J58" i="12"/>
  <c r="T56" i="12"/>
  <c r="R56" i="12"/>
  <c r="G60" i="12" l="1"/>
  <c r="H59" i="12"/>
  <c r="K58" i="12"/>
  <c r="M58" i="12" s="1"/>
  <c r="J59" i="12"/>
  <c r="T57" i="12"/>
  <c r="R57" i="12"/>
  <c r="H60" i="12" l="1"/>
  <c r="G61" i="12"/>
  <c r="K59" i="12"/>
  <c r="M59" i="12" s="1"/>
  <c r="J60" i="12"/>
  <c r="T58" i="12"/>
  <c r="R58" i="12"/>
  <c r="H61" i="12" l="1"/>
  <c r="G62" i="12"/>
  <c r="K60" i="12"/>
  <c r="M60" i="12" s="1"/>
  <c r="J61" i="12"/>
  <c r="T59" i="12"/>
  <c r="R59" i="12"/>
  <c r="G63" i="12" l="1"/>
  <c r="H62" i="12"/>
  <c r="J62" i="12"/>
  <c r="K61" i="12"/>
  <c r="M61" i="12" s="1"/>
  <c r="T60" i="12"/>
  <c r="R60" i="12"/>
  <c r="G64" i="12" l="1"/>
  <c r="H63" i="12"/>
  <c r="T61" i="12"/>
  <c r="R61" i="12"/>
  <c r="K62" i="12"/>
  <c r="M62" i="12" s="1"/>
  <c r="J63" i="12"/>
  <c r="H64" i="12" l="1"/>
  <c r="G65" i="12"/>
  <c r="H65" i="12" s="1"/>
  <c r="J64" i="12"/>
  <c r="K63" i="12"/>
  <c r="M63" i="12" s="1"/>
  <c r="T62" i="12"/>
  <c r="R62" i="12"/>
  <c r="T63" i="12" l="1"/>
  <c r="R63" i="12"/>
  <c r="K64" i="12"/>
  <c r="M64" i="12" s="1"/>
  <c r="J65" i="12"/>
  <c r="K65" i="12" s="1"/>
  <c r="M65" i="12" s="1"/>
  <c r="T65" i="12" l="1"/>
  <c r="R65" i="12"/>
  <c r="T64" i="12"/>
  <c r="R64" i="12"/>
  <c r="E47" i="12" l="1"/>
  <c r="H50" i="12"/>
  <c r="M50" i="12" s="1"/>
  <c r="R50" i="12" l="1"/>
  <c r="E67" i="12"/>
  <c r="H47" i="12"/>
  <c r="F23" i="14" l="1"/>
  <c r="M47" i="12"/>
  <c r="H67" i="12"/>
  <c r="I23" i="14" l="1"/>
  <c r="R47" i="12"/>
  <c r="M67" i="12"/>
  <c r="J23" i="14" l="1"/>
  <c r="S50" i="12" s="1"/>
  <c r="T50" i="12" s="1"/>
  <c r="E20" i="14"/>
  <c r="R67" i="12"/>
  <c r="F20" i="14" l="1"/>
  <c r="F28" i="14" l="1"/>
  <c r="I20" i="14"/>
  <c r="I28" i="14" l="1"/>
  <c r="J20" i="14"/>
  <c r="J28" i="14" s="1"/>
  <c r="J30" i="14" s="1"/>
  <c r="D36" i="2" s="1"/>
  <c r="S47" i="12" l="1"/>
  <c r="S67" i="12" s="1"/>
  <c r="D38" i="2"/>
  <c r="T47" i="12" l="1"/>
  <c r="D42" i="2" s="1"/>
  <c r="T67" i="12" l="1"/>
  <c r="D48" i="2"/>
  <c r="F47" i="12"/>
  <c r="F67" i="12" s="1"/>
</calcChain>
</file>

<file path=xl/sharedStrings.xml><?xml version="1.0" encoding="utf-8"?>
<sst xmlns="http://schemas.openxmlformats.org/spreadsheetml/2006/main" count="5461" uniqueCount="2112">
  <si>
    <t>NEW  YORK POWER AUTHORITY</t>
  </si>
  <si>
    <t>TRANSMISSION REVENUE REQUIREMENT</t>
  </si>
  <si>
    <t>WORK PAPER AC</t>
  </si>
  <si>
    <t>STEP-UP TRANSFORMERS O&amp;M ALLOCATOR</t>
  </si>
  <si>
    <t>Amount ($)</t>
  </si>
  <si>
    <t>Ratio</t>
  </si>
  <si>
    <t>Notes</t>
  </si>
  <si>
    <t>Line No.</t>
  </si>
  <si>
    <t>(1)</t>
  </si>
  <si>
    <t>(2)</t>
  </si>
  <si>
    <t>Avg. Transmission Plant in Service</t>
  </si>
  <si>
    <t>Sch B2; Col 9, Sum Ln 5, 6 and 10</t>
  </si>
  <si>
    <t>Generator Step-Up Transformer Plant-in-Service</t>
  </si>
  <si>
    <t>Sch B2, Line 12, Col 9</t>
  </si>
  <si>
    <t>Col 1, Ln 2 / Col 1, Ln 1</t>
  </si>
  <si>
    <t>Transmission Maintenance</t>
  </si>
  <si>
    <t>Sch A1; Col 4, Ln 4</t>
  </si>
  <si>
    <t>Removed Step-up Transmission O&amp;M</t>
  </si>
  <si>
    <t>Col 1, Ln 4 x Col 2, Ln 3</t>
  </si>
  <si>
    <t>INDEX</t>
  </si>
  <si>
    <t>NEW YORK POWER AUTHORITY</t>
  </si>
  <si>
    <t>Name</t>
  </si>
  <si>
    <t>Description</t>
  </si>
  <si>
    <t>Date</t>
  </si>
  <si>
    <t>Cost-of-Service Summary</t>
  </si>
  <si>
    <t>TRANSMISSION REVENUE REQUIREMENT SUMMARY</t>
  </si>
  <si>
    <t>Schedule A1</t>
  </si>
  <si>
    <t>OPERATION &amp; MAINTENANCE EXPENSE SUMMARY</t>
  </si>
  <si>
    <t>Schedule A2</t>
  </si>
  <si>
    <t>ADMINISTRATIVE AND GENERAL EXPENSES</t>
  </si>
  <si>
    <t>Schedule B1</t>
  </si>
  <si>
    <t>ANNUAL DEPRECIATION AND AMORTIZATION EXPENSES</t>
  </si>
  <si>
    <t>Schedule B2</t>
  </si>
  <si>
    <t>ADJUSTED PLANT IN SERVICE</t>
  </si>
  <si>
    <t>Schedule B3</t>
  </si>
  <si>
    <t xml:space="preserve">DEPRECIATION AND AMORTIZATION RATES </t>
  </si>
  <si>
    <t>Schedule C1</t>
  </si>
  <si>
    <t>TRANSMISSION - RATE BASE CALCULATION</t>
  </si>
  <si>
    <t>Schedule D1</t>
  </si>
  <si>
    <t xml:space="preserve">CAPITAL STRUCTURE AND COST OF CAPITAL </t>
  </si>
  <si>
    <t>Schedule D2</t>
  </si>
  <si>
    <t xml:space="preserve">PROJECT SPECIFIC CAPITAL STRUCTURE AND COST OF CAPITAL </t>
  </si>
  <si>
    <t>Schedule E1</t>
  </si>
  <si>
    <t>A&amp;G AND GENERAL PLANT ALLOCATOR</t>
  </si>
  <si>
    <t>Schedule F1</t>
  </si>
  <si>
    <t>PROJECT REVENUE REQUIREMENT WORKSHEET</t>
  </si>
  <si>
    <t>Schedule F2</t>
  </si>
  <si>
    <t>INCENTIVES</t>
  </si>
  <si>
    <t>Schedule F3</t>
  </si>
  <si>
    <t>PROJECT TRUE-UP</t>
  </si>
  <si>
    <t>Work Paper-AA</t>
  </si>
  <si>
    <t>O&amp;M AND A&amp;G SUMMARY</t>
  </si>
  <si>
    <t>Work Paper-AB</t>
  </si>
  <si>
    <t>O&amp;M AND A&amp;G DETAIL</t>
  </si>
  <si>
    <t>Work Paper-AC</t>
  </si>
  <si>
    <t>Work Paper-AD</t>
  </si>
  <si>
    <t>FACTS O&amp;M ALLOCATOR</t>
  </si>
  <si>
    <t>Work Paper-AE</t>
  </si>
  <si>
    <t>MICROWAVE TOWER RENTAL INCOME</t>
  </si>
  <si>
    <t>Work Paper-AF</t>
  </si>
  <si>
    <t>POSTRETIREMENT BENEFITS OTHER THAN PENSIONS (PBOP)</t>
  </si>
  <si>
    <t>Work Paper-AG</t>
  </si>
  <si>
    <t>PROPERTY INSURANCE ALLOCATION</t>
  </si>
  <si>
    <t>Work Paper-AH</t>
  </si>
  <si>
    <t>INJURIES &amp; DAMAGES INSURANCE EXPENSE ALLOCATION</t>
  </si>
  <si>
    <t>Work Paper-AI</t>
  </si>
  <si>
    <t>PROPERTY INSURANCE ALLOCATOR</t>
  </si>
  <si>
    <t>Work Paper-BA</t>
  </si>
  <si>
    <t>DEPRECIATION AND AMORTIZATION EXPENSES (BY FERC ACCOUNT)</t>
  </si>
  <si>
    <t>Work Paper-BB</t>
  </si>
  <si>
    <t>EXCLUDED PLANT IN SERVICE</t>
  </si>
  <si>
    <t>Work Paper-BC</t>
  </si>
  <si>
    <t>PLANT IN SERVICE DETAIL</t>
  </si>
  <si>
    <t>Work Paper-BD</t>
  </si>
  <si>
    <t>MARCY-SOUTH CAPITALIZED LEASE AMORTIZATION AND UNAMORTIZED BALANCE</t>
  </si>
  <si>
    <t>Work Paper-BE</t>
  </si>
  <si>
    <t>FACTS PROJECT PLANT IN SERVICE AND ACCUMULATED DEPRECIATION</t>
  </si>
  <si>
    <t>Work Paper-BF</t>
  </si>
  <si>
    <t>GENERATOR STEP-UP TRANSFORMERS BREAKOUT</t>
  </si>
  <si>
    <t>Work Paper-BG</t>
  </si>
  <si>
    <t>RELICENSING/RECLASSIFICATION EXPENSES</t>
  </si>
  <si>
    <t>Work Paper-BH</t>
  </si>
  <si>
    <t>ASSET IMPAIRMENT</t>
  </si>
  <si>
    <t>Work Paper-BI</t>
  </si>
  <si>
    <t>COST OF REMOVAL</t>
  </si>
  <si>
    <t>Work Paper-BJ</t>
  </si>
  <si>
    <t>INDIVIDUAL PROJECTS - PLANT IN SERVICE AND DEPRECIATION</t>
  </si>
  <si>
    <t>Work Paper-CA</t>
  </si>
  <si>
    <t>MATERIALS AND SUPPLIES</t>
  </si>
  <si>
    <t>Work Paper-CB</t>
  </si>
  <si>
    <t>ESTIMATED PREPAYMENTS AND INSURANCE</t>
  </si>
  <si>
    <t>Work Paper-DA</t>
  </si>
  <si>
    <t>WEIGHTED COST OF CAPITAL</t>
  </si>
  <si>
    <t>Work Paper-DB</t>
  </si>
  <si>
    <t>LONG-TERM DEBT AND RELATED INTEREST</t>
  </si>
  <si>
    <t>Work Paper-EA</t>
  </si>
  <si>
    <t>CALCULATION OF A&amp;G AND GENERAL PLANT ALLOCATOR</t>
  </si>
  <si>
    <t>Work Paper-AR-IS</t>
  </si>
  <si>
    <t>STATEMENT OF REVENUES , EXPENSES, AND CHANGES IN NET POSITION</t>
  </si>
  <si>
    <t>Work Paper-AR-BS</t>
  </si>
  <si>
    <t>STATEMENT OF NET POSITION</t>
  </si>
  <si>
    <t>Work Paper-AR-Cap Assets</t>
  </si>
  <si>
    <t>CAPITAL ASSETS</t>
  </si>
  <si>
    <t xml:space="preserve">Work Paper-Reconciliations </t>
  </si>
  <si>
    <t>RECONCILIATIONS BETWEEN ANNUAL REPORT &amp; ATRR</t>
  </si>
  <si>
    <t>YEAR ENDING DECEMBER 31, 2022</t>
  </si>
  <si>
    <t xml:space="preserve">                </t>
  </si>
  <si>
    <t>A. OPERATING EXPENSES</t>
  </si>
  <si>
    <t>TOTAL $</t>
  </si>
  <si>
    <t>SOURCE/COMMENTS</t>
  </si>
  <si>
    <t xml:space="preserve"> (1)</t>
  </si>
  <si>
    <t xml:space="preserve"> (2)</t>
  </si>
  <si>
    <t>Operation &amp; Maintenance Expense</t>
  </si>
  <si>
    <t>Schedule A1, Col 5, Ln 7</t>
  </si>
  <si>
    <t>Administrative &amp; General Expenses</t>
  </si>
  <si>
    <t>Schedule A2, Col 5, Ln 5</t>
  </si>
  <si>
    <t>Depreciation &amp; Amortization Expense</t>
  </si>
  <si>
    <t>Schedule B1, Col 6, Ln 6</t>
  </si>
  <si>
    <t>TOTAL OPERATING EXPENSE</t>
  </si>
  <si>
    <t xml:space="preserve">Sum lines 1, 2, &amp; 3 </t>
  </si>
  <si>
    <t>B. RATE BASE</t>
  </si>
  <si>
    <t>Schedule C1, Col 5, Ln 10</t>
  </si>
  <si>
    <t>Return on Rate Base</t>
  </si>
  <si>
    <t>Schedule C1, Col 7, Ln 10</t>
  </si>
  <si>
    <t>6a</t>
  </si>
  <si>
    <t>Total Project Specific Return Adjustment</t>
  </si>
  <si>
    <t>Schedule D2, Col 3, Ln A</t>
  </si>
  <si>
    <t>TOTAL REVENUE REQUIREMENT</t>
  </si>
  <si>
    <t>Line 4 + Line 6 + Line 6a</t>
  </si>
  <si>
    <t>Incentive Return</t>
  </si>
  <si>
    <t>Schedule F1, page 2, line 2, col. 13</t>
  </si>
  <si>
    <t>True-up Adjustment</t>
  </si>
  <si>
    <t>Schedule F3, page 1, line 3, col. 10</t>
  </si>
  <si>
    <t>NET ADJUSTED REVENUE REQUIREMENT</t>
  </si>
  <si>
    <t>Line 7 + line 8 + line 9</t>
  </si>
  <si>
    <t>Breakout by Project</t>
  </si>
  <si>
    <t>NTAC Facilities</t>
  </si>
  <si>
    <t>Schedule F1, page 2, line 1a + line 1d, col. 17</t>
  </si>
  <si>
    <t>11a</t>
  </si>
  <si>
    <t>Project 1 - Marcy South Series Compensation</t>
  </si>
  <si>
    <t>Schedule F1, page 2, line 1b, col. 17</t>
  </si>
  <si>
    <t>11b</t>
  </si>
  <si>
    <t>Project 2 - AC Project Segment A
                  (Central East Energy Connect)</t>
  </si>
  <si>
    <t>Schedule F1, page 2, line 1c, col. 17</t>
  </si>
  <si>
    <t>11c</t>
  </si>
  <si>
    <t>11d</t>
  </si>
  <si>
    <t>…</t>
  </si>
  <si>
    <t>Total Break out</t>
  </si>
  <si>
    <t xml:space="preserve">Sum lines 11 </t>
  </si>
  <si>
    <t>Note 1</t>
  </si>
  <si>
    <t xml:space="preserve">The revenue requirements shown on lines 11 and 11a et seq. are annual revenue requirements.  If the first year is a partial year, 1/12 of the amounts should be recovered for every month of the Rate Year. </t>
  </si>
  <si>
    <t>SCHEDULE  A1</t>
  </si>
  <si>
    <t>OPERATION &amp; MAINTENANCE EXPENSE SUMMARY ($)</t>
  </si>
  <si>
    <t xml:space="preserve">FERC   </t>
  </si>
  <si>
    <t>Account</t>
  </si>
  <si>
    <t>FERC Account Description</t>
  </si>
  <si>
    <t>Source</t>
  </si>
  <si>
    <t>Total</t>
  </si>
  <si>
    <t>Grand Total</t>
  </si>
  <si>
    <t>NYPA Form 1 Equivalent</t>
  </si>
  <si>
    <t xml:space="preserve"> (3)</t>
  </si>
  <si>
    <t xml:space="preserve"> (4)</t>
  </si>
  <si>
    <t>(5)</t>
  </si>
  <si>
    <t>(6)</t>
  </si>
  <si>
    <t>Transmission:</t>
  </si>
  <si>
    <t/>
  </si>
  <si>
    <t>OPERATION:</t>
  </si>
  <si>
    <t>1a</t>
  </si>
  <si>
    <t>Supervision &amp; Engineering</t>
  </si>
  <si>
    <t>WP-AA, Col (5)</t>
  </si>
  <si>
    <t>Page 321 line 83</t>
  </si>
  <si>
    <t>1b</t>
  </si>
  <si>
    <t>Load Dispatching</t>
  </si>
  <si>
    <t>Page 321 lines 85-92</t>
  </si>
  <si>
    <t>1c</t>
  </si>
  <si>
    <t>Station Expenses</t>
  </si>
  <si>
    <t>Page 321 line 93</t>
  </si>
  <si>
    <t>1d</t>
  </si>
  <si>
    <t>Misc. Trans. Expenses</t>
  </si>
  <si>
    <t>Page 321 line 97</t>
  </si>
  <si>
    <t xml:space="preserve">       Total Operation</t>
  </si>
  <si>
    <t>(sum lines 1)</t>
  </si>
  <si>
    <t>MAINTENANCE:</t>
  </si>
  <si>
    <t>3a</t>
  </si>
  <si>
    <t>Page 321 line 101</t>
  </si>
  <si>
    <t>3b</t>
  </si>
  <si>
    <t>Structures</t>
  </si>
  <si>
    <t>Page 321 line 102-106</t>
  </si>
  <si>
    <t>3c</t>
  </si>
  <si>
    <t>Station Equipment</t>
  </si>
  <si>
    <t>Page 321 line 107</t>
  </si>
  <si>
    <t>3d</t>
  </si>
  <si>
    <t>Overhead Lines</t>
  </si>
  <si>
    <t>Page 321 line 108</t>
  </si>
  <si>
    <t>3e</t>
  </si>
  <si>
    <t>Underground Lines</t>
  </si>
  <si>
    <t>Page 321 line 109</t>
  </si>
  <si>
    <t>3f</t>
  </si>
  <si>
    <t>Misc. Transm. Plant</t>
  </si>
  <si>
    <t>Page 321 line 110</t>
  </si>
  <si>
    <t xml:space="preserve">       Total  Maintenance</t>
  </si>
  <si>
    <t>(sum lines 3)</t>
  </si>
  <si>
    <t>TOTAL O&amp;M TRANSMISSION</t>
  </si>
  <si>
    <t>(sum lines 2 &amp; 4)</t>
  </si>
  <si>
    <t>Adjustments   (Note 2)</t>
  </si>
  <si>
    <t>Step-up Transformers</t>
  </si>
  <si>
    <t>WP-AC, Col (1) line 5</t>
  </si>
  <si>
    <t>6b</t>
  </si>
  <si>
    <t>FACTS (Note 1)</t>
  </si>
  <si>
    <t>WP-AD,Col (1) line 5</t>
  </si>
  <si>
    <t>6c</t>
  </si>
  <si>
    <t>Microwave Tower Rental Income</t>
  </si>
  <si>
    <t>WP-AE, Col (3) line 2</t>
  </si>
  <si>
    <t>TOTAL ADJUSTED O&amp;M TRANSMISSION</t>
  </si>
  <si>
    <t>(sum lines 5-6)</t>
  </si>
  <si>
    <t>Flexible Alternating Current Transmission System device</t>
  </si>
  <si>
    <t>Note 2</t>
  </si>
  <si>
    <t>Revenues that are credited in the NTAC are not revenue credited here.</t>
  </si>
  <si>
    <t>SCHEDULE   A2</t>
  </si>
  <si>
    <t>Unallocated</t>
  </si>
  <si>
    <t>Transmission</t>
  </si>
  <si>
    <t>Allocated to</t>
  </si>
  <si>
    <t>A&amp;G ($)</t>
  </si>
  <si>
    <t>Allocator (%)</t>
  </si>
  <si>
    <t>Transmission ($)</t>
  </si>
  <si>
    <t>Source/Comments</t>
  </si>
  <si>
    <t xml:space="preserve"> (5)</t>
  </si>
  <si>
    <t xml:space="preserve"> (6)</t>
  </si>
  <si>
    <t>(7)</t>
  </si>
  <si>
    <t>A&amp;G Salaries</t>
  </si>
  <si>
    <t>Page 323 line 181</t>
  </si>
  <si>
    <t>Office Supplies &amp; Expenses</t>
  </si>
  <si>
    <t>Page 323 line 182</t>
  </si>
  <si>
    <t>Admin. Exp. Transferred-Cr</t>
  </si>
  <si>
    <t>Page 323 line 183</t>
  </si>
  <si>
    <t>Outside Services Employed</t>
  </si>
  <si>
    <t>Page 323 line 184</t>
  </si>
  <si>
    <t>1e</t>
  </si>
  <si>
    <t>Property Insurance</t>
  </si>
  <si>
    <t>See WP-AG; Col (3) ,Ln 5</t>
  </si>
  <si>
    <t>Page 323 line 185</t>
  </si>
  <si>
    <t>1f</t>
  </si>
  <si>
    <t>925</t>
  </si>
  <si>
    <t>Injuries &amp; Damages Insurance</t>
  </si>
  <si>
    <t>See WP-AH; Col (3) ,Ln 4</t>
  </si>
  <si>
    <t>Page 323 line 186</t>
  </si>
  <si>
    <t>1g</t>
  </si>
  <si>
    <t>Employee Pensions &amp; Benefits</t>
  </si>
  <si>
    <t>Page 323 line 187</t>
  </si>
  <si>
    <t>1h</t>
  </si>
  <si>
    <t>Reg. Commission Expenses</t>
  </si>
  <si>
    <t>See WP-AA; Col (3), Ln 2x</t>
  </si>
  <si>
    <t>Page 323 line 189</t>
  </si>
  <si>
    <t>1i</t>
  </si>
  <si>
    <t>930</t>
  </si>
  <si>
    <t>Obsolete/Excess Inv</t>
  </si>
  <si>
    <t>Page 323 line 190.5</t>
  </si>
  <si>
    <t>1j</t>
  </si>
  <si>
    <t>930.1</t>
  </si>
  <si>
    <t>General Advertising Expense</t>
  </si>
  <si>
    <t>Page 323 line 191</t>
  </si>
  <si>
    <t>1k</t>
  </si>
  <si>
    <t>930.2</t>
  </si>
  <si>
    <t>Misc. General Expenses</t>
  </si>
  <si>
    <t>Page 323 line 192</t>
  </si>
  <si>
    <t>1l</t>
  </si>
  <si>
    <t>930.5</t>
  </si>
  <si>
    <t>Research &amp; Development</t>
  </si>
  <si>
    <t>2/</t>
  </si>
  <si>
    <t>Page 323 line 192.5</t>
  </si>
  <si>
    <t>1m</t>
  </si>
  <si>
    <t>Rents</t>
  </si>
  <si>
    <t>Page 323 line 193</t>
  </si>
  <si>
    <t>1n</t>
  </si>
  <si>
    <t>Maint of General Plant A/C 932</t>
  </si>
  <si>
    <t>Page 323 line 196</t>
  </si>
  <si>
    <t>TOTAL</t>
  </si>
  <si>
    <t>Less A/C 924</t>
  </si>
  <si>
    <t>Less line 1e</t>
  </si>
  <si>
    <t>Less A/C 925</t>
  </si>
  <si>
    <t>Less line 1f</t>
  </si>
  <si>
    <t>Less EPRI Dues</t>
  </si>
  <si>
    <t>1/</t>
  </si>
  <si>
    <t>Less A/C 928</t>
  </si>
  <si>
    <t>Less line 1h</t>
  </si>
  <si>
    <t>Less A/C 930.5</t>
  </si>
  <si>
    <t>Less line 1l</t>
  </si>
  <si>
    <t>3/</t>
  </si>
  <si>
    <t>PBOP Adjustment</t>
  </si>
  <si>
    <t>WP-AF</t>
  </si>
  <si>
    <t>TOTAL A&amp;G Expense</t>
  </si>
  <si>
    <t>(sum lines 2 to 4)</t>
  </si>
  <si>
    <t>- Allocated based on</t>
  </si>
  <si>
    <t xml:space="preserve">  transmission allocator</t>
  </si>
  <si>
    <t>NET A&amp;G TRANSMISSION EXPENSE</t>
  </si>
  <si>
    <t>(sum lines 1 to 4)</t>
  </si>
  <si>
    <t xml:space="preserve">  (Schedule E1)</t>
  </si>
  <si>
    <t>1/  NYPA does not pay EPRI dues</t>
  </si>
  <si>
    <t xml:space="preserve">2/  Column 5 is populated as 0 (zero) for data pertaining to calendar years ____ and 2015. It is populated as a sum of Transmission R&amp;D Expense [Workpaper WP-AA Col (3) ln(2ab)] plus the portion of </t>
  </si>
  <si>
    <t xml:space="preserve">     Admin &amp; General allocated to transmission [Workpaper WP-AA Col (4) ln (2ab) multiplied by Workpaper E1-Allocator Col (3) ln (2)] for data pertaining to calendar years 2016 and later.</t>
  </si>
  <si>
    <t>3/  Populated as 0 (zero) for data pertaining to calendar years ____ and 2015.  Populated as WP-AA Col (3) for data pertaining to calendar years 2016 and later.</t>
  </si>
  <si>
    <t>SCHEDULE   B1</t>
  </si>
  <si>
    <t>ANNUAL DEPRECIATION AND AMORTIZATION EXPENSES ($)</t>
  </si>
  <si>
    <t>General Plant</t>
  </si>
  <si>
    <t xml:space="preserve"> Annual</t>
  </si>
  <si>
    <t>Depreciation</t>
  </si>
  <si>
    <t>Transm. Col (3)*(4)</t>
  </si>
  <si>
    <t>Col (2)+(5)</t>
  </si>
  <si>
    <t>Structures &amp; Improvements</t>
  </si>
  <si>
    <t>WP-BA, Col (4)</t>
  </si>
  <si>
    <t>Towers &amp; Fixtures</t>
  </si>
  <si>
    <t>Poles &amp; Fixtures</t>
  </si>
  <si>
    <t>Overhead Conductors &amp; Devices</t>
  </si>
  <si>
    <t>Underground Conduit</t>
  </si>
  <si>
    <t>Underground Conductors &amp; Devices</t>
  </si>
  <si>
    <t>Roads &amp; Trails</t>
  </si>
  <si>
    <t>Unadjusted Depreciation</t>
  </si>
  <si>
    <t>Office Furniture &amp; Equipment</t>
  </si>
  <si>
    <t>Transportation Equipment</t>
  </si>
  <si>
    <t>Stores Equipment</t>
  </si>
  <si>
    <t>Tools, Shop &amp; Garage Equipment</t>
  </si>
  <si>
    <t>Laboratory Equipment</t>
  </si>
  <si>
    <t>3g</t>
  </si>
  <si>
    <t>Power Operated Equipment</t>
  </si>
  <si>
    <t>3h</t>
  </si>
  <si>
    <t>Communication Equipment</t>
  </si>
  <si>
    <t>3i</t>
  </si>
  <si>
    <t>Miscellaneous Equipment</t>
  </si>
  <si>
    <t>3j</t>
  </si>
  <si>
    <t>Other Tangible Property</t>
  </si>
  <si>
    <t>Unadjusted General Plant Depreciation</t>
  </si>
  <si>
    <t>Adjustments</t>
  </si>
  <si>
    <t>5a</t>
  </si>
  <si>
    <t>Capitalized Lease Amortization</t>
  </si>
  <si>
    <t>Schedule B2, Col 4, line 14</t>
  </si>
  <si>
    <t>5b</t>
  </si>
  <si>
    <t>FACTS</t>
  </si>
  <si>
    <t>Schedule B2, Col 4, line 13</t>
  </si>
  <si>
    <t>5c</t>
  </si>
  <si>
    <t>Windfarm</t>
  </si>
  <si>
    <t>Schedule B2, Col 4, line 11</t>
  </si>
  <si>
    <t>5d</t>
  </si>
  <si>
    <t>Schedule B2, Col 4, line 12</t>
  </si>
  <si>
    <t>5e</t>
  </si>
  <si>
    <t>Relicensing Reclassification</t>
  </si>
  <si>
    <t>WP-BG, Col 4</t>
  </si>
  <si>
    <t>(Sum lines 2-5)</t>
  </si>
  <si>
    <t>1/  See Schedule-E1, Col (3), Ln 2</t>
  </si>
  <si>
    <t>SCHEDULE B2</t>
  </si>
  <si>
    <t>2022 -2021 Average</t>
  </si>
  <si>
    <t>Net</t>
  </si>
  <si>
    <t xml:space="preserve">Line </t>
  </si>
  <si>
    <t>Plant in</t>
  </si>
  <si>
    <t>Accumulated</t>
  </si>
  <si>
    <t>No.</t>
  </si>
  <si>
    <t>Service ($)</t>
  </si>
  <si>
    <t>Depreciation ($)</t>
  </si>
  <si>
    <t>Service - Net ($)</t>
  </si>
  <si>
    <t>Expense ($)</t>
  </si>
  <si>
    <t>(3)</t>
  </si>
  <si>
    <t>(4)</t>
  </si>
  <si>
    <t>(8)</t>
  </si>
  <si>
    <t>(9)</t>
  </si>
  <si>
    <t>(10)</t>
  </si>
  <si>
    <t>(11)</t>
  </si>
  <si>
    <t>PRODUCTION</t>
  </si>
  <si>
    <t>Plant in Service
(p. 204-207 column (g))</t>
  </si>
  <si>
    <t>Depreciation (p.219)</t>
  </si>
  <si>
    <t>Production - Land</t>
  </si>
  <si>
    <t>WP-BC</t>
  </si>
  <si>
    <t>ln. 8 + ln. 27 + ln. 37</t>
  </si>
  <si>
    <t>Production - Hydro</t>
  </si>
  <si>
    <t>ln. 35 - ln. 27</t>
  </si>
  <si>
    <t>ln. 22 - Cost of Removal 5/</t>
  </si>
  <si>
    <t>Production - Gas Turbine / Combined Cycle</t>
  </si>
  <si>
    <t>ln. 16 + ln. 45 + ln. 100.5 - ln. 8 - ln. 37</t>
  </si>
  <si>
    <t>ln. 20 + ln. 23</t>
  </si>
  <si>
    <t>TRANSMISSION</t>
  </si>
  <si>
    <t>Transmission - Land</t>
  </si>
  <si>
    <t>ln. 48</t>
  </si>
  <si>
    <t>ln. 58 + ln. 100.6 - ln. 48</t>
  </si>
  <si>
    <t>ln. 24 - Cost of Removal 5/</t>
  </si>
  <si>
    <t>Transmission - Cost of Removal 1/</t>
  </si>
  <si>
    <t>Excluded Transmission   2/</t>
  </si>
  <si>
    <t>WP-BB</t>
  </si>
  <si>
    <t>Adjustments to Rate Base</t>
  </si>
  <si>
    <t>Transmission - Asset Impairment</t>
  </si>
  <si>
    <t>Generator Step-ups</t>
  </si>
  <si>
    <t>WP-BF</t>
  </si>
  <si>
    <t>WP-BE</t>
  </si>
  <si>
    <t>Marcy South Capitalized Lease 3/</t>
  </si>
  <si>
    <t>Total Adjustments</t>
  </si>
  <si>
    <t>Net Adjusted Transmission</t>
  </si>
  <si>
    <t>GENERAL</t>
  </si>
  <si>
    <t>General - Land</t>
  </si>
  <si>
    <t>ln. 86</t>
  </si>
  <si>
    <t>General</t>
  </si>
  <si>
    <t>ln. 99 - ln. 86</t>
  </si>
  <si>
    <t>ln. 27 - Cost of Removal 5/</t>
  </si>
  <si>
    <t>ln. 99</t>
  </si>
  <si>
    <t>General - Asset Impairment</t>
  </si>
  <si>
    <t>General - Cost of Removal</t>
  </si>
  <si>
    <t>Relicensing</t>
  </si>
  <si>
    <t>WP-BG</t>
  </si>
  <si>
    <t>Excluded General   4/</t>
  </si>
  <si>
    <t>Net Adjusted General Plant</t>
  </si>
  <si>
    <t>1/   Cost of Removal: Bringing back to accumulated depreciation cost of removal which was reclassified to regulatory liabilities in annual report.</t>
  </si>
  <si>
    <t>2/   Excluded Transmission: Assets not recoverable under ATRR, FERC Accounts 350 and 352-359 for 500 MW, AEII, Poletti, SCPPs, Small Hydro, and Flynn.</t>
  </si>
  <si>
    <t>3/   Marcy South Capitalized Lease amount is added separately to the Rate Base.</t>
  </si>
  <si>
    <t>4/   Excluded General: Assets not recoverable under ATRR, FERC Accounts 389-399 for 500 MW, AEII, Poletti, SCPPs, Small Hydro, and Flynn.</t>
  </si>
  <si>
    <t xml:space="preserve">        SCPPs include Brentwood, Gowanus, Harlem River, Hell Gate, Kent, Pouch and Vernon. Small Hydro includes Ashokan, Crescent, Jarvis and Vischer Ferry. </t>
  </si>
  <si>
    <t>5/   The difference between the Accumulated Depreciation contained in the NYPA Form 1 Equivalent and the amount contained here is equal to the Cost of Removal.</t>
  </si>
  <si>
    <t xml:space="preserve">Schedule B3 - Depreciation and Amortization Rates </t>
  </si>
  <si>
    <t>Based on Plant Data Year Ending December 31, 2019 for General and Intangible Plant and December 31, 2020 for Transmission Plant (as filed with FERC in 2022 in Docket ER22-2581)</t>
  </si>
  <si>
    <t xml:space="preserve">FERC Account  </t>
  </si>
  <si>
    <t xml:space="preserve"> FERC Account  Description</t>
  </si>
  <si>
    <t xml:space="preserve"> Rate (Annual) Percent 1/</t>
  </si>
  <si>
    <t xml:space="preserve">TRANSMISSION PLANT </t>
  </si>
  <si>
    <t>Headquarters</t>
  </si>
  <si>
    <t>St. Lawrence/FDR</t>
  </si>
  <si>
    <t>Niagara</t>
  </si>
  <si>
    <t>Blenheim-Gilboa</t>
  </si>
  <si>
    <t>J. A. FitzPatrick</t>
  </si>
  <si>
    <t>Massena-Marcy</t>
  </si>
  <si>
    <t>Marcy-South</t>
  </si>
  <si>
    <t>Long Island Sound Cable</t>
  </si>
  <si>
    <t>New Project 2/</t>
  </si>
  <si>
    <t xml:space="preserve"> Land Rights </t>
  </si>
  <si>
    <t>352</t>
  </si>
  <si>
    <t xml:space="preserve"> Structures and Improvements </t>
  </si>
  <si>
    <t>353</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</si>
  <si>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</si>
  <si>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</si>
  <si>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</si>
  <si>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</si>
  <si>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</si>
  <si>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</si>
  <si>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 xml:space="preserve"> Roads and Trails </t>
  </si>
  <si>
    <r>
      <t xml:space="preserve"> </t>
    </r>
    <r>
      <rPr>
        <b/>
        <sz val="10"/>
        <color theme="1"/>
        <rFont val="Arial"/>
        <family val="2"/>
      </rPr>
      <t>GENERAL PLANT</t>
    </r>
    <r>
      <rPr>
        <sz val="10"/>
        <color theme="1"/>
        <rFont val="Arial"/>
        <family val="2"/>
      </rPr>
      <t xml:space="preserve"> </t>
    </r>
  </si>
  <si>
    <t xml:space="preserve"> Structures &amp; Improvements </t>
  </si>
  <si>
    <t xml:space="preserve"> Office Furniture &amp; Equipment </t>
  </si>
  <si>
    <t>391.2</t>
  </si>
  <si>
    <t>Computer Equipment 5 yr</t>
  </si>
  <si>
    <t>391.3</t>
  </si>
  <si>
    <t>Computer Equipment 10 yr</t>
  </si>
  <si>
    <t xml:space="preserve"> Transportation Equipment </t>
  </si>
  <si>
    <t>4/</t>
  </si>
  <si>
    <t xml:space="preserve"> Stores Equipment </t>
  </si>
  <si>
    <t xml:space="preserve"> Tools, Shop &amp; Garage Equipment </t>
  </si>
  <si>
    <t xml:space="preserve"> Laboratory Equipment </t>
  </si>
  <si>
    <t xml:space="preserve"> Power Operated Equipment </t>
  </si>
  <si>
    <t xml:space="preserve"> Communication Equipment </t>
  </si>
  <si>
    <t xml:space="preserve"> Miscellaneous Equipment 4/</t>
  </si>
  <si>
    <t>399</t>
  </si>
  <si>
    <r>
      <t xml:space="preserve"> </t>
    </r>
    <r>
      <rPr>
        <b/>
        <sz val="10"/>
        <color theme="1"/>
        <rFont val="Arial"/>
        <family val="2"/>
      </rPr>
      <t>INTANGIBLE PLANT</t>
    </r>
    <r>
      <rPr>
        <sz val="10"/>
        <color theme="1"/>
        <rFont val="Arial"/>
        <family val="2"/>
      </rPr>
      <t xml:space="preserve"> </t>
    </r>
  </si>
  <si>
    <t xml:space="preserve"> Miscellaneous Intangible Plant </t>
  </si>
  <si>
    <t xml:space="preserve">     5 Year Property</t>
  </si>
  <si>
    <t xml:space="preserve">     7 Year Property</t>
  </si>
  <si>
    <t xml:space="preserve">     10 Year Property</t>
  </si>
  <si>
    <t xml:space="preserve"> Transmission facility Contributions in Aid of Construction </t>
  </si>
  <si>
    <t>Notes:</t>
  </si>
  <si>
    <t>Where no depreciation rate is listed for a transmission or general plant account for a particular project,</t>
  </si>
  <si>
    <t>NYPA lacks depreciable plant as of 12/31/2019 or 2020 (or all plant has been fully depreciated). If new plant corresponding to these</t>
  </si>
  <si>
    <t>accounts is subsequently added for the relevant projects, the "New Project" depreciation rate for the relevant account will apply.</t>
  </si>
  <si>
    <t>New Project transmission and general depreciation rates are equal to the life of the asset adjusted for salvage.</t>
  </si>
  <si>
    <t>In the event a Contribution in Aid of Construction (CIAC) is made for a transmission facility, the transmission</t>
  </si>
  <si>
    <t>depreciation rates above will be weighted based on the relative amount of underlying plant booked to the accounts</t>
  </si>
  <si>
    <t>shown in lines 1-9 above and the weighted average depreciation rate will be used to amortize the CIAC. The life of a</t>
  </si>
  <si>
    <t>facility subject to a CIAC will be equivalent to the depreciation rate calculated above, i.e., 100% deprecation rate = life</t>
  </si>
  <si>
    <t>in years. The estimated life of the facility or rights associated with the facility will not change over the life of a CIAC</t>
  </si>
  <si>
    <t>without prior FERC approval.</t>
  </si>
  <si>
    <t>NYPA has replaced the anomalous rates for these assets with New Project rates.</t>
  </si>
  <si>
    <t xml:space="preserve">These depreciation rates will not change absent the appropriate filing at FERC. </t>
  </si>
  <si>
    <t>SCHEDULE C1</t>
  </si>
  <si>
    <t>GENERAL PLANT</t>
  </si>
  <si>
    <t>ALLOCATED TO</t>
  </si>
  <si>
    <t>RATE OF</t>
  </si>
  <si>
    <t>RETURN ON</t>
  </si>
  <si>
    <t>RATE BASE</t>
  </si>
  <si>
    <t>ALLOCATOR</t>
  </si>
  <si>
    <t>TRANSMISSION ($)</t>
  </si>
  <si>
    <t>RETURN</t>
  </si>
  <si>
    <t>PLANT ($)</t>
  </si>
  <si>
    <t>GENERAL PLANT ($)</t>
  </si>
  <si>
    <t>[Schedule E1]</t>
  </si>
  <si>
    <t xml:space="preserve"> (2) * (3)</t>
  </si>
  <si>
    <t xml:space="preserve"> (1) + (4)</t>
  </si>
  <si>
    <t>[Schedule D1]</t>
  </si>
  <si>
    <t xml:space="preserve"> (5) * (6)</t>
  </si>
  <si>
    <t xml:space="preserve"> (7)</t>
  </si>
  <si>
    <t>A)  Net Electric Plant in Service</t>
  </si>
  <si>
    <t>B)  Rate Base Adjustments</t>
  </si>
  <si>
    <t>* Cash Working Capital (1/8 O&amp;M)</t>
  </si>
  <si>
    <t>* Marcy South Capitalized Lease</t>
  </si>
  <si>
    <t>* Materials &amp; Supplies</t>
  </si>
  <si>
    <t>5/</t>
  </si>
  <si>
    <t>* Prepayments</t>
  </si>
  <si>
    <t>6/</t>
  </si>
  <si>
    <t>* CWIP</t>
  </si>
  <si>
    <t>7/</t>
  </si>
  <si>
    <t>* Regulatory Asset</t>
  </si>
  <si>
    <t>* Abandoned Plant</t>
  </si>
  <si>
    <t xml:space="preserve"> TOTAL         (sum lines 1-9)</t>
  </si>
  <si>
    <t>1/  Schedule B2; Net Electric Plant in Service; Ln 17</t>
  </si>
  <si>
    <t>2/  Schedule B2; Net Electric Plant in Service; Ln 25</t>
  </si>
  <si>
    <t>3/  1/8 of (Schedule A1; Col 5, Ln 17 + Schedule A2; Col 5, Ln 22)  [45 days]</t>
  </si>
  <si>
    <t>4/  WP-BD; Average of Year-end Unamortized Balances, Col 5</t>
  </si>
  <si>
    <t>5/  Average of year-end inventory Materials &amp; Supplies (WP-CA).  NYPA Form 1 Equivalent, page 227, Ln 12, average of columns b and c.</t>
  </si>
  <si>
    <t>6/  WP-CB; Col 3, Ln 3</t>
  </si>
  <si>
    <t>7/ CWIP, Regulatory Asset and Abandoned Plant are zero until an amount is authorized by FERC as shown below.  CWIP amount is shown in the NYPA Form 1 Equivalent, page 216, line 1</t>
  </si>
  <si>
    <t>Docket Number</t>
  </si>
  <si>
    <t>Authorized Amount</t>
  </si>
  <si>
    <t>EL19-88-000</t>
  </si>
  <si>
    <t>SCHEDULE  D1</t>
  </si>
  <si>
    <t>CAPITALIZATION RATIO</t>
  </si>
  <si>
    <t xml:space="preserve">COST RATE </t>
  </si>
  <si>
    <t xml:space="preserve">WEIGHTED  </t>
  </si>
  <si>
    <t>TITLE</t>
  </si>
  <si>
    <t xml:space="preserve"> from WP-DA 1/</t>
  </si>
  <si>
    <t>from WP-DA 2/</t>
  </si>
  <si>
    <t>AVERAGE</t>
  </si>
  <si>
    <t>LONG-TERM DEBT</t>
  </si>
  <si>
    <t>Col (1) * Col (2)</t>
  </si>
  <si>
    <t>COMMON EQUITY</t>
  </si>
  <si>
    <t xml:space="preserve"> TOTAL CAPITALIZATION</t>
  </si>
  <si>
    <t>Col (3); Ln (1) + Ln (2)</t>
  </si>
  <si>
    <t>1/   The Common Equity share listed in Col (1) is capped at 50%.  The cap may only be changed pursuant to an FPA Section 205 or 206 filing to FERC.</t>
  </si>
  <si>
    <t xml:space="preserve">      The Long-Term Debt share is calculated as 1 minus the Common Equity share.</t>
  </si>
  <si>
    <t>2/   The ROE listed in Col (2) Ln (2) is the base ROE plus 50 basis-point incentive for RTO participation.  ROE may only be changed pursuant to an FPA</t>
  </si>
  <si>
    <t xml:space="preserve">      Section 205 or 206 filing to FERC.</t>
  </si>
  <si>
    <t>SCHEDULE  D2</t>
  </si>
  <si>
    <t>PROJECT SPECIFIC CAPITAL STRUCTURE AND COST OF CAPITAL 3/</t>
  </si>
  <si>
    <t xml:space="preserve"> from WP-DA</t>
  </si>
  <si>
    <t>from WP-DA</t>
  </si>
  <si>
    <t>Project 1 - Marcy South Series Compensation - Capital Structure</t>
  </si>
  <si>
    <t>PROJECT NET PLANT</t>
  </si>
  <si>
    <t>F1-Proj RR, Col (7), Ln (1b)</t>
  </si>
  <si>
    <t>PROJECT BASE RETURN</t>
  </si>
  <si>
    <t>Col (3) Ln (4) *  WP-DA Col (7) Ln (4)</t>
  </si>
  <si>
    <t>PROJECT ALLOWED RETURN</t>
  </si>
  <si>
    <t>Col (3); Ln (3) * Ln (4)</t>
  </si>
  <si>
    <t>1A</t>
  </si>
  <si>
    <t>PROJECT SPECIFIC RETURN ADJUSTMENT</t>
  </si>
  <si>
    <t>Col (3); Ln (6) - Ln (5)</t>
  </si>
  <si>
    <t>Project 2 - AC Project Segment A (Central East Energy Connect) - Capital Structure 4/</t>
  </si>
  <si>
    <t>F1-Proj RR, Col (7), Ln (1c)</t>
  </si>
  <si>
    <t>2B</t>
  </si>
  <si>
    <t>Project 3 - SPC Project -  Capital Structure 5/</t>
  </si>
  <si>
    <t>F1-Proj RR, Col (7), Ln (1d)</t>
  </si>
  <si>
    <t>3C</t>
  </si>
  <si>
    <t>A</t>
  </si>
  <si>
    <t>Total Project Adjustments</t>
  </si>
  <si>
    <t>1/   The MSSC Common Equity share listed in Col (1) is capped at 53%.  The cap may only be changed pursuant to an FPA Section 205 or 206 filing to FERC.</t>
  </si>
  <si>
    <t xml:space="preserve">      The MSSC Long-Term Debt share is calculated as 1 minus the Common Equity share.</t>
  </si>
  <si>
    <t>2/   The MSSC  ROE listed in Col (2) Ln (2) is the base ROE plus 50 basis-point incentive Congestion Relief Adder.  ROE may only be changed pursuant to an FPA</t>
  </si>
  <si>
    <t xml:space="preserve">3/   Additional project-specific capital structures added to this Schedule D2 must be approved by FERC.  The cost of long-term debt and common equity </t>
  </si>
  <si>
    <t xml:space="preserve">      for any such project shall reflect the cost rates in Col (2), Lns (1) and (2) unless a different cost rate is approved by FERC.</t>
  </si>
  <si>
    <t xml:space="preserve">4/  The AC Project Segment A cost containment impacts, if any, will be computed on a workpaper and provided as supporting documentation for each applicable Annual Update </t>
  </si>
  <si>
    <t xml:space="preserve">      consistent with the NYPA Protocols. The ROE listed in Col (2) for AC Project Segment A consists of a 50 basis point ROE Risk Adder per the Commission's approval in Docket No. EL19-88,</t>
  </si>
  <si>
    <t xml:space="preserve">      added to the 9.45% ROE applicable to NYPA’s other transmission assets.  See Schedule D1 and Project 1, above.</t>
  </si>
  <si>
    <t>5/  The Smart Path Connect Project cost containment impacts, if any, will be computed on a workpaper and provided as supporting documentation for each applicable Annual Update,</t>
  </si>
  <si>
    <t xml:space="preserve">     consistent with the Commission's Order dated 07/05/22 in Docket No. ER22-1014.  The ROE listed in Col (2) for the Smart Path Connect Project consists of a 50 basis point ROE Risk Adder </t>
  </si>
  <si>
    <t xml:space="preserve">     per the Commission's approval in Docket No. ER 22-1014 added to the 9.45% ROE applicable to NYPA's other transmission assets.  See Schedule D1 and Project 1, above.</t>
  </si>
  <si>
    <t>...</t>
  </si>
  <si>
    <t>SCHEDULE E1</t>
  </si>
  <si>
    <t>RATIO</t>
  </si>
  <si>
    <t>SOURCE/</t>
  </si>
  <si>
    <t>DESCRIPTION</t>
  </si>
  <si>
    <t>From WP-EA</t>
  </si>
  <si>
    <t>COMMENTS</t>
  </si>
  <si>
    <t>INCLUDED TRANSMISSION</t>
  </si>
  <si>
    <t xml:space="preserve">Col (2); Ln (2) </t>
  </si>
  <si>
    <t>Project Revenue Requirement Worksheet</t>
  </si>
  <si>
    <t>Line</t>
  </si>
  <si>
    <t>Item</t>
  </si>
  <si>
    <t>Page, Line, Col.</t>
  </si>
  <si>
    <t>Allocator</t>
  </si>
  <si>
    <t>Gross Transmission Plant - Total</t>
  </si>
  <si>
    <t>Schedule B2, line 17, col 9 (Note A)</t>
  </si>
  <si>
    <t>Transmission Accumulated Depreciation</t>
  </si>
  <si>
    <t>Schedule B2, line 17, col 10</t>
  </si>
  <si>
    <t>Transmission CWIP, Regulatory Asset and Abandoned Plant</t>
  </si>
  <si>
    <t>Schedule C1, lines 7, 8, &amp; 9 (Note B)</t>
  </si>
  <si>
    <t>Net Transmission Plant - Total</t>
  </si>
  <si>
    <t>Line 1 minus Line 1a plus Line 1b</t>
  </si>
  <si>
    <t>O&amp;M TRANSMISSION EXPENSE</t>
  </si>
  <si>
    <t>Total O&amp;M Allocated to Transmission</t>
  </si>
  <si>
    <t>Schedule A1, line 17, col 5 and Schedule A2, line 22, Col 5</t>
  </si>
  <si>
    <t>GENERAL DEPRECIATION EXPENSE</t>
  </si>
  <si>
    <t>(Note G)</t>
  </si>
  <si>
    <t>5</t>
  </si>
  <si>
    <t>Total General Depreciation Expense</t>
  </si>
  <si>
    <t>Schedule B1 line 26, col 5</t>
  </si>
  <si>
    <t>6</t>
  </si>
  <si>
    <t>Annual Allocation Factor for Expenses</t>
  </si>
  <si>
    <t>([line 3 + line 5] divided by line 1, col 2)</t>
  </si>
  <si>
    <t xml:space="preserve"> </t>
  </si>
  <si>
    <t xml:space="preserve">RETURN </t>
  </si>
  <si>
    <t>7</t>
  </si>
  <si>
    <t>Schedule C1 line 10, col 7</t>
  </si>
  <si>
    <t>8</t>
  </si>
  <si>
    <t>Annual Allocation Factor for Return on Rate Base</t>
  </si>
  <si>
    <t>(line 7 divided by line 2 col 2)</t>
  </si>
  <si>
    <t>(14)</t>
  </si>
  <si>
    <t>(14a)</t>
  </si>
  <si>
    <t>(15)</t>
  </si>
  <si>
    <t>(16)</t>
  </si>
  <si>
    <t>Project Name and #</t>
  </si>
  <si>
    <t>Type</t>
  </si>
  <si>
    <t>Project Gross Plant ($)</t>
  </si>
  <si>
    <t>Project Accumulated Depreciation ($)</t>
  </si>
  <si>
    <t>Annual Allocation for Expenses ($)</t>
  </si>
  <si>
    <t>Project Net Plant ($)</t>
  </si>
  <si>
    <t>Annual Allocation Factor for Return</t>
  </si>
  <si>
    <t>Annual Return Charge ($)</t>
  </si>
  <si>
    <t>Project Depreciation/
Amortization Expense ($)</t>
  </si>
  <si>
    <t>Annual Revenue Requirement ($)</t>
  </si>
  <si>
    <t>Incentive Return in basis Points</t>
  </si>
  <si>
    <t>Incentive Return ($)</t>
  </si>
  <si>
    <t>Discount</t>
  </si>
  <si>
    <t>Total Annual Revenue Requirement ($)</t>
  </si>
  <si>
    <t>True-Up Adjustment ($)</t>
  </si>
  <si>
    <t>Net Revenue Requirement ($)</t>
  </si>
  <si>
    <t>(Note C)</t>
  </si>
  <si>
    <t>Page 1 line 6</t>
  </si>
  <si>
    <t>Col. 3 * Col. 5</t>
  </si>
  <si>
    <t>(Note D)</t>
  </si>
  <si>
    <t>(Page 1, line 8)</t>
  </si>
  <si>
    <t>(Col. 7 * Col. 8)</t>
  </si>
  <si>
    <t>(Note E)</t>
  </si>
  <si>
    <t>(Sum Col. 6, 9 &amp; 10)</t>
  </si>
  <si>
    <t>Per FERC order (Note H)</t>
  </si>
  <si>
    <t>(Schedule F2, Line 10  * (Col. 12/100)* Col. 7)</t>
  </si>
  <si>
    <t>(Note I)</t>
  </si>
  <si>
    <t>(Sum Col. 11 + 13 + 14 +14a)</t>
  </si>
  <si>
    <t>(Note F)</t>
  </si>
  <si>
    <t xml:space="preserve">Sum Col. 15 + 16 </t>
  </si>
  <si>
    <t>MSSC</t>
  </si>
  <si>
    <t>AC Project Segment A (Central East Energy Connect)</t>
  </si>
  <si>
    <t>Smart Path Connect - NTAC - ROE Risk Adder</t>
  </si>
  <si>
    <t>1o</t>
  </si>
  <si>
    <t>2</t>
  </si>
  <si>
    <t>Note</t>
  </si>
  <si>
    <t>Letter</t>
  </si>
  <si>
    <t>Gross Transmission Plant that is included on Schedule B2, Ln 17, Col 5.</t>
  </si>
  <si>
    <t>B</t>
  </si>
  <si>
    <t>Inclusive of any CWIP, Unamortized Regulatory Asset or Unamortized Abandoned Plant balances included in rate base when authorized by FERC order.</t>
  </si>
  <si>
    <t>C</t>
  </si>
  <si>
    <t>Project Gross Plant is the total capital investment for the project calculated in the same method as the gross plant value in page 1, line 1 .  This value includes subsequent capital investments required to maintain the facilities to their original capabilities.  
Gross plant does not include CWIP, Unamortized Regulatory Asset or Unamortized Abandoned Plant.</t>
  </si>
  <si>
    <t>D</t>
  </si>
  <si>
    <t>Project Net Plant is the Project Gross Plant Identified in Column 3 less the associated Accumulated Depreciation in page 2, column 4.  Net Plant includes any FERC approved CWIP, Unamortized Abandoned Plant and Regulatory Asset.</t>
  </si>
  <si>
    <t>E</t>
  </si>
  <si>
    <t>Project Depreciation Expense is the amount in Schedule B1, Ln 26, Col. 2 that is associated with the specified project.  Project Depreciation Expense includes the amortization of Abandoned Plant and any FERC approved Regulatory Asset.  
However, if FERC grants accelerated depreciation for a project the depreciation rate authorized by FERC will be used instead of the rates shown on Schedule B3 for all other projects.</t>
  </si>
  <si>
    <t>F</t>
  </si>
  <si>
    <t>Reserved</t>
  </si>
  <si>
    <t>G</t>
  </si>
  <si>
    <t>The Total General and Common Depreciation Expense excludes any depreciation expense directly associated with a project and thereby included in page 2 column 8.</t>
  </si>
  <si>
    <t>H</t>
  </si>
  <si>
    <t>Requires approval by FERC of incentive return applicable to the specified project(s). A negative number of basis points may be entered to reduce the ROE applicable to a project if a FERC order specifies a lower return for that project.</t>
  </si>
  <si>
    <t>I</t>
  </si>
  <si>
    <t>The discount is the reduction in revenue, if any, that NYPA agreed to, for instance, to be selected to build facilities as the result of a competitive process and equals the amount by which the annual revenue requirement is reduced from the ceiling rate</t>
  </si>
  <si>
    <t>Incentives</t>
  </si>
  <si>
    <t>Reference</t>
  </si>
  <si>
    <t>$</t>
  </si>
  <si>
    <t>Rate Base</t>
  </si>
  <si>
    <t xml:space="preserve">Schedule C1, line 10, Col. 5 </t>
  </si>
  <si>
    <t>100 Basis Point Incentive Return</t>
  </si>
  <si>
    <t>Weighted</t>
  </si>
  <si>
    <t>%</t>
  </si>
  <si>
    <t>Cost</t>
  </si>
  <si>
    <t xml:space="preserve">  Long Term Debt </t>
  </si>
  <si>
    <t>(Schedule D1, line 1)</t>
  </si>
  <si>
    <t xml:space="preserve">  Common Stock</t>
  </si>
  <si>
    <t>(Schedule D1, line 2)</t>
  </si>
  <si>
    <t>Cost = Schedule E, line 2, Cost plus .01</t>
  </si>
  <si>
    <t>Total  (sum lines 3-4)</t>
  </si>
  <si>
    <t>100 Basis Point Incentive Return multiplied by Rate Base (line 1 * line 5)</t>
  </si>
  <si>
    <t>Return    (Schedule C1, line 10, Col. 7)</t>
  </si>
  <si>
    <t>Incremental Return for 100 basis point increase in ROE</t>
  </si>
  <si>
    <t>(Line 6 less line 7)</t>
  </si>
  <si>
    <t>Net Transmission Plant</t>
  </si>
  <si>
    <t>(Schedule C1, line 1, col. (1)</t>
  </si>
  <si>
    <t>Incremental Return for 100 basis point increase in ROE divided by Rate Base</t>
  </si>
  <si>
    <t>(Line 8 / line 9)</t>
  </si>
  <si>
    <t xml:space="preserve">Notes: </t>
  </si>
  <si>
    <t>Line 5 includes a 100 basis point increase in ROE that is used only to determine the increase in return and income taxes associated with</t>
  </si>
  <si>
    <t>a 100 basis point increase in ROE.  Any actual incentive is calculated on Schedule F1 and must be approved by FERC.</t>
  </si>
  <si>
    <t>For example, if FERC were to grant a 137 basis point ROE incentive, the increase in return and taxes for a 100 basis point</t>
  </si>
  <si>
    <t xml:space="preserve">increase in ROE would be multiplied by 137 on Schedule F1, Col. 13. </t>
  </si>
  <si>
    <t>Project True-Up</t>
  </si>
  <si>
    <t>($)</t>
  </si>
  <si>
    <t>Actual</t>
  </si>
  <si>
    <t>True-Up</t>
  </si>
  <si>
    <t>Applicable</t>
  </si>
  <si>
    <t>NTAC ATRR</t>
  </si>
  <si>
    <t>Adjustment</t>
  </si>
  <si>
    <t>Interest</t>
  </si>
  <si>
    <t>Project</t>
  </si>
  <si>
    <t>or Project</t>
  </si>
  <si>
    <t xml:space="preserve">Actual Revenues </t>
  </si>
  <si>
    <t>Revenue</t>
  </si>
  <si>
    <t>Principal</t>
  </si>
  <si>
    <t xml:space="preserve">Prior Period </t>
  </si>
  <si>
    <t>Rate on</t>
  </si>
  <si>
    <t>Number</t>
  </si>
  <si>
    <t>Received (Note 1)</t>
  </si>
  <si>
    <t>Requirement (Note 2)</t>
  </si>
  <si>
    <t>Under/(Over)</t>
  </si>
  <si>
    <t>(Note A)</t>
  </si>
  <si>
    <t>(Col. (6) + Col. (7)) x</t>
  </si>
  <si>
    <t>Col. (6) + Col. (7)</t>
  </si>
  <si>
    <t>Amount Actually Received for Transmission Service</t>
  </si>
  <si>
    <t>Schedule F2 Using Actual Cost Data</t>
  </si>
  <si>
    <t>Col. (5) - Col. (4)</t>
  </si>
  <si>
    <t>Line 25, Col. (e)</t>
  </si>
  <si>
    <t>Line 24</t>
  </si>
  <si>
    <t xml:space="preserve">Col. (8) x 24 months </t>
  </si>
  <si>
    <t xml:space="preserve"> + Col. (9)</t>
  </si>
  <si>
    <t>Subtotal</t>
  </si>
  <si>
    <t>Under/(Over) Recovery</t>
  </si>
  <si>
    <t xml:space="preserve">1)  For all projects and NTAC ATRR, the Actual Revenues Received are the actual revenues NYPA receives from the NYISO in that calendar year.  If NYISO does not break out the revenues per project, </t>
  </si>
  <si>
    <t>the Actual Revenues Received will be allocated pro rata to each project based on their Actual Net Revenue Requirement in col (5).</t>
  </si>
  <si>
    <t>2) Schedule F1, Page 2 of 2, col (15).</t>
  </si>
  <si>
    <t>FERC Refund Interest Rate</t>
  </si>
  <si>
    <t>Interest Rate (Note A):</t>
  </si>
  <si>
    <t>Year</t>
  </si>
  <si>
    <t>Interest Rates under Section 35.19(a)</t>
  </si>
  <si>
    <t>January</t>
  </si>
  <si>
    <t>February</t>
  </si>
  <si>
    <t>March</t>
  </si>
  <si>
    <t>April</t>
  </si>
  <si>
    <t>May</t>
  </si>
  <si>
    <t>June</t>
  </si>
  <si>
    <t>July</t>
  </si>
  <si>
    <t>August</t>
  </si>
  <si>
    <t>September</t>
  </si>
  <si>
    <t>October</t>
  </si>
  <si>
    <t>November</t>
  </si>
  <si>
    <t>December</t>
  </si>
  <si>
    <t>Avg. Monthly FERC Rate</t>
  </si>
  <si>
    <t>Prior Period Adjustments</t>
  </si>
  <si>
    <t>(a)</t>
  </si>
  <si>
    <t>(b)</t>
  </si>
  <si>
    <t>(c)</t>
  </si>
  <si>
    <t>(d)</t>
  </si>
  <si>
    <t>(e)</t>
  </si>
  <si>
    <t xml:space="preserve">Project or </t>
  </si>
  <si>
    <t>Amount</t>
  </si>
  <si>
    <t>Total Adjustment</t>
  </si>
  <si>
    <t>Schedule 1</t>
  </si>
  <si>
    <t xml:space="preserve">A Description of the Adjustment </t>
  </si>
  <si>
    <t>In Dollars</t>
  </si>
  <si>
    <t>(Note  A)</t>
  </si>
  <si>
    <t>Col. (c) + Col. (d)</t>
  </si>
  <si>
    <t>25a</t>
  </si>
  <si>
    <t>25b</t>
  </si>
  <si>
    <t>25c</t>
  </si>
  <si>
    <t>Prior Period Adjustments are when an error is discovered relating to a prior true-up or refunds/surcharges ordered by FERC.  The interest on the Prior Period Adjustment excludes interest for the current true up period, because the interest is included in Ln 25 Col (d).</t>
  </si>
  <si>
    <t>WORK PAPER AA</t>
  </si>
  <si>
    <t>Operation and Maintenance Summary</t>
  </si>
  <si>
    <t>OVERALL</t>
  </si>
  <si>
    <t>Major</t>
  </si>
  <si>
    <t>ADMIN &amp; GENERAL</t>
  </si>
  <si>
    <t>RESULT</t>
  </si>
  <si>
    <t>Category</t>
  </si>
  <si>
    <t>555 -    OPSE-Purchased Power</t>
  </si>
  <si>
    <t>501 -    Steam Product-Fuel</t>
  </si>
  <si>
    <t>565 -    Trans-Xmsn Elect Oth</t>
  </si>
  <si>
    <t>-</t>
  </si>
  <si>
    <t>2a</t>
  </si>
  <si>
    <t>506 -    SP-Misc Steam Power</t>
  </si>
  <si>
    <t>2b</t>
  </si>
  <si>
    <t>535 -    HP-Oper Supvr&amp;Engrg</t>
  </si>
  <si>
    <t>2c</t>
  </si>
  <si>
    <t>537 -    HP-Hydraulic Expense</t>
  </si>
  <si>
    <t>2d</t>
  </si>
  <si>
    <t>538 -    HP-Electric Expenses</t>
  </si>
  <si>
    <t>2e</t>
  </si>
  <si>
    <t>539 -    HP-Misc Hyd Pwr Gen</t>
  </si>
  <si>
    <t>2f</t>
  </si>
  <si>
    <t>546 -    OP-Oper Supvr&amp;Engrg</t>
  </si>
  <si>
    <t>2g</t>
  </si>
  <si>
    <t>548 -    OP-Generation Expens</t>
  </si>
  <si>
    <t>2h</t>
  </si>
  <si>
    <t>549 -    OP-Misc Oth Pwr Gen</t>
  </si>
  <si>
    <t>2i</t>
  </si>
  <si>
    <t>560 -    Trans-Oper Supvr&amp;Eng</t>
  </si>
  <si>
    <t>2j</t>
  </si>
  <si>
    <t>561 -    Trans-Load Dispatcng</t>
  </si>
  <si>
    <t>2k</t>
  </si>
  <si>
    <t>562 -    Trans-Station Expens</t>
  </si>
  <si>
    <t>2l</t>
  </si>
  <si>
    <t>566 -    Trans-Misc Xmsn Exp</t>
  </si>
  <si>
    <t>2m</t>
  </si>
  <si>
    <t>905 -   Misc. Customer Accts. Exps</t>
  </si>
  <si>
    <t>2n</t>
  </si>
  <si>
    <t>Contribution to New York State</t>
  </si>
  <si>
    <t>2o</t>
  </si>
  <si>
    <t>916 -   Misc. Sales Expense</t>
  </si>
  <si>
    <t>2p</t>
  </si>
  <si>
    <t>920 -    Misc. Admin &amp; Gen'l Salaries</t>
  </si>
  <si>
    <t>2q</t>
  </si>
  <si>
    <t>921 -    Misc. Office Supp &amp; Exps</t>
  </si>
  <si>
    <t>2r</t>
  </si>
  <si>
    <t>922 -   Administrative Expenses Transferred</t>
  </si>
  <si>
    <t>2s</t>
  </si>
  <si>
    <t>923 -   Outside Services Employed</t>
  </si>
  <si>
    <t>2t</t>
  </si>
  <si>
    <t>924 -    A&amp;G-Property Insurance</t>
  </si>
  <si>
    <t>2u</t>
  </si>
  <si>
    <t>925 -    A&amp;G-Injuries &amp; Damages Insurance</t>
  </si>
  <si>
    <t>2v</t>
  </si>
  <si>
    <t>926 -    A&amp;G-Employee Pension &amp; Benefits</t>
  </si>
  <si>
    <t>2w</t>
  </si>
  <si>
    <t>926 -    A&amp;G-Employee Pension &amp; Benefits(PBOP)</t>
  </si>
  <si>
    <t>2x</t>
  </si>
  <si>
    <t>928 -    A&amp;G-Regulatory Commission Expense</t>
  </si>
  <si>
    <t>2y</t>
  </si>
  <si>
    <t>930 -    Obsolete/Excess Inv</t>
  </si>
  <si>
    <t>2z</t>
  </si>
  <si>
    <t>930.1-A&amp;G-General Advertising Expense</t>
  </si>
  <si>
    <t>2aa</t>
  </si>
  <si>
    <t>930.2-A&amp;G-Miscellaneous &amp; General Expense</t>
  </si>
  <si>
    <t>2ab</t>
  </si>
  <si>
    <t>930.5-R &amp; D Expense</t>
  </si>
  <si>
    <t>2ac</t>
  </si>
  <si>
    <t>931 -    Rents</t>
  </si>
  <si>
    <t>2ad</t>
  </si>
  <si>
    <t>935 -    A&amp;G-Maintenance of General Plant</t>
  </si>
  <si>
    <t>2ae</t>
  </si>
  <si>
    <t>4171 -    Non-Utility Oper Exp</t>
  </si>
  <si>
    <t>2af</t>
  </si>
  <si>
    <t>930.9- Misc Adj. And Other Cr</t>
  </si>
  <si>
    <t>2ag</t>
  </si>
  <si>
    <t>5481 - OP-Operation Energy Storage Equip</t>
  </si>
  <si>
    <t>Operations</t>
  </si>
  <si>
    <t>545 -    HP-Maint Misc Hyd Pl</t>
  </si>
  <si>
    <t>512 -    SP-Maint Boiler Plt</t>
  </si>
  <si>
    <t>514 -    SP-Maint Misc Stm Pl</t>
  </si>
  <si>
    <t>541 -    HP-Maint Supvn&amp;Engrg</t>
  </si>
  <si>
    <t>542 -    HP-Maint of Struct</t>
  </si>
  <si>
    <t>543 -    HP-Maint Res Dam&amp;Wtr</t>
  </si>
  <si>
    <t>544 -    HP-Maint Elect Plant</t>
  </si>
  <si>
    <t>551 -    OP-Maint Supvn &amp; Eng</t>
  </si>
  <si>
    <t>552 -    OP-Maint of Struct</t>
  </si>
  <si>
    <t>553 -    OP-Maint Gen &amp; Elect</t>
  </si>
  <si>
    <t>3k</t>
  </si>
  <si>
    <t>554 -    OP-Maint Oth Pwr Prd</t>
  </si>
  <si>
    <t>3l</t>
  </si>
  <si>
    <t>568 -    Trans-Maint Sup &amp; En</t>
  </si>
  <si>
    <t>3n</t>
  </si>
  <si>
    <t>569 -    Trans-Maint Struct</t>
  </si>
  <si>
    <t>3m</t>
  </si>
  <si>
    <t>570 -    Trans-Maint St Equip</t>
  </si>
  <si>
    <t>3o</t>
  </si>
  <si>
    <t>571 -    Trans-Maint Ovhd Lns</t>
  </si>
  <si>
    <t>3p</t>
  </si>
  <si>
    <t>572 -    Trans-Maint Ungrd Ln</t>
  </si>
  <si>
    <t>3q</t>
  </si>
  <si>
    <t>573 -    Trans-Maint Misc Xmn</t>
  </si>
  <si>
    <t>Maintenance</t>
  </si>
  <si>
    <t>4a</t>
  </si>
  <si>
    <t>403 -    Depreciation Expense</t>
  </si>
  <si>
    <t>4b</t>
  </si>
  <si>
    <t>4171 -    Depreciation Expense Non Utility</t>
  </si>
  <si>
    <t>TOTALS</t>
  </si>
  <si>
    <t>WORK PAPER AB</t>
  </si>
  <si>
    <t>Operation and Maintenance Detail</t>
  </si>
  <si>
    <t xml:space="preserve">              FERC by accounts and profit center</t>
  </si>
  <si>
    <t>(12)</t>
  </si>
  <si>
    <t>(13)</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</si>
  <si>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</si>
  <si>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</si>
  <si>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</si>
  <si>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</si>
  <si>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</si>
  <si>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</si>
  <si>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</si>
  <si>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</si>
  <si>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</si>
  <si>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</si>
  <si>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</si>
  <si>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</si>
  <si>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</si>
  <si>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</si>
  <si>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</si>
  <si>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</si>
  <si>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</si>
  <si>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</si>
  <si>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</si>
  <si>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</si>
  <si>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</si>
  <si>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</si>
  <si>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</si>
  <si>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</si>
  <si>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</si>
  <si>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</si>
  <si>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</si>
  <si>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</si>
  <si>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</si>
  <si>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</si>
  <si>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</si>
  <si>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</si>
  <si>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</si>
  <si>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0100/105</t>
  </si>
  <si>
    <t>0100/110</t>
  </si>
  <si>
    <t>0100/115</t>
  </si>
  <si>
    <t>0100/120</t>
  </si>
  <si>
    <t>0100/122</t>
  </si>
  <si>
    <t>0100/125</t>
  </si>
  <si>
    <t>0100/130</t>
  </si>
  <si>
    <t>0100/135</t>
  </si>
  <si>
    <t>0100/140</t>
  </si>
  <si>
    <t>0100/145</t>
  </si>
  <si>
    <t>0100/150</t>
  </si>
  <si>
    <t>0100/155</t>
  </si>
  <si>
    <t>0100/156</t>
  </si>
  <si>
    <t>0100/157</t>
  </si>
  <si>
    <t>0100/158</t>
  </si>
  <si>
    <t>0100/159</t>
  </si>
  <si>
    <t>0100/160</t>
  </si>
  <si>
    <t>0100/161</t>
  </si>
  <si>
    <t>0100/165</t>
  </si>
  <si>
    <t>0100/205</t>
  </si>
  <si>
    <t>0100/210</t>
  </si>
  <si>
    <t>0100/215</t>
  </si>
  <si>
    <t>0100/220</t>
  </si>
  <si>
    <t>0100/225</t>
  </si>
  <si>
    <t>0100/230</t>
  </si>
  <si>
    <t>0100/235</t>
  </si>
  <si>
    <t>0100/240</t>
  </si>
  <si>
    <t>0100/245</t>
  </si>
  <si>
    <t>0100/255</t>
  </si>
  <si>
    <t>0100/305</t>
  </si>
  <si>
    <t>0100/310</t>
  </si>
  <si>
    <t>0100/320</t>
  </si>
  <si>
    <t>0100/321</t>
  </si>
  <si>
    <t>0100/410</t>
  </si>
  <si>
    <t>0100/600</t>
  </si>
  <si>
    <t>0100/700</t>
  </si>
  <si>
    <t>0100/800</t>
  </si>
  <si>
    <t>0100/900</t>
  </si>
  <si>
    <t>0100/901</t>
  </si>
  <si>
    <t>0100/265</t>
  </si>
  <si>
    <t>0100/322</t>
  </si>
  <si>
    <t>0100/350</t>
  </si>
  <si>
    <t>0100/550</t>
  </si>
  <si>
    <t>0100/701</t>
  </si>
  <si>
    <t>Overall Result</t>
  </si>
  <si>
    <t>FERC G/L Accounts</t>
  </si>
  <si>
    <t>St. Lawrence</t>
  </si>
  <si>
    <t>Poletti</t>
  </si>
  <si>
    <t>Astoria Energy II</t>
  </si>
  <si>
    <t>Flynn</t>
  </si>
  <si>
    <t>Jarvis</t>
  </si>
  <si>
    <t>Crescent</t>
  </si>
  <si>
    <t>Vischer Ferry</t>
  </si>
  <si>
    <t>Ashokan</t>
  </si>
  <si>
    <t>Kensico</t>
  </si>
  <si>
    <t>Hell Gate</t>
  </si>
  <si>
    <t>Harlem River</t>
  </si>
  <si>
    <t>Vernon Blvd.</t>
  </si>
  <si>
    <t>23rd &amp; 3rd (Gowanus)</t>
  </si>
  <si>
    <t>N 1st &amp;Grand (Kent)</t>
  </si>
  <si>
    <t>Pouch Terminal</t>
  </si>
  <si>
    <t>Brentwood</t>
  </si>
  <si>
    <t>500MW Combined Cycle</t>
  </si>
  <si>
    <t>BG Trans</t>
  </si>
  <si>
    <t>JAF Trans</t>
  </si>
  <si>
    <t>IP3/Pol Trans</t>
  </si>
  <si>
    <t>Marcy/Clark Trans</t>
  </si>
  <si>
    <t>Marcy South Trans</t>
  </si>
  <si>
    <t>Niagara Trans</t>
  </si>
  <si>
    <t>Sound Cable</t>
  </si>
  <si>
    <t>ST Law Trans</t>
  </si>
  <si>
    <t>765 KV Trans</t>
  </si>
  <si>
    <t>HTP Trans</t>
  </si>
  <si>
    <t>DSM</t>
  </si>
  <si>
    <t>Power for Jobs</t>
  </si>
  <si>
    <t>Recharge NY</t>
  </si>
  <si>
    <t>JAF</t>
  </si>
  <si>
    <t>SENY</t>
  </si>
  <si>
    <t>CES</t>
  </si>
  <si>
    <t>Canal Corp</t>
  </si>
  <si>
    <t>EV Charging Stations</t>
  </si>
  <si>
    <t>Large Energy Storage</t>
  </si>
  <si>
    <t>AC Proceedings</t>
  </si>
  <si>
    <t>GPSP</t>
  </si>
  <si>
    <t>Canals Reimagined</t>
  </si>
  <si>
    <t>CANALS CAPITAL</t>
  </si>
  <si>
    <t>NYEM</t>
  </si>
  <si>
    <t>NYPA/940300</t>
  </si>
  <si>
    <t>NYPA/950100</t>
  </si>
  <si>
    <t>NYPA/950600</t>
  </si>
  <si>
    <t>NYPA/951200</t>
  </si>
  <si>
    <t>NYPA/951400</t>
  </si>
  <si>
    <t>NYPA/953500</t>
  </si>
  <si>
    <t>NYPA/953700</t>
  </si>
  <si>
    <t>NYPA/953800</t>
  </si>
  <si>
    <t>NYPA/953900</t>
  </si>
  <si>
    <t>NYPA/954100</t>
  </si>
  <si>
    <t>NYPA/954200</t>
  </si>
  <si>
    <t>NYPA/954300</t>
  </si>
  <si>
    <t>NYPA/954400</t>
  </si>
  <si>
    <t>NYPA/954500</t>
  </si>
  <si>
    <t>NYPA/954600</t>
  </si>
  <si>
    <t>1p</t>
  </si>
  <si>
    <t>NYPA/954800</t>
  </si>
  <si>
    <t>1q</t>
  </si>
  <si>
    <t>NYPA/954900</t>
  </si>
  <si>
    <t>1r</t>
  </si>
  <si>
    <t>NYPA/955100</t>
  </si>
  <si>
    <t>1s</t>
  </si>
  <si>
    <t>NYPA/955200</t>
  </si>
  <si>
    <t>1t</t>
  </si>
  <si>
    <t>NYPA/955300</t>
  </si>
  <si>
    <t>1u</t>
  </si>
  <si>
    <t>NYPA/955400</t>
  </si>
  <si>
    <t>1v</t>
  </si>
  <si>
    <t>NYPA/955500</t>
  </si>
  <si>
    <t>1w</t>
  </si>
  <si>
    <t>NYPA/956000</t>
  </si>
  <si>
    <t>1x</t>
  </si>
  <si>
    <t>NYPA/956100</t>
  </si>
  <si>
    <t>1y</t>
  </si>
  <si>
    <t>NYPA/956200</t>
  </si>
  <si>
    <t>1z</t>
  </si>
  <si>
    <t>NYPA/956500</t>
  </si>
  <si>
    <t>1aa</t>
  </si>
  <si>
    <t>NYPA/956600</t>
  </si>
  <si>
    <t>1ab</t>
  </si>
  <si>
    <t>NYPA/956800</t>
  </si>
  <si>
    <t>1ac</t>
  </si>
  <si>
    <t>NYPA/956900</t>
  </si>
  <si>
    <t>1ad</t>
  </si>
  <si>
    <t>NYPA/957000</t>
  </si>
  <si>
    <t>1ae</t>
  </si>
  <si>
    <t>NYPA/957100</t>
  </si>
  <si>
    <t>1af</t>
  </si>
  <si>
    <t>NYPA/957200</t>
  </si>
  <si>
    <t>1ag</t>
  </si>
  <si>
    <t>NYPA/957300</t>
  </si>
  <si>
    <t>1ah</t>
  </si>
  <si>
    <t>1ai</t>
  </si>
  <si>
    <t>1ak</t>
  </si>
  <si>
    <t>1al</t>
  </si>
  <si>
    <t>1am</t>
  </si>
  <si>
    <t>NYPA/920000</t>
  </si>
  <si>
    <t>1an</t>
  </si>
  <si>
    <t>1ao</t>
  </si>
  <si>
    <t>NYPA/992400</t>
  </si>
  <si>
    <t>1ap</t>
  </si>
  <si>
    <t>1aq</t>
  </si>
  <si>
    <t>NYPA/992600</t>
  </si>
  <si>
    <t>1ar</t>
  </si>
  <si>
    <t>1as</t>
  </si>
  <si>
    <t>NYPA/992800</t>
  </si>
  <si>
    <t>1at</t>
  </si>
  <si>
    <t>NYPA/993000</t>
  </si>
  <si>
    <t>1au</t>
  </si>
  <si>
    <t>1av</t>
  </si>
  <si>
    <t>NYPA/920030</t>
  </si>
  <si>
    <t>1aw</t>
  </si>
  <si>
    <t>1ax</t>
  </si>
  <si>
    <t>NYPA/993020</t>
  </si>
  <si>
    <t>1ay</t>
  </si>
  <si>
    <t>NYPA/993500</t>
  </si>
  <si>
    <t>1az</t>
  </si>
  <si>
    <t>1ba</t>
  </si>
  <si>
    <t>NYPA/954810</t>
  </si>
  <si>
    <t>1bb</t>
  </si>
  <si>
    <t>NYPA/941710</t>
  </si>
  <si>
    <t>1bc</t>
  </si>
  <si>
    <t>4171 -    Non-Utility Depreciation Expenses</t>
  </si>
  <si>
    <t>WORK PAPER AD</t>
  </si>
  <si>
    <t>Sch B2; Col 5, Sum Ln 5, 6 and 10</t>
  </si>
  <si>
    <t>FACTS Plant-in-Service</t>
  </si>
  <si>
    <t>Sch B2, Line 13, Col 9</t>
  </si>
  <si>
    <t>Sch A1: Col 4, Ln 4</t>
  </si>
  <si>
    <t>Reclassified FACTS Transmission Plant</t>
  </si>
  <si>
    <t>Subtract Col 1, Ln 4 * Col 2, Ln 3</t>
  </si>
  <si>
    <t>WORK PAPER AE</t>
  </si>
  <si>
    <t>Posting</t>
  </si>
  <si>
    <t>Income</t>
  </si>
  <si>
    <t>       </t>
  </si>
  <si>
    <t>WORK PAPER AF</t>
  </si>
  <si>
    <t>Total NYPA PBOP</t>
  </si>
  <si>
    <t>PBOP Capitalized</t>
  </si>
  <si>
    <t>PBOP contained in Cost of Service</t>
  </si>
  <si>
    <t>Line 1 less line 2</t>
  </si>
  <si>
    <t>Base PBOP Amount</t>
  </si>
  <si>
    <t>Line 4 less line 3</t>
  </si>
  <si>
    <t>This work paper includes total NYPA PBOP which is allocated to transmission by the allocator as shown on Schedule A2.</t>
  </si>
  <si>
    <t>WORK PAPER AG</t>
  </si>
  <si>
    <t>Allocated</t>
  </si>
  <si>
    <t>Insurance</t>
  </si>
  <si>
    <t>Expense -</t>
  </si>
  <si>
    <t>Site</t>
  </si>
  <si>
    <t xml:space="preserve">    (4)</t>
  </si>
  <si>
    <t>105 - Blenheim-Gilboa</t>
  </si>
  <si>
    <t>110 - St. Lawrence</t>
  </si>
  <si>
    <t>115 - Niagara</t>
  </si>
  <si>
    <t>310 - Headquarters</t>
  </si>
  <si>
    <t xml:space="preserve">     Subtotal (Gross Transmission Plant Ratio)</t>
  </si>
  <si>
    <t>Allocated based on transmission gross plant ratio from Work Paper AI</t>
  </si>
  <si>
    <t>220 - Marcy /Clark Trans</t>
  </si>
  <si>
    <t>235 - Sound Cable</t>
  </si>
  <si>
    <t xml:space="preserve">     Subtotal (Full Transmission)</t>
  </si>
  <si>
    <t>WORK PAPER AH</t>
  </si>
  <si>
    <t>Injury/Damage</t>
  </si>
  <si>
    <t>Ratio (%)</t>
  </si>
  <si>
    <t xml:space="preserve">     Subtotal</t>
  </si>
  <si>
    <t>Allocated based on transmission allocator from Schedule E1</t>
  </si>
  <si>
    <t>WORK PAPER AI</t>
  </si>
  <si>
    <t>Gross Plant in</t>
  </si>
  <si>
    <t>Average</t>
  </si>
  <si>
    <t>Service Ratio</t>
  </si>
  <si>
    <t>TRANSMISSION (353 Station Equip.)</t>
  </si>
  <si>
    <t>WORK PAPER BA</t>
  </si>
  <si>
    <t>FERC</t>
  </si>
  <si>
    <t>Acct #</t>
  </si>
  <si>
    <t>Included General Plant</t>
  </si>
  <si>
    <t>BLENHEIM - GILBOA</t>
  </si>
  <si>
    <t>Incl</t>
  </si>
  <si>
    <t>HEADQUARTERS</t>
  </si>
  <si>
    <t>MARCY-SOUTH</t>
  </si>
  <si>
    <t>MASSENA - MARCY  (Clark)</t>
  </si>
  <si>
    <t>NIAGARA</t>
  </si>
  <si>
    <t>St.  LAWRENCE / FDR</t>
  </si>
  <si>
    <t>Subtotal General - Structures &amp; Improvements</t>
  </si>
  <si>
    <t>BLENHEIM - GILBOA391.2Computer Equipment 5 yr</t>
  </si>
  <si>
    <t>HEADQUARTERS391.2Computer Equipment 5 yr</t>
  </si>
  <si>
    <t>MASSENA - MARCY  (Clark)391.2Computer Equipment 5 yr</t>
  </si>
  <si>
    <t>NIAGARA391.2Computer Equipment 5 yr</t>
  </si>
  <si>
    <t>St.  LAWRENCE / FDR391.2Computer Equipment 5 yr</t>
  </si>
  <si>
    <t>HEADQUARTERS391.3Computer Equipment 10 yr</t>
  </si>
  <si>
    <t>MASSENA - MARCY  (Clark)391.3Computer Equipment 10 yr</t>
  </si>
  <si>
    <t>NIAGARA391.3Computer Equipment 10 yr</t>
  </si>
  <si>
    <t>St.  LAWRENCE / FDR391.3Computer Equipment 10 yr</t>
  </si>
  <si>
    <t>Subtotal General - Office Furniture &amp; Equipment</t>
  </si>
  <si>
    <t>Subtotal General - Transportation Equipment</t>
  </si>
  <si>
    <t>7a</t>
  </si>
  <si>
    <t>7b</t>
  </si>
  <si>
    <t>7c</t>
  </si>
  <si>
    <t>7d</t>
  </si>
  <si>
    <t>Subtotal General - Stores Equipment</t>
  </si>
  <si>
    <t>9a</t>
  </si>
  <si>
    <t>9b</t>
  </si>
  <si>
    <t>9c</t>
  </si>
  <si>
    <t>9d</t>
  </si>
  <si>
    <t>9e</t>
  </si>
  <si>
    <t>Subtotal General - Tools, Shop &amp; Garage Equipment</t>
  </si>
  <si>
    <t>11e</t>
  </si>
  <si>
    <t>Subtotal General - Laboratory Equipment</t>
  </si>
  <si>
    <t>13a</t>
  </si>
  <si>
    <t>13b</t>
  </si>
  <si>
    <t>13c</t>
  </si>
  <si>
    <t>13d</t>
  </si>
  <si>
    <t>13e</t>
  </si>
  <si>
    <t>Subtotal General - Power Operated Equipment</t>
  </si>
  <si>
    <t>15a</t>
  </si>
  <si>
    <t>15b</t>
  </si>
  <si>
    <t>15c</t>
  </si>
  <si>
    <t>LONG ISLAND SOUND CABLE</t>
  </si>
  <si>
    <t>15d</t>
  </si>
  <si>
    <t>15e</t>
  </si>
  <si>
    <t>15f</t>
  </si>
  <si>
    <t>15g</t>
  </si>
  <si>
    <t>Subtotal General - Communication Equipment</t>
  </si>
  <si>
    <t>17a</t>
  </si>
  <si>
    <t>17b</t>
  </si>
  <si>
    <t>17c</t>
  </si>
  <si>
    <t>17d</t>
  </si>
  <si>
    <t>17e</t>
  </si>
  <si>
    <t>Subtotal General - Miscellaneous Equipment</t>
  </si>
  <si>
    <t>19a</t>
  </si>
  <si>
    <t>Inch</t>
  </si>
  <si>
    <t>19b</t>
  </si>
  <si>
    <t>19c</t>
  </si>
  <si>
    <t>Subtotal General - Other Tangible Property</t>
  </si>
  <si>
    <t>Total Included General Plant</t>
  </si>
  <si>
    <t>Included Transmission Plant</t>
  </si>
  <si>
    <t>22a</t>
  </si>
  <si>
    <t>22b</t>
  </si>
  <si>
    <t>J. A. FITZPATRICK</t>
  </si>
  <si>
    <t>22c</t>
  </si>
  <si>
    <t>22d</t>
  </si>
  <si>
    <t>22e</t>
  </si>
  <si>
    <t>22f</t>
  </si>
  <si>
    <t>22g</t>
  </si>
  <si>
    <t>Subtotal Transmission -  Structures &amp; Improvements</t>
  </si>
  <si>
    <t>24a</t>
  </si>
  <si>
    <t>24b</t>
  </si>
  <si>
    <t>24c</t>
  </si>
  <si>
    <t>24d</t>
  </si>
  <si>
    <t>24e</t>
  </si>
  <si>
    <t>24f</t>
  </si>
  <si>
    <t>Station Equipment - Windfarm Assets acq. 12-1-11</t>
  </si>
  <si>
    <t>24g</t>
  </si>
  <si>
    <t>24h</t>
  </si>
  <si>
    <t>Subtotal Transmission -  Station Equipment</t>
  </si>
  <si>
    <t>26a</t>
  </si>
  <si>
    <t>26b</t>
  </si>
  <si>
    <t>26c</t>
  </si>
  <si>
    <t>26d</t>
  </si>
  <si>
    <t>26e</t>
  </si>
  <si>
    <t>26f</t>
  </si>
  <si>
    <t>Subtotal Transmission -  Towers &amp; Fixtures</t>
  </si>
  <si>
    <t>28a</t>
  </si>
  <si>
    <t>28b</t>
  </si>
  <si>
    <t>28c</t>
  </si>
  <si>
    <t>28d</t>
  </si>
  <si>
    <t>28e</t>
  </si>
  <si>
    <t>Subtotal Transmission -  Poles &amp; Fixtures</t>
  </si>
  <si>
    <t>30a</t>
  </si>
  <si>
    <t>30b</t>
  </si>
  <si>
    <t>30c</t>
  </si>
  <si>
    <t>30d</t>
  </si>
  <si>
    <t>30e</t>
  </si>
  <si>
    <t>30f</t>
  </si>
  <si>
    <t>Subtotal Transmission -  Overhead Conductors &amp; Devices</t>
  </si>
  <si>
    <t>32a</t>
  </si>
  <si>
    <t>32b</t>
  </si>
  <si>
    <t>32c</t>
  </si>
  <si>
    <t>Subtotal Transmission -  Underground Conduit</t>
  </si>
  <si>
    <t>34a</t>
  </si>
  <si>
    <t>34b</t>
  </si>
  <si>
    <t>34c</t>
  </si>
  <si>
    <t>Subtotal Transmission -  Underground Conductors &amp; Devices</t>
  </si>
  <si>
    <t>36a</t>
  </si>
  <si>
    <t>36b</t>
  </si>
  <si>
    <t>36c</t>
  </si>
  <si>
    <t>36d</t>
  </si>
  <si>
    <t>36e</t>
  </si>
  <si>
    <t>36f</t>
  </si>
  <si>
    <t>Subtotal Transmission -  Roads &amp; Trails</t>
  </si>
  <si>
    <t>Total Included Transmission Plant</t>
  </si>
  <si>
    <t>WORK PAPER BB</t>
  </si>
  <si>
    <t>2021</t>
  </si>
  <si>
    <t>Electric</t>
  </si>
  <si>
    <t>Plant   in</t>
  </si>
  <si>
    <t>Service  (Net $)</t>
  </si>
  <si>
    <t>Service</t>
  </si>
  <si>
    <t>Service  (Net)</t>
  </si>
  <si>
    <t>EXCLUDED TRANSMISSION</t>
  </si>
  <si>
    <t>EXCL</t>
  </si>
  <si>
    <t>T</t>
  </si>
  <si>
    <t>500mW C - C at Astoria</t>
  </si>
  <si>
    <t>Station Equip - Transmission</t>
  </si>
  <si>
    <t>SUBTOTAL 500mW C - C at Astoria</t>
  </si>
  <si>
    <t>Astoria 2 (AE-II) Substation</t>
  </si>
  <si>
    <t>Land &amp; Land Rights</t>
  </si>
  <si>
    <t>SUBTOTAL Astoria 2 (AE-II) Substation</t>
  </si>
  <si>
    <t>SUBTOTAL Small Hydro</t>
  </si>
  <si>
    <t>FLYNN  (Holtsville)</t>
  </si>
  <si>
    <t>SUBTOTAL FLYNN  (Holtsville)</t>
  </si>
  <si>
    <t>POLETTI  (Astoria)</t>
  </si>
  <si>
    <t>8a</t>
  </si>
  <si>
    <t>8b</t>
  </si>
  <si>
    <t>8c</t>
  </si>
  <si>
    <t>8d</t>
  </si>
  <si>
    <t>8e</t>
  </si>
  <si>
    <t>SUBTOTAL Poletti</t>
  </si>
  <si>
    <t>BRENTWOOD  (Long Island)</t>
  </si>
  <si>
    <t>10a</t>
  </si>
  <si>
    <t>GOWANUS  (Brooklyn)</t>
  </si>
  <si>
    <t>10b</t>
  </si>
  <si>
    <t>HARLEM RIVER YARDS  (Bronx)</t>
  </si>
  <si>
    <t>10c</t>
  </si>
  <si>
    <t>HELLGATE  (Bronx)</t>
  </si>
  <si>
    <t>10d</t>
  </si>
  <si>
    <t>KENT  (Brooklyn)</t>
  </si>
  <si>
    <t>10e</t>
  </si>
  <si>
    <t>POUCH TERMINAL  (Richmond)</t>
  </si>
  <si>
    <t>10f</t>
  </si>
  <si>
    <t>VERNON BOULEVARD  (Queens)</t>
  </si>
  <si>
    <t>10g</t>
  </si>
  <si>
    <t>SUBTOTAL SCPP</t>
  </si>
  <si>
    <t>TOTAL EXCLUDED TRANSMISSION</t>
  </si>
  <si>
    <t>EXCLUDED GENERAL</t>
  </si>
  <si>
    <t>14a</t>
  </si>
  <si>
    <t>14b</t>
  </si>
  <si>
    <t>Office Furniture &amp; Equipment - 5 years</t>
  </si>
  <si>
    <t>14c</t>
  </si>
  <si>
    <t>Office Furniture &amp; Equipment - 10 years</t>
  </si>
  <si>
    <t>14d</t>
  </si>
  <si>
    <t>Transprt.Equip-500MW</t>
  </si>
  <si>
    <t>14e</t>
  </si>
  <si>
    <t>14f</t>
  </si>
  <si>
    <t>14g</t>
  </si>
  <si>
    <t>Power Oper Eqp-500MW</t>
  </si>
  <si>
    <t>14h</t>
  </si>
  <si>
    <t>SUBTOTAL 500Mw CC</t>
  </si>
  <si>
    <t>16a</t>
  </si>
  <si>
    <t>16b</t>
  </si>
  <si>
    <t>18a</t>
  </si>
  <si>
    <t>FLYNN  (Holtsville)391.3Computer Equipment 10 yr</t>
  </si>
  <si>
    <t>18b</t>
  </si>
  <si>
    <t>18c</t>
  </si>
  <si>
    <t>18d</t>
  </si>
  <si>
    <t>18e</t>
  </si>
  <si>
    <t>18f</t>
  </si>
  <si>
    <t>18g</t>
  </si>
  <si>
    <t>18h</t>
  </si>
  <si>
    <t>18i</t>
  </si>
  <si>
    <t>SUBTOTAL Flynn</t>
  </si>
  <si>
    <t>20a</t>
  </si>
  <si>
    <t>20b</t>
  </si>
  <si>
    <t>20c</t>
  </si>
  <si>
    <t>20d</t>
  </si>
  <si>
    <t>20e</t>
  </si>
  <si>
    <t>20f</t>
  </si>
  <si>
    <t>20g</t>
  </si>
  <si>
    <t>20h</t>
  </si>
  <si>
    <t>20i</t>
  </si>
  <si>
    <t>20j</t>
  </si>
  <si>
    <t>20k</t>
  </si>
  <si>
    <t>22h</t>
  </si>
  <si>
    <t>22i</t>
  </si>
  <si>
    <t>22j</t>
  </si>
  <si>
    <t>22k</t>
  </si>
  <si>
    <t>22l</t>
  </si>
  <si>
    <t>22n</t>
  </si>
  <si>
    <t>New York Energy Manager</t>
  </si>
  <si>
    <t>Non-utility Property</t>
  </si>
  <si>
    <t>Evolve &amp; Re-Imagine</t>
  </si>
  <si>
    <t>Evolve &amp; Re-Imagine121Non-utility Property</t>
  </si>
  <si>
    <t xml:space="preserve">SUBTOTAL </t>
  </si>
  <si>
    <t>TOTAL EXCLUDED GENERAL</t>
  </si>
  <si>
    <t>WORK PAPER BC</t>
  </si>
  <si>
    <t>2022</t>
  </si>
  <si>
    <t>P/T/G</t>
  </si>
  <si>
    <t>Plant Name</t>
  </si>
  <si>
    <t>A/C</t>
  </si>
  <si>
    <t>Electric Plant in Service ($)</t>
  </si>
  <si>
    <t>Accumulated Depreciation ($)</t>
  </si>
  <si>
    <t>Electric Plant in Service  (Net $ )</t>
  </si>
  <si>
    <t>Depreciation Expense ($)</t>
  </si>
  <si>
    <t>Electric Plant in Service  (Net $)</t>
  </si>
  <si>
    <t>Capital assets, not being depreciated:</t>
  </si>
  <si>
    <t>Land</t>
  </si>
  <si>
    <t>Land &amp; Land Rights - Pathnode Substation WF</t>
  </si>
  <si>
    <t>Production</t>
  </si>
  <si>
    <t>ASHOKAN / KENSICO</t>
  </si>
  <si>
    <t>Land Total</t>
  </si>
  <si>
    <t>Construction in progress</t>
  </si>
  <si>
    <t>CWIP</t>
  </si>
  <si>
    <t>Construction in progress Total</t>
  </si>
  <si>
    <t>Total capital assets not being depreciated</t>
  </si>
  <si>
    <t>Capital assets, being depreciated:</t>
  </si>
  <si>
    <t>ASHOKAN</t>
  </si>
  <si>
    <t>Waterwheels, Turbines, Generators</t>
  </si>
  <si>
    <t>Reservoirs, Dams, Waterways</t>
  </si>
  <si>
    <t>6d</t>
  </si>
  <si>
    <t>6e</t>
  </si>
  <si>
    <t>Accessory Electric Equipment</t>
  </si>
  <si>
    <t>6f</t>
  </si>
  <si>
    <t>Misc Power Plant Equipment</t>
  </si>
  <si>
    <t>6g</t>
  </si>
  <si>
    <t>Roads, Railroads &amp; Bridges</t>
  </si>
  <si>
    <t>6h</t>
  </si>
  <si>
    <t>6i</t>
  </si>
  <si>
    <t>6j</t>
  </si>
  <si>
    <t>6k</t>
  </si>
  <si>
    <t>6l</t>
  </si>
  <si>
    <t>6n</t>
  </si>
  <si>
    <t>6m</t>
  </si>
  <si>
    <t>6o</t>
  </si>
  <si>
    <t>6p</t>
  </si>
  <si>
    <t>6q</t>
  </si>
  <si>
    <t>6r</t>
  </si>
  <si>
    <t>6s</t>
  </si>
  <si>
    <t>6t</t>
  </si>
  <si>
    <t>6u</t>
  </si>
  <si>
    <t>6v</t>
  </si>
  <si>
    <t>6w</t>
  </si>
  <si>
    <t>6x</t>
  </si>
  <si>
    <t>6y</t>
  </si>
  <si>
    <t>6z</t>
  </si>
  <si>
    <t>6aa</t>
  </si>
  <si>
    <t>6ab</t>
  </si>
  <si>
    <t>6ac</t>
  </si>
  <si>
    <t>6ad</t>
  </si>
  <si>
    <t>6ae</t>
  </si>
  <si>
    <t>6af</t>
  </si>
  <si>
    <t>6ag</t>
  </si>
  <si>
    <t>Cost of Removal Deprec to Reg Assets (Prod)</t>
  </si>
  <si>
    <t>Production - Hydro Total</t>
  </si>
  <si>
    <t>Production - Gas turbine/combined cycle</t>
  </si>
  <si>
    <t>Boiler Plant Equipment</t>
  </si>
  <si>
    <t>TurboGenerator Units</t>
  </si>
  <si>
    <t>FuelHolders, Producers, Accessory</t>
  </si>
  <si>
    <t>8f</t>
  </si>
  <si>
    <t>Generators</t>
  </si>
  <si>
    <t>8g</t>
  </si>
  <si>
    <t>8h</t>
  </si>
  <si>
    <t>8i</t>
  </si>
  <si>
    <t>8j</t>
  </si>
  <si>
    <t>8k</t>
  </si>
  <si>
    <t>8l</t>
  </si>
  <si>
    <t>8n</t>
  </si>
  <si>
    <t>8m</t>
  </si>
  <si>
    <t>8o</t>
  </si>
  <si>
    <t>8p</t>
  </si>
  <si>
    <t>8q</t>
  </si>
  <si>
    <t>8r</t>
  </si>
  <si>
    <t>8s</t>
  </si>
  <si>
    <t>8t</t>
  </si>
  <si>
    <t>8u</t>
  </si>
  <si>
    <t>8v</t>
  </si>
  <si>
    <t>8w</t>
  </si>
  <si>
    <t>8x</t>
  </si>
  <si>
    <t>8y</t>
  </si>
  <si>
    <t>8z</t>
  </si>
  <si>
    <t>8aa</t>
  </si>
  <si>
    <t>8ab</t>
  </si>
  <si>
    <t>8ac</t>
  </si>
  <si>
    <t>8ad</t>
  </si>
  <si>
    <t>8ae</t>
  </si>
  <si>
    <t>8af</t>
  </si>
  <si>
    <t>8ag</t>
  </si>
  <si>
    <t>8ah</t>
  </si>
  <si>
    <t>8ai</t>
  </si>
  <si>
    <t>8aj</t>
  </si>
  <si>
    <t>8ak</t>
  </si>
  <si>
    <t>8al</t>
  </si>
  <si>
    <t>8am</t>
  </si>
  <si>
    <t>8an</t>
  </si>
  <si>
    <t>8ao</t>
  </si>
  <si>
    <t>8ap</t>
  </si>
  <si>
    <t>8aq</t>
  </si>
  <si>
    <t>8ar</t>
  </si>
  <si>
    <t>8as</t>
  </si>
  <si>
    <t>8at</t>
  </si>
  <si>
    <t>8au</t>
  </si>
  <si>
    <t>8av</t>
  </si>
  <si>
    <t>8aw</t>
  </si>
  <si>
    <t>8ax</t>
  </si>
  <si>
    <t>8ay</t>
  </si>
  <si>
    <t>8az</t>
  </si>
  <si>
    <t>8ba</t>
  </si>
  <si>
    <t>8bb</t>
  </si>
  <si>
    <t>Capital Lease Asset (Manual)</t>
  </si>
  <si>
    <t>8bc</t>
  </si>
  <si>
    <t>Impairment (Prod)</t>
  </si>
  <si>
    <t>8bd</t>
  </si>
  <si>
    <t>ARO GASB# 83</t>
  </si>
  <si>
    <t>Production - Gas turbine/combined cycle Total</t>
  </si>
  <si>
    <t>10h</t>
  </si>
  <si>
    <t>10i</t>
  </si>
  <si>
    <t>10j</t>
  </si>
  <si>
    <t>10k</t>
  </si>
  <si>
    <t>10l</t>
  </si>
  <si>
    <t>10m</t>
  </si>
  <si>
    <t>10n</t>
  </si>
  <si>
    <t>10o</t>
  </si>
  <si>
    <t>10p</t>
  </si>
  <si>
    <t>10q</t>
  </si>
  <si>
    <t>10r</t>
  </si>
  <si>
    <t>10s</t>
  </si>
  <si>
    <t>10t</t>
  </si>
  <si>
    <t>10u</t>
  </si>
  <si>
    <t>10v</t>
  </si>
  <si>
    <t>10w</t>
  </si>
  <si>
    <t>10x</t>
  </si>
  <si>
    <t>10y</t>
  </si>
  <si>
    <t>10z</t>
  </si>
  <si>
    <t>10aa</t>
  </si>
  <si>
    <t>10ab</t>
  </si>
  <si>
    <t>10ac</t>
  </si>
  <si>
    <t>10ad</t>
  </si>
  <si>
    <t>10ae</t>
  </si>
  <si>
    <t>10af</t>
  </si>
  <si>
    <t>10ag</t>
  </si>
  <si>
    <t>10ah</t>
  </si>
  <si>
    <t>10ai</t>
  </si>
  <si>
    <t>10aj</t>
  </si>
  <si>
    <t>10ak</t>
  </si>
  <si>
    <t>10al</t>
  </si>
  <si>
    <t>10am</t>
  </si>
  <si>
    <t>10an</t>
  </si>
  <si>
    <t>10ao</t>
  </si>
  <si>
    <t>10ap</t>
  </si>
  <si>
    <t>10aq</t>
  </si>
  <si>
    <t>10ar</t>
  </si>
  <si>
    <t>10as</t>
  </si>
  <si>
    <t>10at</t>
  </si>
  <si>
    <t>10au</t>
  </si>
  <si>
    <t>10av</t>
  </si>
  <si>
    <t>10aw</t>
  </si>
  <si>
    <t>10ax</t>
  </si>
  <si>
    <t>10ay</t>
  </si>
  <si>
    <t>10az</t>
  </si>
  <si>
    <t>10ba</t>
  </si>
  <si>
    <t>10bb</t>
  </si>
  <si>
    <t>10bc</t>
  </si>
  <si>
    <t>10bd</t>
  </si>
  <si>
    <t>10be</t>
  </si>
  <si>
    <t>10bf</t>
  </si>
  <si>
    <t>10bg</t>
  </si>
  <si>
    <t>10bh</t>
  </si>
  <si>
    <t>10bi</t>
  </si>
  <si>
    <t>10bj</t>
  </si>
  <si>
    <t>10bk</t>
  </si>
  <si>
    <t>10bl</t>
  </si>
  <si>
    <t>10bm</t>
  </si>
  <si>
    <t>10bn</t>
  </si>
  <si>
    <t>10bo</t>
  </si>
  <si>
    <t>10bp</t>
  </si>
  <si>
    <t>10bq</t>
  </si>
  <si>
    <t>Asset Impairment</t>
  </si>
  <si>
    <t>Impairment (Trans)</t>
  </si>
  <si>
    <t>10br</t>
  </si>
  <si>
    <t>Reclassification to deferred liability</t>
  </si>
  <si>
    <t>Cost of Removal Deprec to Reg Assets (Trans)</t>
  </si>
  <si>
    <t>Transmission Total</t>
  </si>
  <si>
    <t>12a</t>
  </si>
  <si>
    <t>12b</t>
  </si>
  <si>
    <t>12c</t>
  </si>
  <si>
    <t>12d</t>
  </si>
  <si>
    <t>12e</t>
  </si>
  <si>
    <t>12f</t>
  </si>
  <si>
    <t>12g</t>
  </si>
  <si>
    <t>12h</t>
  </si>
  <si>
    <t>12i</t>
  </si>
  <si>
    <t>12j</t>
  </si>
  <si>
    <t>12k</t>
  </si>
  <si>
    <t>12l</t>
  </si>
  <si>
    <t>12m</t>
  </si>
  <si>
    <t>12n</t>
  </si>
  <si>
    <t>12o</t>
  </si>
  <si>
    <t>12p</t>
  </si>
  <si>
    <t>12q</t>
  </si>
  <si>
    <t>12r</t>
  </si>
  <si>
    <t>12s</t>
  </si>
  <si>
    <t>12t</t>
  </si>
  <si>
    <t>12u</t>
  </si>
  <si>
    <t>12v</t>
  </si>
  <si>
    <t>12w</t>
  </si>
  <si>
    <t>12x</t>
  </si>
  <si>
    <t>12y</t>
  </si>
  <si>
    <t>12z</t>
  </si>
  <si>
    <t>12aa</t>
  </si>
  <si>
    <t>12ab</t>
  </si>
  <si>
    <t>12ac</t>
  </si>
  <si>
    <t>12ad</t>
  </si>
  <si>
    <t>12ae</t>
  </si>
  <si>
    <t>12af</t>
  </si>
  <si>
    <t>12ag</t>
  </si>
  <si>
    <t>12ah</t>
  </si>
  <si>
    <t>12ai</t>
  </si>
  <si>
    <t>12aj</t>
  </si>
  <si>
    <t>12ak</t>
  </si>
  <si>
    <t>12al</t>
  </si>
  <si>
    <t>12am</t>
  </si>
  <si>
    <t>12an</t>
  </si>
  <si>
    <t>12ao</t>
  </si>
  <si>
    <t>12ap</t>
  </si>
  <si>
    <t>12aq</t>
  </si>
  <si>
    <t>12ar</t>
  </si>
  <si>
    <t>12as</t>
  </si>
  <si>
    <t>12at</t>
  </si>
  <si>
    <t>12au</t>
  </si>
  <si>
    <t>12av</t>
  </si>
  <si>
    <t>12aw</t>
  </si>
  <si>
    <t>12ax</t>
  </si>
  <si>
    <t>12ay</t>
  </si>
  <si>
    <t>12az</t>
  </si>
  <si>
    <t>12ba</t>
  </si>
  <si>
    <t>12bb</t>
  </si>
  <si>
    <t>12bc</t>
  </si>
  <si>
    <t>12bd</t>
  </si>
  <si>
    <t>12be</t>
  </si>
  <si>
    <t>12bf</t>
  </si>
  <si>
    <t>12bg</t>
  </si>
  <si>
    <t>12bh</t>
  </si>
  <si>
    <t>12bi</t>
  </si>
  <si>
    <t>12bj</t>
  </si>
  <si>
    <t>12bk</t>
  </si>
  <si>
    <t>12bl</t>
  </si>
  <si>
    <t>12bm</t>
  </si>
  <si>
    <t>12bn</t>
  </si>
  <si>
    <t>12bo</t>
  </si>
  <si>
    <t>Non-utility property</t>
  </si>
  <si>
    <t>12bp</t>
  </si>
  <si>
    <t>12bq</t>
  </si>
  <si>
    <t>12br</t>
  </si>
  <si>
    <t>12bs</t>
  </si>
  <si>
    <t>12bt</t>
  </si>
  <si>
    <t>12bu</t>
  </si>
  <si>
    <t>12bv</t>
  </si>
  <si>
    <t>12bw</t>
  </si>
  <si>
    <t>12bx</t>
  </si>
  <si>
    <t>12by</t>
  </si>
  <si>
    <t>12bz</t>
  </si>
  <si>
    <t>12ca</t>
  </si>
  <si>
    <t>12cb</t>
  </si>
  <si>
    <t>12cc</t>
  </si>
  <si>
    <t>12cd</t>
  </si>
  <si>
    <t>12ce</t>
  </si>
  <si>
    <t>12cf</t>
  </si>
  <si>
    <t>12cg</t>
  </si>
  <si>
    <t>12ch</t>
  </si>
  <si>
    <t>12ci</t>
  </si>
  <si>
    <t>12cj</t>
  </si>
  <si>
    <t>12ck</t>
  </si>
  <si>
    <t>12cl</t>
  </si>
  <si>
    <t>12cm</t>
  </si>
  <si>
    <t>12cn</t>
  </si>
  <si>
    <t>12co</t>
  </si>
  <si>
    <t>12cp</t>
  </si>
  <si>
    <t>12cq</t>
  </si>
  <si>
    <t>12cr</t>
  </si>
  <si>
    <t>12cs</t>
  </si>
  <si>
    <t>12ct</t>
  </si>
  <si>
    <t>12cu</t>
  </si>
  <si>
    <t>12cv</t>
  </si>
  <si>
    <t>12cw</t>
  </si>
  <si>
    <t>12cx</t>
  </si>
  <si>
    <t>Cost of Removal Deprec to Reg Assets (Gen)</t>
  </si>
  <si>
    <t>12cy</t>
  </si>
  <si>
    <t>12cz</t>
  </si>
  <si>
    <t>12da</t>
  </si>
  <si>
    <t>General Total</t>
  </si>
  <si>
    <t>Total capital assets, being depreciated</t>
  </si>
  <si>
    <t xml:space="preserve">           Net value of all capital assets</t>
  </si>
  <si>
    <t>WORK PAPER BD</t>
  </si>
  <si>
    <t>MARCY-SOUTH CAPITALIZED LEASE AMORTIZATION</t>
  </si>
  <si>
    <t>AND UNAMORTIZED BALANCE</t>
  </si>
  <si>
    <t>Beginning</t>
  </si>
  <si>
    <t>Current Year</t>
  </si>
  <si>
    <t>Unamortized</t>
  </si>
  <si>
    <t>Ending</t>
  </si>
  <si>
    <t>Capitalized</t>
  </si>
  <si>
    <t>Lease Asset/</t>
  </si>
  <si>
    <t>Lease</t>
  </si>
  <si>
    <t>Obligation ($)</t>
  </si>
  <si>
    <t>Lease/Asset ($)</t>
  </si>
  <si>
    <t>Amortization ($)</t>
  </si>
  <si>
    <t>Balance</t>
  </si>
  <si>
    <t>WORK PAPER BE</t>
  </si>
  <si>
    <t>FACTS PROJECT PLANT IN SERVICE, ACCUMULATED DEPRECIATION AND DEPRECIATION EXPENSE</t>
  </si>
  <si>
    <t>LN</t>
  </si>
  <si>
    <t>Asset</t>
  </si>
  <si>
    <t>Cap.Date</t>
  </si>
  <si>
    <t>Asset Description</t>
  </si>
  <si>
    <t>Service (Net $)</t>
  </si>
  <si>
    <t>Marcy CSC Building, Electronics, Software, Xfmrs -</t>
  </si>
  <si>
    <t>Oakdale (NYSEG) SubStation 345kv Capacitor Bank</t>
  </si>
  <si>
    <t>Marcy CSC Transformer - 345kv, 200mva</t>
  </si>
  <si>
    <t>Marcy CSC Gas Circuit Breaker - 345kv, 3000a  GE</t>
  </si>
  <si>
    <t>Marcy CSC Disconnect Switches (Five) - 362kv</t>
  </si>
  <si>
    <t>Marcy CSC 3000 Bay w/Equipment</t>
  </si>
  <si>
    <t>Marcy CSC Relay/Protection/Control Equipment</t>
  </si>
  <si>
    <t>Edic (NMPC) SubStation 345kv Capacitor Bank</t>
  </si>
  <si>
    <t>Circuit Breaker Monitoring System</t>
  </si>
  <si>
    <t>Remote Terminal Units</t>
  </si>
  <si>
    <t>Marcy CSC Transformer - 345kv, 100mva</t>
  </si>
  <si>
    <t>Marcy CSC Gas Circuit Breaker - 362kv,   GE</t>
  </si>
  <si>
    <t>CSC   Potential Xfmrs, 345kV, SF6 Gas (Fourteen)</t>
  </si>
  <si>
    <t>CSC   Current  Xfmrs, 362kV, SF6 Gas   (Seven)</t>
  </si>
  <si>
    <t>Marcy CSC   Disconnect Switches, 345kV   (Eleven)</t>
  </si>
  <si>
    <t>CSC   Motor Oper Disconnect Switches, 38kV  (Four)</t>
  </si>
  <si>
    <t>Marcy CSC Gas Circuit Breaker - 35kVA,  SF6  (Two)</t>
  </si>
  <si>
    <t>Marcy CSC   Power &amp; Control Cable</t>
  </si>
  <si>
    <t>Marcy CSC   Surge Arresters</t>
  </si>
  <si>
    <t>CEC Circuit Switcher Upgrade</t>
  </si>
  <si>
    <t>Remote Terminal Units CMC-MAD-11-AAAQ</t>
  </si>
  <si>
    <t>1…</t>
  </si>
  <si>
    <t>Total Plant</t>
  </si>
  <si>
    <t>Year-Over-Year Accumulated Depreciation</t>
  </si>
  <si>
    <t>Note:  The FACTS project data is based on NYPA's financial records with adherence to FERC's Uniform System of Accounts and U.S. generally accepted accounting principles.</t>
  </si>
  <si>
    <t>WORK PAPER BF</t>
  </si>
  <si>
    <t>Electric Plant</t>
  </si>
  <si>
    <t>Asset  No.</t>
  </si>
  <si>
    <t>(Net $)</t>
  </si>
  <si>
    <t>St. Lawrence:</t>
  </si>
  <si>
    <t>St. Lawrence - Station Equipment</t>
  </si>
  <si>
    <t>Step-Up Transformer</t>
  </si>
  <si>
    <t xml:space="preserve">Handy Whitman Index retirement </t>
  </si>
  <si>
    <t>Niagara:</t>
  </si>
  <si>
    <t>Niagara -  Station Equipment 6 Units</t>
  </si>
  <si>
    <t>Step-Up Transformer &amp; Related Equipment - Unit # 6</t>
  </si>
  <si>
    <t>Step-Up Transformer &amp; Related Equipment - Unit # 5</t>
  </si>
  <si>
    <t>Step-Up Transformer &amp; Related Equipment - Unit # 12</t>
  </si>
  <si>
    <t>Step-Up Transformer &amp; Related Equipment - Unit # 11</t>
  </si>
  <si>
    <t>Step-Up Transformer &amp; Related Equipment - Unit # 7</t>
  </si>
  <si>
    <t>Step-Up Transformer &amp; Related Equipment - Unit # 3</t>
  </si>
  <si>
    <t>Step-Up Transformer &amp; Related Equipment - Unit # 9</t>
  </si>
  <si>
    <t>J. A.  FitzPatrick</t>
  </si>
  <si>
    <t>500MW C - C at Astoria:</t>
  </si>
  <si>
    <t>Step-Up Transformer GTB 7A</t>
  </si>
  <si>
    <t>Step-Up Transformer GTB 7B</t>
  </si>
  <si>
    <t>Step-Up Transformer STG</t>
  </si>
  <si>
    <t>StepUp Transformer GE 7 Coil @12/31/19</t>
  </si>
  <si>
    <t>Adjusted Grand Total (Excludes 500MW C - C at Astoria)</t>
  </si>
  <si>
    <t>WORK PAPER BG</t>
  </si>
  <si>
    <t>Relicensing Costs</t>
  </si>
  <si>
    <t>Niagara Relicense Compliance &amp; Implement Costs</t>
  </si>
  <si>
    <t>Niagara Relicense Other Payments '07</t>
  </si>
  <si>
    <t>ST. LAWRENCE</t>
  </si>
  <si>
    <t>STL Relicensing Re: Fish Enhancement</t>
  </si>
  <si>
    <t>ST. Lawrence Relicensing Re: Community Enhance Fun</t>
  </si>
  <si>
    <t>STL Relicensing Re:  Habitat Improvement Funds</t>
  </si>
  <si>
    <t>ST. Lawrence Relicensing Re: Local Reccreation Fac</t>
  </si>
  <si>
    <t>STL Relicense Re: Seaway Equity Corp.</t>
  </si>
  <si>
    <t>STL. Relicensing-WHWMA Inprovement Proj</t>
  </si>
  <si>
    <t>ST. Lawrence  Ten Years Relicensing</t>
  </si>
  <si>
    <t>BLENHEIM GILBOA</t>
  </si>
  <si>
    <t>Blenheim Gilboa Relicensing Costs</t>
  </si>
  <si>
    <t>BG Relicensing Community Payments</t>
  </si>
  <si>
    <t>Total Expenses</t>
  </si>
  <si>
    <t>WORK PAPER BH</t>
  </si>
  <si>
    <t>Profit</t>
  </si>
  <si>
    <t>Impairment</t>
  </si>
  <si>
    <t>Center</t>
  </si>
  <si>
    <t>Facility</t>
  </si>
  <si>
    <t>          </t>
  </si>
  <si>
    <t>                                              </t>
  </si>
  <si>
    <t>Total Impairment - Production</t>
  </si>
  <si>
    <t>Total Impairment - Transmission</t>
  </si>
  <si>
    <t>Total Impairment - General Plant</t>
  </si>
  <si>
    <t>WORK PAPER BI</t>
  </si>
  <si>
    <t>Cost of Removal to Regulatory Assets - Depreciation:</t>
  </si>
  <si>
    <t>Production      </t>
  </si>
  <si>
    <t>Transmission    </t>
  </si>
  <si>
    <t>General         </t>
  </si>
  <si>
    <t>Note:  The Cost of Removal data is based on NYPA's accounting records under the provisions of FASB Accounting Standards Codification Topic 980.</t>
  </si>
  <si>
    <t>WORKPAPER BJ</t>
  </si>
  <si>
    <t>INDIVIDUAL PROJECTS  - PLANT IN SERVICE and DEPRECIATION</t>
  </si>
  <si>
    <t>12/31/22</t>
  </si>
  <si>
    <t>12/31/21</t>
  </si>
  <si>
    <t>MARCY-SOUTH SERIES COMPENSATION</t>
  </si>
  <si>
    <t>MSSC Transmission Total</t>
  </si>
  <si>
    <t>AC Project Segment A (CENTRAL EAST ENERGY CONNECT)</t>
  </si>
  <si>
    <t>AC Project Seg A (Central East Energy Connect) Total</t>
  </si>
  <si>
    <t>Smart Path Connect</t>
  </si>
  <si>
    <t>SPC Project Total</t>
  </si>
  <si>
    <t>WORK PAPER CA</t>
  </si>
  <si>
    <t>Total M&amp;S</t>
  </si>
  <si>
    <t>Avg. M&amp;S</t>
  </si>
  <si>
    <t>NYPA</t>
  </si>
  <si>
    <t>Inventory ($)</t>
  </si>
  <si>
    <t>Inventory</t>
  </si>
  <si>
    <t>2022-2021</t>
  </si>
  <si>
    <t>M&amp;S ($)</t>
  </si>
  <si>
    <t>NIA</t>
  </si>
  <si>
    <t>STL</t>
  </si>
  <si>
    <t>POL</t>
  </si>
  <si>
    <t>B/G</t>
  </si>
  <si>
    <t>500MW</t>
  </si>
  <si>
    <t>CEC</t>
  </si>
  <si>
    <t>Facility Subtotal</t>
  </si>
  <si>
    <t>Reserve for Degraded Materials</t>
  </si>
  <si>
    <t>Reserve for Excess and Obsolete Inventory</t>
  </si>
  <si>
    <t>Reserves Subtotal</t>
  </si>
  <si>
    <t>WORK PAPER CB</t>
  </si>
  <si>
    <t>Property</t>
  </si>
  <si>
    <t>Other</t>
  </si>
  <si>
    <t>Insurance ($)</t>
  </si>
  <si>
    <t>Prepayments ($)</t>
  </si>
  <si>
    <t>Beginning/End of Year Average</t>
  </si>
  <si>
    <t>WORK PAPER DA</t>
  </si>
  <si>
    <t>Equity</t>
  </si>
  <si>
    <t>Applied</t>
  </si>
  <si>
    <t>Component</t>
  </si>
  <si>
    <t>Share</t>
  </si>
  <si>
    <t>Cap</t>
  </si>
  <si>
    <t>Rate</t>
  </si>
  <si>
    <t>Long-Term Debt</t>
  </si>
  <si>
    <t>Preferred Stock</t>
  </si>
  <si>
    <t>Common Equity</t>
  </si>
  <si>
    <t xml:space="preserve">         Total</t>
  </si>
  <si>
    <t>1/:</t>
  </si>
  <si>
    <t>Total Proprietary Capital</t>
  </si>
  <si>
    <t>Workpaper WP-DB Ln (5), average of Col (2) and (3)</t>
  </si>
  <si>
    <t xml:space="preserve">  less Preferred </t>
  </si>
  <si>
    <t xml:space="preserve">  less Acct. 216.1</t>
  </si>
  <si>
    <t>2/:</t>
  </si>
  <si>
    <t>Total Long Term Debt Interest</t>
  </si>
  <si>
    <t>Workpaper WP-DB Col (2) Ln (2)</t>
  </si>
  <si>
    <t>Net Proceeds Long Term Debt</t>
  </si>
  <si>
    <t>Workpaper WP-DB Ln (4), average of Col (2) and (3)</t>
  </si>
  <si>
    <t>LTD Cost Rate</t>
  </si>
  <si>
    <t>3/:</t>
  </si>
  <si>
    <t>Preferred Dividends</t>
  </si>
  <si>
    <t>Preferred Cost Rate</t>
  </si>
  <si>
    <t>4/:  The capital structure listed in Col (3) is calculated based on the total capitalization amount listed in column (2).  The Equity Cap in Col (4) Ln (3)</t>
  </si>
  <si>
    <t xml:space="preserve">      is fixed and cannot be modified or deleted absent an FPA Section 205 or 206 filing to FERC.  The Applied Equity Share in Col (5) Ln (3) will be the </t>
  </si>
  <si>
    <t xml:space="preserve">      actual common equity share, not to exceed the Equity Cap in Col (4) Ln (3).  The debt share is calculated as 1 minus the equity share.</t>
  </si>
  <si>
    <t>5/:  The ROE listed in Col (6), Ln (3) is the base ROE plus 50 basis-point incentive for RTO participation.  ROE may only be changed pursuant to an</t>
  </si>
  <si>
    <t xml:space="preserve">      FPA Section 205 or 206 filing to FERC.</t>
  </si>
  <si>
    <t>6/:  The Long-Term Debt Amount ($) in Col (2) Ln (1) is the Gross Proceeds Outstanding Long Term Debt, the average of WP-DB Ln (3e), Col</t>
  </si>
  <si>
    <t xml:space="preserve">       (2) and (3).</t>
  </si>
  <si>
    <t xml:space="preserve">7/:   The Long-Term Debt Cost Rate is calculated as the Total Long Term Debt Interest [Workpaper WP-DB Col (2) Ln (2)] divided by the Net Proceeds </t>
  </si>
  <si>
    <t xml:space="preserve">       Long Term Debt [Workpaper WP-DB row (4), average of Col (2) and (3)]. </t>
  </si>
  <si>
    <t>WORK PAPER DB</t>
  </si>
  <si>
    <t>CAPITAL STRUCTURE</t>
  </si>
  <si>
    <t>2022 Amount ($)</t>
  </si>
  <si>
    <t>2021 Amount ($)</t>
  </si>
  <si>
    <t>Long Term Debt Cost</t>
  </si>
  <si>
    <t xml:space="preserve">Interest on Long-Term Debt </t>
  </si>
  <si>
    <t>p. 117 ln. 62 c,d</t>
  </si>
  <si>
    <t xml:space="preserve">Amort. of Debt Disc. and Expense </t>
  </si>
  <si>
    <t>p. 117 ln. 63 c,d</t>
  </si>
  <si>
    <t xml:space="preserve">Amortization of Loss on Reacquired Debt </t>
  </si>
  <si>
    <t>p. 117 ln. 64 c,d</t>
  </si>
  <si>
    <t>(Less) Amort. of Premium on Debt</t>
  </si>
  <si>
    <t>p. 117 ln. 65 c,d</t>
  </si>
  <si>
    <t>(Less) Amortization of Gain on Reacquired Debt</t>
  </si>
  <si>
    <t>p. 117 ln. 66 c,d</t>
  </si>
  <si>
    <t xml:space="preserve">Total Long Term Debt Interest </t>
  </si>
  <si>
    <t>Long Term Debt</t>
  </si>
  <si>
    <t>Bonds</t>
  </si>
  <si>
    <t>p. 112 ln. 18 c,d</t>
  </si>
  <si>
    <t>(Less) Reacquired Bonds</t>
  </si>
  <si>
    <t>p. 112 ln. 19 c,d</t>
  </si>
  <si>
    <t>Other Long Term Debt</t>
  </si>
  <si>
    <t>p. 112 ln. 21 c,d</t>
  </si>
  <si>
    <t>Gross Proceeds Outstanding LT Debt</t>
  </si>
  <si>
    <t>(Less) Unamortized Discount on Long-Term Debt</t>
  </si>
  <si>
    <t>p. 112 ln. 23 c,d</t>
  </si>
  <si>
    <t>(Less) Unamortized Debt Expenses</t>
  </si>
  <si>
    <t>p. 111 ln. 69 c,d</t>
  </si>
  <si>
    <t>(Less) Unamortized Loss on Reacquired Debt</t>
  </si>
  <si>
    <t>p. 111 ln. 81 c,d</t>
  </si>
  <si>
    <t xml:space="preserve">Unamortized Premium on Long-Term Debt </t>
  </si>
  <si>
    <t>p. 112 ln. 22 c,d</t>
  </si>
  <si>
    <t>Unamortized Gain on Reacquired Debt</t>
  </si>
  <si>
    <t>p. 113 ln. 61 c,d</t>
  </si>
  <si>
    <t xml:space="preserve">Net Proceeds Long Term Debt </t>
  </si>
  <si>
    <t>Net Position</t>
  </si>
  <si>
    <t>WORK PAPER EA</t>
  </si>
  <si>
    <t>Actual Labor</t>
  </si>
  <si>
    <t>Net Plant</t>
  </si>
  <si>
    <t>Net Revenue</t>
  </si>
  <si>
    <t>Center(s)</t>
  </si>
  <si>
    <t>105</t>
  </si>
  <si>
    <t>110</t>
  </si>
  <si>
    <t>115</t>
  </si>
  <si>
    <t>120</t>
  </si>
  <si>
    <t>125</t>
  </si>
  <si>
    <t>AE II</t>
  </si>
  <si>
    <t>130-150</t>
  </si>
  <si>
    <t>Total Small Hydro</t>
  </si>
  <si>
    <t>155-161</t>
  </si>
  <si>
    <t>Total Small Clean Power Plants</t>
  </si>
  <si>
    <t>165</t>
  </si>
  <si>
    <t>205-245</t>
  </si>
  <si>
    <t>Total Included Transmission</t>
  </si>
  <si>
    <t>Recharge New York</t>
  </si>
  <si>
    <t>Total - Production + Transmission</t>
  </si>
  <si>
    <t>Total - Production Only</t>
  </si>
  <si>
    <t>WORK PAPER AR- IS</t>
  </si>
  <si>
    <t xml:space="preserve">STATEMENT OF REVENUES, EXPENSES AND CHANGES IN NET POSITION </t>
  </si>
  <si>
    <t>($ Millions)</t>
  </si>
  <si>
    <t>Operating Revenues</t>
  </si>
  <si>
    <t>Power Sales</t>
  </si>
  <si>
    <t>Transmission Charges</t>
  </si>
  <si>
    <t>Wheeling Charges</t>
  </si>
  <si>
    <t>Total Operating Revenues</t>
  </si>
  <si>
    <t>Operating Expenses</t>
  </si>
  <si>
    <t>Purchased Power</t>
  </si>
  <si>
    <t>Fuel Oil and Gas</t>
  </si>
  <si>
    <t>Wheeling</t>
  </si>
  <si>
    <t>Impairment Cost</t>
  </si>
  <si>
    <t>Total Operating Expenses</t>
  </si>
  <si>
    <t>Operating Income</t>
  </si>
  <si>
    <t>Nonoperating Revenues</t>
  </si>
  <si>
    <t>Investment Income</t>
  </si>
  <si>
    <t>Investments and Other Income</t>
  </si>
  <si>
    <t>Nonoperating Expenses</t>
  </si>
  <si>
    <t>Interest on Long-Term Debt</t>
  </si>
  <si>
    <t>Interest - Other</t>
  </si>
  <si>
    <t>Interest Capitalized</t>
  </si>
  <si>
    <t>Amortization of Debt Premium</t>
  </si>
  <si>
    <t>Canal Reimbursement Agreement</t>
  </si>
  <si>
    <t>Net Income Before Contributed Capital</t>
  </si>
  <si>
    <t>Contributed Capital - Wind Farm Transmission  Assets</t>
  </si>
  <si>
    <t>Change in net position</t>
  </si>
  <si>
    <t>Net position at January 1</t>
  </si>
  <si>
    <t>Net position at December 31</t>
  </si>
  <si>
    <t>WORK PAPER AR-BS</t>
  </si>
  <si>
    <t>DECEMBER 2022</t>
  </si>
  <si>
    <t>DECEMBER 2021</t>
  </si>
  <si>
    <t>Assets and Deferred Outflows</t>
  </si>
  <si>
    <t>Current Assets:</t>
  </si>
  <si>
    <t>Cash and cash equivalents</t>
  </si>
  <si>
    <t>Investment in securities</t>
  </si>
  <si>
    <t>Investments in securities- restricted</t>
  </si>
  <si>
    <t>Receivables - customers</t>
  </si>
  <si>
    <t>Materials and supplies, at average Cost:</t>
  </si>
  <si>
    <t>Plant and general</t>
  </si>
  <si>
    <t>Fuel</t>
  </si>
  <si>
    <t>Miscellaneous receivables and other</t>
  </si>
  <si>
    <t>Total current assets</t>
  </si>
  <si>
    <t>Noncurrent Assets:</t>
  </si>
  <si>
    <t>Restricted funds:</t>
  </si>
  <si>
    <t>Total restricted assets</t>
  </si>
  <si>
    <t>Capital funds:</t>
  </si>
  <si>
    <t>Total capital funds</t>
  </si>
  <si>
    <t>Capital Assets</t>
  </si>
  <si>
    <t>Capital assets not being depreciated</t>
  </si>
  <si>
    <t>Capital assets, net of accumulated depreciation</t>
  </si>
  <si>
    <t>Total capital assets</t>
  </si>
  <si>
    <t>Other noncurrent assets:</t>
  </si>
  <si>
    <t>Receivable - New York State</t>
  </si>
  <si>
    <t>Notes receivable - nuclear plant sale</t>
  </si>
  <si>
    <t>Other long-term assets</t>
  </si>
  <si>
    <t>Total other noncurrent assets</t>
  </si>
  <si>
    <t>Total noncurrent assets</t>
  </si>
  <si>
    <t>Total assets</t>
  </si>
  <si>
    <t>Deferred outflows:</t>
  </si>
  <si>
    <t>Accumulated decrease in fair value of hedging derivatives</t>
  </si>
  <si>
    <t xml:space="preserve">Pensions </t>
  </si>
  <si>
    <t>Postemployment benefits other than pensions (Note 11)</t>
  </si>
  <si>
    <t xml:space="preserve">Asset retirement obligation </t>
  </si>
  <si>
    <t>Total  Deferred outflows</t>
  </si>
  <si>
    <t>Total assets and deferred outflows</t>
  </si>
  <si>
    <t>1/  Source:</t>
  </si>
  <si>
    <t>Annual Financial Statements</t>
  </si>
  <si>
    <t>Liabilities, Deferred Inflows and Net Position</t>
  </si>
  <si>
    <t>Current Liabilities:</t>
  </si>
  <si>
    <t>Accounts payable and accrued liabilities</t>
  </si>
  <si>
    <t>16c</t>
  </si>
  <si>
    <t>Short-term debt</t>
  </si>
  <si>
    <t>16d</t>
  </si>
  <si>
    <t>Long-term debt due within one year</t>
  </si>
  <si>
    <t>16e</t>
  </si>
  <si>
    <t>Capital lease obligation due within one year</t>
  </si>
  <si>
    <t>16f</t>
  </si>
  <si>
    <t>Risk management activities - derivatives</t>
  </si>
  <si>
    <t>Total current liabilities</t>
  </si>
  <si>
    <t>Noncurrent liabilities:</t>
  </si>
  <si>
    <t>Long-term debt:</t>
  </si>
  <si>
    <t>Senior:</t>
  </si>
  <si>
    <t>Revenue bonds</t>
  </si>
  <si>
    <t>Adjustable rate tender notes</t>
  </si>
  <si>
    <t>Subordinated:</t>
  </si>
  <si>
    <t>Subordinated Notes, Series 2012</t>
  </si>
  <si>
    <t>Commercial paper</t>
  </si>
  <si>
    <t>Total long-term debt</t>
  </si>
  <si>
    <t>Other noncurrent liabilities:</t>
  </si>
  <si>
    <t>Capital lease obligation</t>
  </si>
  <si>
    <t>Liability to decommission divested nuclear facilities</t>
  </si>
  <si>
    <t>Disposal of spent nuclear fuel</t>
  </si>
  <si>
    <t>Other long-term liabilities</t>
  </si>
  <si>
    <t>Total other noncurrent liabilities</t>
  </si>
  <si>
    <t>Total noncurrent liabilities</t>
  </si>
  <si>
    <t>Total liabilities</t>
  </si>
  <si>
    <t>Deferred inflows:</t>
  </si>
  <si>
    <t>Cost of removal obligation</t>
  </si>
  <si>
    <t>Accumulated increase in fair value of hedging</t>
  </si>
  <si>
    <t>Pensions (Note 10)</t>
  </si>
  <si>
    <t>Net position:</t>
  </si>
  <si>
    <t>Net investment in capital assets</t>
  </si>
  <si>
    <t>Restricted</t>
  </si>
  <si>
    <t>Unrestricted</t>
  </si>
  <si>
    <t>25d</t>
  </si>
  <si>
    <t>Total net position</t>
  </si>
  <si>
    <t>Total liabilities, deferred inflows and net position</t>
  </si>
  <si>
    <t>WORK PAPER AR-Cap Assets</t>
  </si>
  <si>
    <t>CAPITAL ASSETS - Note 5 ($ Millions)</t>
  </si>
  <si>
    <t>New York Power Authority</t>
  </si>
  <si>
    <t>Capital Assets - Note 5</t>
  </si>
  <si>
    <t>balance</t>
  </si>
  <si>
    <t>Additions</t>
  </si>
  <si>
    <t>Deletions</t>
  </si>
  <si>
    <t>Land-Canal System</t>
  </si>
  <si>
    <t>CIP- Canal System</t>
  </si>
  <si>
    <t>Production – Hydro</t>
  </si>
  <si>
    <t>Production – Gas</t>
  </si>
  <si>
    <t>turbine/combined cycle</t>
  </si>
  <si>
    <t>Canal System</t>
  </si>
  <si>
    <t>Total capital assets being depreciated</t>
  </si>
  <si>
    <t>Less accumulated depreciation for:</t>
  </si>
  <si>
    <t>5f</t>
  </si>
  <si>
    <t>Total accumulated depreciation</t>
  </si>
  <si>
    <t>Net value of capital assets being depreciated</t>
  </si>
  <si>
    <t>Net value of all capital assets</t>
  </si>
  <si>
    <t>WORK PAPER Reconciliations</t>
  </si>
  <si>
    <t>OPERATION &amp; MAINTANANCE EXPENSES</t>
  </si>
  <si>
    <t>Total O&amp;M</t>
  </si>
  <si>
    <t>Operations &amp; Maintenance Expenses - as per Annual Report</t>
  </si>
  <si>
    <t>Excluded Expenses</t>
  </si>
  <si>
    <t>A&amp;G in FERC Acct 549 - OP-Misc Oth Pwr Gen</t>
  </si>
  <si>
    <t>FERC acct 905 (less contribution to New York State)</t>
  </si>
  <si>
    <t>FERC acct 916 - Misc Sales Expense</t>
  </si>
  <si>
    <t>A&amp;G not allocated to Transmission</t>
  </si>
  <si>
    <t>Less A/C 924 - Property Insurance</t>
  </si>
  <si>
    <t>Less A/C 925 - Injuries &amp; Damages Insurance</t>
  </si>
  <si>
    <t>Less A/C 928 - Regulatory Commission Expense</t>
  </si>
  <si>
    <t>Less A/C 930.5 - R&amp;D Expense</t>
  </si>
  <si>
    <t>924 -Property Insurance as allocated</t>
  </si>
  <si>
    <t>925 - Injuries &amp; Damages Insurance as allocated</t>
  </si>
  <si>
    <t>930.5 - R&amp;D Expense</t>
  </si>
  <si>
    <t>Reclassifications (post Annual Report)</t>
  </si>
  <si>
    <t>Operations &amp; Maintenance Expenses - as per ATRR</t>
  </si>
  <si>
    <t>check</t>
  </si>
  <si>
    <t>ELECTRIC PLANT IN SERVICE &amp; DEPRECIATION</t>
  </si>
  <si>
    <t>Electric Plant in</t>
  </si>
  <si>
    <t>Electric Plant in Service &amp; Depreciation As per Annual Report</t>
  </si>
  <si>
    <t>Capital Assets not being depreciated</t>
  </si>
  <si>
    <t>Capital Assets being depreciated</t>
  </si>
  <si>
    <t>Total Capital Assets</t>
  </si>
  <si>
    <t>Less CWIP</t>
  </si>
  <si>
    <t>Less Canal CIP</t>
  </si>
  <si>
    <t>Less Canal Assets</t>
  </si>
  <si>
    <t>Total Assets in Service</t>
  </si>
  <si>
    <t>Adjustments for ATRR</t>
  </si>
  <si>
    <t>Cost of Removal (note 1)</t>
  </si>
  <si>
    <t>Excluded (note 2)</t>
  </si>
  <si>
    <t>Adjustments to Rate Base (note 3)</t>
  </si>
  <si>
    <t>Total Assets in Service - As per ATRR</t>
  </si>
  <si>
    <t>Comprising:</t>
  </si>
  <si>
    <t xml:space="preserve">differences due to rounding   </t>
  </si>
  <si>
    <t>Cost of Removal: Bringing back to accumulated depreciation cost of removal which was reclassified to regulatory liabilities in annual report</t>
  </si>
  <si>
    <t>Excluded: Assets not recoverable under ATRR</t>
  </si>
  <si>
    <t>Adjustments to Rate Base: Relicensing, Windfarm, Step-up transformers, FACTS &amp; Asset Impairment</t>
  </si>
  <si>
    <t>MATERIALS &amp; SUPPLIES</t>
  </si>
  <si>
    <t>As per Annual Report</t>
  </si>
  <si>
    <t>Plant and General</t>
  </si>
  <si>
    <t>As per ATRR</t>
  </si>
  <si>
    <t>Long -Term Debt</t>
  </si>
  <si>
    <t>Long-Term</t>
  </si>
  <si>
    <t>4c</t>
  </si>
  <si>
    <t>Short-Term</t>
  </si>
  <si>
    <t>4d</t>
  </si>
  <si>
    <t>Unamortized Premium/Discount</t>
  </si>
  <si>
    <t>4e</t>
  </si>
  <si>
    <t>4f</t>
  </si>
  <si>
    <t>As per ATRR (Note 4)</t>
  </si>
  <si>
    <t>4g</t>
  </si>
  <si>
    <t>4h</t>
  </si>
  <si>
    <t>Actual common equity amounts not used in weighted average cost of capital.</t>
  </si>
  <si>
    <t>INTEREST ON LONG-TERM DEBT</t>
  </si>
  <si>
    <t>Interest LTD (including Swaps, Deferred Refinancing)</t>
  </si>
  <si>
    <t>Debt Discount/Premium</t>
  </si>
  <si>
    <t>5g</t>
  </si>
  <si>
    <t>5h</t>
  </si>
  <si>
    <t>5i</t>
  </si>
  <si>
    <t>5j</t>
  </si>
  <si>
    <t>REVENUE REQUIREMENT</t>
  </si>
  <si>
    <t>SENY load (note 5)</t>
  </si>
  <si>
    <t>FACTS revenue (note 6)</t>
  </si>
  <si>
    <t>Timing differences</t>
  </si>
  <si>
    <r>
      <t>FERC approved ATRR</t>
    </r>
    <r>
      <rPr>
        <sz val="11"/>
        <color theme="1"/>
        <rFont val="Arial"/>
        <family val="2"/>
      </rPr>
      <t xml:space="preserve"> </t>
    </r>
    <r>
      <rPr>
        <sz val="10"/>
        <color theme="1"/>
        <rFont val="Arial"/>
        <family val="2"/>
      </rPr>
      <t>(line 6a + line 7a)</t>
    </r>
  </si>
  <si>
    <t>Amount that NYPA will credit to its ATRR assessed to the SENY customer load.  These revenues are included in the Annual Report within Production Revenues.</t>
  </si>
  <si>
    <t>7e</t>
  </si>
  <si>
    <t>Compensation for FACTS through the NYISO’s issuance of Transmission Congestion Contract (“TCC”) payments</t>
  </si>
  <si>
    <t>OTHER POSTEMPLOYMENT BENEFIT PLANS</t>
  </si>
  <si>
    <t>Annual OPEB Cost</t>
  </si>
  <si>
    <t xml:space="preserve">Subtotal </t>
  </si>
  <si>
    <t>(50)</t>
  </si>
  <si>
    <t>(51)</t>
  </si>
  <si>
    <t>0100/266</t>
  </si>
  <si>
    <t>0100/360</t>
  </si>
  <si>
    <t>0100/801</t>
  </si>
  <si>
    <t>0100/903</t>
  </si>
  <si>
    <t>Smart Path NYPA</t>
  </si>
  <si>
    <t>Trans O&amp;M Services</t>
  </si>
  <si>
    <t>Reimagining Canals</t>
  </si>
  <si>
    <t>E-Mobility</t>
  </si>
  <si>
    <t>Impairment (General)</t>
  </si>
  <si>
    <t xml:space="preserve">BG Relicensing - Recreational Improvements </t>
  </si>
  <si>
    <t>BG Relicensing - Ecological Improvements</t>
  </si>
  <si>
    <t>NTAC Adjustment for WP-BG Relicensing Amount</t>
  </si>
  <si>
    <t>MSSC Adjustment for WP-BG Relicensing Amount</t>
  </si>
  <si>
    <t>AC Adjustment for WP-BG Relicensing Amount</t>
  </si>
  <si>
    <t>Adjustments - MSSC</t>
  </si>
  <si>
    <t>Adjustments - CEEC</t>
  </si>
  <si>
    <t>Revenue Accrued but excluded from rate</t>
  </si>
  <si>
    <t>LIPA Credit</t>
  </si>
  <si>
    <t>Revenue accrued but excluded from rate</t>
  </si>
  <si>
    <t>Add: Revenues from Transmission of Electricity of Others via Power Rates</t>
  </si>
  <si>
    <t>Total NYPA OPEB</t>
  </si>
  <si>
    <t>Canals OPEB Cost</t>
  </si>
  <si>
    <t>12/31/2022 ($)</t>
  </si>
  <si>
    <t>12/31/2021 ($)</t>
  </si>
  <si>
    <t>Included General &amp; Transmission Plant - Depreciation 2022</t>
  </si>
  <si>
    <t>2022-2021 EXCLUDED PLANT IN SERVICE</t>
  </si>
  <si>
    <t xml:space="preserve">2022 Annual Report </t>
  </si>
  <si>
    <t>0100/902</t>
  </si>
  <si>
    <t>Lrg Scale Renewables</t>
  </si>
  <si>
    <t>(52)</t>
  </si>
  <si>
    <t>Canals/Large Energy Storage/CES/Other Adj.</t>
  </si>
  <si>
    <t xml:space="preserve"> -   </t>
  </si>
  <si>
    <t xml:space="preserve"> -    </t>
  </si>
  <si>
    <t> 12/31/2001</t>
  </si>
  <si>
    <t>157       </t>
  </si>
  <si>
    <t>729308 </t>
  </si>
  <si>
    <t>Asset Impairment (FASB 121) - Vernon Boulevard</t>
  </si>
  <si>
    <t> 11/30/2002</t>
  </si>
  <si>
    <t>158       </t>
  </si>
  <si>
    <t>Asset Impairment (FASB 121) - Gowanus         </t>
  </si>
  <si>
    <t>160       </t>
  </si>
  <si>
    <t>Asset Impairment (FASB 121) - Pouch Terminal  </t>
  </si>
  <si>
    <t> 12/31/2003</t>
  </si>
  <si>
    <t>WriteOff  Asset Retirement Cost - V B Impaired</t>
  </si>
  <si>
    <t> 11/30/2004</t>
  </si>
  <si>
    <t>220       </t>
  </si>
  <si>
    <t>Asset Impairment (FAS 144) - Marcy  FACTS/CSC </t>
  </si>
  <si>
    <t>159       </t>
  </si>
  <si>
    <t>Asset Impairment (FAS 144) - Kent, Bklyn      </t>
  </si>
  <si>
    <t>161       </t>
  </si>
  <si>
    <t>Asset Impairment (FAS 144) - Brentwood, L.I.  </t>
  </si>
  <si>
    <t xml:space="preserve">Asset Impairment - WPO Data Center </t>
  </si>
  <si>
    <t xml:space="preserve">Asset Impairment - WPO Garage </t>
  </si>
  <si>
    <t>Asset Impairment - WPO Data Center AC/UPS Units</t>
  </si>
  <si>
    <t> </t>
  </si>
  <si>
    <t> 10/6/2022</t>
  </si>
  <si>
    <t> 11/3/2022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</si>
</sst>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41" formatCode="_(* #,##0_);_(* \(#,##0\);_(* &quot;-&quot;_);_(@_)"/>
    <numFmt numFmtId="44" formatCode="_(&quot;$&quot;* #,##0.00_);_(&quot;$&quot;* \(#,##0.00\);_(&quot;$&quot;* &quot;-&quot;??_);_(@_)"/>
    <numFmt numFmtId="43" formatCode="_(* #,##0.00_);_(* \(#,##0.00\);_(* &quot;-&quot;??_);_(@_)"/>
    <numFmt numFmtId="164" formatCode="0_)"/>
    <numFmt numFmtId="165" formatCode="dd\-mmm\-yy_)"/>
    <numFmt numFmtId="166" formatCode="0.000%"/>
    <numFmt numFmtId="167" formatCode="&quot;$&quot;#,##0"/>
    <numFmt numFmtId="168" formatCode="_(* #,##0_);_(* \(#,##0\);_(* &quot;-&quot;??_);_(@_)"/>
    <numFmt numFmtId="169" formatCode="#,##0;\(#,##0\)"/>
    <numFmt numFmtId="170" formatCode="_(&quot;$&quot;* #,##0_);_(&quot;$&quot;* \(#,##0\);_(&quot;$&quot;* &quot;-&quot;??_);_(@_)"/>
    <numFmt numFmtId="171" formatCode="0.0%"/>
    <numFmt numFmtId="172" formatCode="0.00_)"/>
    <numFmt numFmtId="173" formatCode="0_);\(0\)"/>
    <numFmt numFmtId="174" formatCode="\$\ #,##0.00"/>
    <numFmt numFmtId="175" formatCode="&quot;$&quot;#,##0.00"/>
    <numFmt numFmtId="176" formatCode="#,##0.00000"/>
    <numFmt numFmtId="177" formatCode="_(* #,##0.0000_);_(* \(#,##0.0000\);_(* &quot;-&quot;??_);_(@_)"/>
    <numFmt numFmtId="178" formatCode="0.0000"/>
    <numFmt numFmtId="179" formatCode="_(* #,##0.000_);_(* \(#,##0.000\);_(* &quot;-&quot;??_);_(@_)"/>
    <numFmt numFmtId="180" formatCode="_(* #,##0.0_);_(* \(#,##0.0\);_(* &quot;-&quot;??_);_(@_)"/>
    <numFmt numFmtId="181" formatCode="0.00000"/>
    <numFmt numFmtId="182" formatCode="#,##0\ \ \ ;[Red]\(#,##0\)\ \ ;\—\ \ \ \ "/>
    <numFmt numFmtId="183" formatCode="#,##0\ \ \ \ ;[Red]\(#,##0\)\ \ \ ;\—\ \ \ \ "/>
    <numFmt numFmtId="184" formatCode="#,##0\ \ ;[Red]\(#,##0\)\ ;\—\ \ "/>
    <numFmt numFmtId="185" formatCode="#,##0\ ;\(#,##0\);\-\ \ \ \ \ "/>
    <numFmt numFmtId="186" formatCode="#,##0\ ;\(#,##0\);\–\ \ \ \ \ "/>
    <numFmt numFmtId="187" formatCode="#,##0.0;\(#,##0.00\)"/>
    <numFmt numFmtId="188" formatCode="0.0000%"/>
    <numFmt numFmtId="189" formatCode="0.0000000000%"/>
  </numFmts>
  <fonts count="115">
    <font>
      <sz val="10"/>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theme="1"/>
      <name val="Arial"/>
      <family val="2"/>
    </font>
    <font>
      <sz val="11"/>
      <color theme="1"/>
      <name val="Calibri"/>
      <family val="2"/>
      <scheme val="minor"/>
    </font>
    <font>
      <b/>
      <sz val="12"/>
      <color indexed="8"/>
      <name val="Arial"/>
      <family val="2"/>
    </font>
    <font>
      <b/>
      <sz val="10"/>
      <color indexed="8"/>
      <name val="Arial"/>
      <family val="2"/>
    </font>
    <font>
      <sz val="8"/>
      <name val="Arial"/>
      <family val="2"/>
    </font>
    <font>
      <sz val="12"/>
      <name val="Arial"/>
      <family val="2"/>
    </font>
    <font>
      <sz val="12"/>
      <name val="Arial"/>
      <family val="2"/>
    </font>
    <font>
      <b/>
      <sz val="12"/>
      <name val="Arial"/>
      <family val="2"/>
    </font>
    <font>
      <b/>
      <sz val="10"/>
      <name val="Arial"/>
      <family val="2"/>
    </font>
    <font>
      <sz val="11"/>
      <color theme="1"/>
      <name val="Calibri"/>
      <family val="2"/>
      <scheme val="minor"/>
    </font>
    <font>
      <b/>
      <sz val="11"/>
      <color theme="1"/>
      <name val="Calibri"/>
      <family val="2"/>
      <scheme val="minor"/>
    </font>
    <font>
      <sz val="10"/>
      <name val="Arial"/>
      <family val="2"/>
    </font>
    <font>
      <sz val="11"/>
      <color indexed="8"/>
      <name val="Calibri"/>
      <family val="2"/>
    </font>
    <font>
      <sz val="10"/>
      <color indexed="8"/>
      <name val="Arial"/>
      <family val="2"/>
    </font>
    <font>
      <sz val="10"/>
      <color indexed="39"/>
      <name val="Arial"/>
      <family val="2"/>
    </font>
    <font>
      <b/>
      <sz val="16"/>
      <color indexed="23"/>
      <name val="Arial"/>
      <family val="2"/>
    </font>
    <font>
      <sz val="10"/>
      <color indexed="10"/>
      <name val="Arial"/>
      <family val="2"/>
    </font>
    <font>
      <sz val="10"/>
      <name val="Courier"/>
      <family val="3"/>
    </font>
    <font>
      <sz val="10"/>
      <name val="Courier"/>
      <family val="3"/>
    </font>
    <font>
      <b/>
      <u/>
      <sz val="14"/>
      <color theme="1"/>
      <name val="Arial"/>
      <family val="2"/>
    </font>
    <font>
      <sz val="10"/>
      <name val="Arial"/>
      <family val="2"/>
    </font>
    <font>
      <sz val="12"/>
      <color theme="1"/>
      <name val="Calibri"/>
      <family val="2"/>
      <scheme val="minor"/>
    </font>
    <font>
      <sz val="10"/>
      <name val="Arial"/>
      <family val="2"/>
    </font>
    <font>
      <u/>
      <sz val="10"/>
      <color theme="10"/>
      <name val="Courier"/>
      <family val="3"/>
    </font>
    <font>
      <b/>
      <sz val="10"/>
      <color indexed="39"/>
      <name val="Arial"/>
      <family val="2"/>
    </font>
    <font>
      <sz val="12"/>
      <name val="Arial MT"/>
    </font>
    <font>
      <sz val="10"/>
      <name val="Arial"/>
      <family val="2"/>
    </font>
    <font>
      <sz val="11"/>
      <name val="Times New Roman"/>
      <family val="1"/>
    </font>
    <font>
      <sz val="12"/>
      <color theme="1"/>
      <name val="Arial"/>
      <family val="2"/>
    </font>
    <font>
      <b/>
      <sz val="12"/>
      <color theme="1"/>
      <name val="Arial"/>
      <family val="2"/>
    </font>
    <font>
      <b/>
      <sz val="16"/>
      <color theme="1"/>
      <name val="Arial"/>
      <family val="2"/>
    </font>
    <font>
      <b/>
      <sz val="14"/>
      <color theme="1"/>
      <name val="Calibri"/>
      <family val="2"/>
      <scheme val="minor"/>
    </font>
    <font>
      <sz val="11"/>
      <color theme="1"/>
      <name val="Arial"/>
      <family val="2"/>
    </font>
    <font>
      <b/>
      <sz val="11"/>
      <color theme="1"/>
      <name val="Arial"/>
      <family val="2"/>
    </font>
    <font>
      <sz val="12"/>
      <color rgb="FF0033CC"/>
      <name val="Arial"/>
      <family val="2"/>
    </font>
    <font>
      <sz val="9"/>
      <color theme="1"/>
      <name val="Arial"/>
      <family val="2"/>
    </font>
    <font>
      <b/>
      <sz val="9"/>
      <color theme="1"/>
      <name val="Arial"/>
      <family val="2"/>
    </font>
    <font>
      <b/>
      <u val="singleAccounting"/>
      <sz val="11"/>
      <color theme="1"/>
      <name val="Calibri"/>
      <family val="2"/>
      <scheme val="minor"/>
    </font>
    <font>
      <sz val="11"/>
      <color rgb="FF000000"/>
      <name val="Calibri"/>
      <family val="2"/>
    </font>
    <font>
      <sz val="10"/>
      <color theme="1"/>
      <name val="Courier"/>
    </font>
    <font>
      <sz val="14"/>
      <color theme="1"/>
      <name val="Arial"/>
      <family val="2"/>
    </font>
    <font>
      <b/>
      <sz val="10"/>
      <color theme="1"/>
      <name val="Arial"/>
      <family val="2"/>
    </font>
    <font>
      <b/>
      <u/>
      <sz val="12"/>
      <color theme="1"/>
      <name val="Arial"/>
      <family val="2"/>
    </font>
    <font>
      <u/>
      <sz val="12"/>
      <color theme="1"/>
      <name val="Arial"/>
      <family val="2"/>
    </font>
    <font>
      <b/>
      <u/>
      <sz val="12"/>
      <color theme="1"/>
      <name val="Calibri"/>
      <family val="2"/>
      <scheme val="minor"/>
    </font>
    <font>
      <b/>
      <sz val="12"/>
      <color theme="1"/>
      <name val="Calibri"/>
      <family val="2"/>
      <scheme val="minor"/>
    </font>
    <font>
      <sz val="10"/>
      <color theme="1"/>
      <name val="Calibri"/>
      <family val="2"/>
      <scheme val="minor"/>
    </font>
    <font>
      <sz val="14"/>
      <color theme="1"/>
      <name val="Calibri"/>
      <family val="2"/>
      <scheme val="minor"/>
    </font>
    <font>
      <b/>
      <u/>
      <sz val="10"/>
      <color theme="1"/>
      <name val="Calibri"/>
      <family val="2"/>
      <scheme val="minor"/>
    </font>
    <font>
      <b/>
      <u/>
      <sz val="10"/>
      <color theme="1"/>
      <name val="Arial"/>
      <family val="2"/>
    </font>
    <font>
      <i/>
      <sz val="10"/>
      <color theme="1"/>
      <name val="Arial"/>
      <family val="2"/>
    </font>
    <font>
      <i/>
      <sz val="12"/>
      <color theme="1"/>
      <name val="Arial"/>
      <family val="2"/>
    </font>
    <font>
      <b/>
      <i/>
      <sz val="10"/>
      <color theme="1"/>
      <name val="Arial"/>
      <family val="2"/>
    </font>
    <font>
      <u/>
      <sz val="10"/>
      <color theme="1"/>
      <name val="Arial"/>
      <family val="2"/>
    </font>
    <font>
      <sz val="12"/>
      <color theme="1"/>
      <name val="Courier"/>
      <family val="3"/>
    </font>
    <font>
      <b/>
      <u/>
      <sz val="10"/>
      <color theme="1"/>
      <name val="Courier"/>
      <family val="3"/>
    </font>
    <font>
      <b/>
      <sz val="14"/>
      <color theme="1"/>
      <name val="Arial"/>
      <family val="2"/>
    </font>
    <font>
      <sz val="12"/>
      <color theme="1"/>
      <name val="Calibri"/>
      <family val="2"/>
    </font>
    <font>
      <b/>
      <sz val="12"/>
      <color theme="1"/>
      <name val="Calibri"/>
      <family val="2"/>
    </font>
    <font>
      <b/>
      <u/>
      <sz val="12"/>
      <color theme="1"/>
      <name val="Courier"/>
      <family val="3"/>
    </font>
    <font>
      <b/>
      <sz val="13"/>
      <color theme="1"/>
      <name val="Arial"/>
      <family val="2"/>
    </font>
    <font>
      <u val="singleAccounting"/>
      <sz val="11"/>
      <color theme="1"/>
      <name val="Arial"/>
      <family val="2"/>
    </font>
    <font>
      <sz val="11"/>
      <color theme="1"/>
      <name val="Calibri"/>
      <family val="2"/>
    </font>
    <font>
      <sz val="10"/>
      <color theme="1"/>
      <name val="Courier"/>
      <family val="3"/>
    </font>
    <font>
      <sz val="14"/>
      <color theme="1"/>
      <name val="Courier"/>
      <family val="3"/>
    </font>
    <font>
      <b/>
      <i/>
      <sz val="12"/>
      <color theme="1"/>
      <name val="Arial"/>
      <family val="2"/>
    </font>
    <font>
      <b/>
      <u val="singleAccounting"/>
      <sz val="12"/>
      <color theme="1"/>
      <name val="Arial"/>
      <family val="2"/>
    </font>
    <font>
      <sz val="9"/>
      <color theme="1"/>
      <name val="Courier"/>
      <family val="3"/>
    </font>
    <font>
      <sz val="9"/>
      <color theme="1"/>
      <name val="Courier"/>
    </font>
    <font>
      <sz val="13"/>
      <color theme="1"/>
      <name val="Times New Roman"/>
      <family val="1"/>
    </font>
    <font>
      <b/>
      <i/>
      <sz val="12"/>
      <color theme="1"/>
      <name val="Calibri"/>
      <family val="2"/>
      <scheme val="minor"/>
    </font>
    <font>
      <sz val="8"/>
      <color theme="1"/>
      <name val="Courier"/>
      <family val="3"/>
    </font>
    <font>
      <sz val="8"/>
      <color theme="1"/>
      <name val="Courier"/>
    </font>
    <font>
      <u/>
      <sz val="9"/>
      <color theme="1"/>
      <name val="Courier"/>
      <family val="3"/>
    </font>
    <font>
      <sz val="8"/>
      <color theme="1"/>
      <name val="Calibri"/>
      <family val="2"/>
      <scheme val="minor"/>
    </font>
    <font>
      <b/>
      <sz val="8"/>
      <color theme="1"/>
      <name val="Calibri"/>
      <family val="2"/>
      <scheme val="minor"/>
    </font>
    <font>
      <b/>
      <sz val="9"/>
      <color theme="1"/>
      <name val="Calibri"/>
      <family val="2"/>
      <scheme val="minor"/>
    </font>
    <font>
      <sz val="9"/>
      <color theme="1"/>
      <name val="Calibri"/>
      <family val="2"/>
      <scheme val="minor"/>
    </font>
    <font>
      <sz val="8"/>
      <color theme="1"/>
      <name val="Arial"/>
      <family val="2"/>
    </font>
    <font>
      <u val="singleAccounting"/>
      <sz val="10"/>
      <color theme="1"/>
      <name val="Arial"/>
      <family val="2"/>
    </font>
    <font>
      <i/>
      <sz val="9"/>
      <color theme="1"/>
      <name val="Arial"/>
      <family val="2"/>
    </font>
    <font>
      <b/>
      <sz val="10"/>
      <color theme="1"/>
      <name val="Calibri"/>
      <family val="2"/>
      <scheme val="minor"/>
    </font>
    <font>
      <u/>
      <sz val="14"/>
      <color theme="1"/>
      <name val="Calibri"/>
      <family val="2"/>
      <scheme val="minor"/>
    </font>
    <font>
      <sz val="10"/>
      <color theme="1"/>
      <name val="Times New Roman"/>
      <family val="1"/>
    </font>
    <font>
      <b/>
      <sz val="10"/>
      <color theme="1"/>
      <name val="Times New Roman"/>
      <family val="1"/>
    </font>
    <font>
      <sz val="12"/>
      <color theme="1"/>
      <name val="Arial MT"/>
    </font>
    <font>
      <sz val="10"/>
      <color theme="1"/>
      <name val="Arial Narrow"/>
      <family val="2"/>
    </font>
    <font>
      <sz val="12"/>
      <color theme="1"/>
      <name val="Times New Roman"/>
      <family val="1"/>
    </font>
    <font>
      <sz val="12"/>
      <color theme="1"/>
      <name val="Arial Narrow"/>
      <family val="2"/>
    </font>
    <font>
      <b/>
      <sz val="16"/>
      <color theme="1"/>
      <name val="Calibri"/>
      <family val="2"/>
      <scheme val="minor"/>
    </font>
    <font>
      <strike/>
      <sz val="10"/>
      <color theme="1"/>
      <name val="Arial"/>
      <family val="2"/>
    </font>
    <font>
      <b/>
      <u/>
      <sz val="9"/>
      <color theme="1"/>
      <name val="Courier"/>
      <family val="3"/>
    </font>
    <font>
      <sz val="18"/>
      <color theme="1"/>
      <name val="Arial"/>
      <family val="2"/>
    </font>
    <font>
      <i/>
      <sz val="10"/>
      <color theme="1"/>
      <name val="Calibri"/>
      <family val="2"/>
      <scheme val="minor"/>
    </font>
    <font>
      <sz val="9"/>
      <color rgb="FF0000CC"/>
      <name val="Arial"/>
      <family val="2"/>
    </font>
    <font>
      <sz val="10"/>
      <color rgb="FF0000CC"/>
      <name val="Courier"/>
    </font>
    <font>
      <sz val="10"/>
      <color rgb="FFFF0000"/>
      <name val="Arial"/>
      <family val="2"/>
    </font>
    <font>
      <sz val="8"/>
      <name val="Courier"/>
    </font>
  </fonts>
  <fills count="45">
    <fill>
      <patternFill patternType="none"/>
    </fill>
    <fill>
      <patternFill patternType="gray125"/>
    </fill>
    <fill>
      <patternFill patternType="solid">
        <fgColor indexed="10"/>
        <bgColor indexed="64"/>
      </patternFill>
    </fill>
    <fill>
      <patternFill patternType="solid">
        <fgColor indexed="11"/>
        <bgColor indexed="64"/>
      </patternFill>
    </fill>
    <fill>
      <patternFill patternType="solid">
        <fgColor rgb="FFFFFF00"/>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rgb="FFFFFF99"/>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FF"/>
        <bgColor indexed="64"/>
      </patternFill>
    </fill>
    <fill>
      <patternFill patternType="solid">
        <fgColor rgb="FFFF0000"/>
        <bgColor indexed="64"/>
      </patternFill>
    </fill>
    <fill>
      <patternFill patternType="solid">
        <fgColor rgb="FFFFFF99"/>
        <bgColor rgb="FF000000"/>
      </patternFill>
    </fill>
  </fills>
  <borders count="52">
    <border>
      <left/>
      <right/>
      <top/>
      <bottom/>
      <diagonal/>
    </border>
    <border>
      <left style="thick">
        <color indexed="8"/>
      </left>
      <right style="thick">
        <color indexed="8"/>
      </right>
      <top style="thick">
        <color indexed="8"/>
      </top>
      <bottom style="thick">
        <color indexed="8"/>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top style="thick">
        <color auto="1"/>
      </top>
      <bottom style="thick">
        <color auto="1"/>
      </bottom>
      <diagonal/>
    </border>
    <border>
      <left style="thin">
        <color auto="1"/>
      </left>
      <right style="thin">
        <color indexed="64"/>
      </right>
      <top/>
      <bottom style="medium">
        <color auto="1"/>
      </bottom>
      <diagonal/>
    </border>
    <border>
      <left style="thin">
        <color auto="1"/>
      </left>
      <right/>
      <top/>
      <bottom style="medium">
        <color auto="1"/>
      </bottom>
      <diagonal/>
    </border>
    <border>
      <left style="medium">
        <color theme="1"/>
      </left>
      <right style="medium">
        <color theme="1"/>
      </right>
      <top style="medium">
        <color theme="1"/>
      </top>
      <bottom style="medium">
        <color theme="1"/>
      </bottom>
      <diagonal/>
    </border>
    <border>
      <left/>
      <right/>
      <top/>
      <bottom style="double">
        <color theme="1"/>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thin">
        <color indexed="64"/>
      </bottom>
      <diagonal/>
    </border>
    <border>
      <left/>
      <right/>
      <top style="medium">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style="thin">
        <color auto="1"/>
      </right>
      <top style="medium">
        <color auto="1"/>
      </top>
      <bottom/>
      <diagonal/>
    </border>
    <border>
      <left style="thin">
        <color indexed="63"/>
      </left>
      <right style="thin">
        <color indexed="63"/>
      </right>
      <top style="thin">
        <color indexed="63"/>
      </top>
      <bottom style="thin">
        <color indexed="63"/>
      </bottom>
      <diagonal/>
    </border>
    <border>
      <left style="thin">
        <color indexed="64"/>
      </left>
      <right/>
      <top style="medium">
        <color auto="1"/>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medium">
        <color auto="1"/>
      </top>
      <bottom style="medium">
        <color auto="1"/>
      </bottom>
      <diagonal/>
    </border>
  </borders>
  <cellStyleXfs count="934">
    <xf numFmtId="164" fontId="0" fillId="0" borderId="0"/>
    <xf numFmtId="43" fontId="23" fillId="0" borderId="0" applyFont="0" applyFill="0" applyBorder="0" applyAlignment="0" applyProtection="0"/>
    <xf numFmtId="44" fontId="23" fillId="0" borderId="0" applyFont="0" applyFill="0" applyBorder="0" applyAlignment="0" applyProtection="0"/>
    <xf numFmtId="0" fontId="26" fillId="0" borderId="0"/>
    <xf numFmtId="0" fontId="23" fillId="0" borderId="0"/>
    <xf numFmtId="0" fontId="21" fillId="0" borderId="0"/>
    <xf numFmtId="0" fontId="21" fillId="0" borderId="0"/>
    <xf numFmtId="9" fontId="23" fillId="0" borderId="0" applyFont="0" applyFill="0" applyBorder="0" applyAlignment="0" applyProtection="0"/>
    <xf numFmtId="0" fontId="28"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8"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0"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8" fillId="0" borderId="0" applyFont="0" applyFill="0" applyBorder="0" applyAlignment="0" applyProtection="0"/>
    <xf numFmtId="4" fontId="30" fillId="5" borderId="5" applyNumberFormat="0" applyProtection="0">
      <alignment vertical="center"/>
    </xf>
    <xf numFmtId="4" fontId="31" fillId="5" borderId="5" applyNumberFormat="0" applyProtection="0">
      <alignment vertical="center"/>
    </xf>
    <xf numFmtId="4" fontId="30" fillId="5" borderId="5" applyNumberFormat="0" applyProtection="0">
      <alignment horizontal="left" vertical="center" indent="1"/>
    </xf>
    <xf numFmtId="4" fontId="30" fillId="5" borderId="5" applyNumberFormat="0" applyProtection="0">
      <alignment horizontal="left" vertical="center" indent="1"/>
    </xf>
    <xf numFmtId="0" fontId="28" fillId="6" borderId="5" applyNumberFormat="0" applyProtection="0">
      <alignment horizontal="left" vertical="center" indent="1"/>
    </xf>
    <xf numFmtId="4" fontId="30" fillId="7" borderId="5" applyNumberFormat="0" applyProtection="0">
      <alignment horizontal="right" vertical="center"/>
    </xf>
    <xf numFmtId="4" fontId="30" fillId="8" borderId="5" applyNumberFormat="0" applyProtection="0">
      <alignment horizontal="right" vertical="center"/>
    </xf>
    <xf numFmtId="4" fontId="30" fillId="2" borderId="5" applyNumberFormat="0" applyProtection="0">
      <alignment horizontal="right" vertical="center"/>
    </xf>
    <xf numFmtId="4" fontId="30" fillId="9" borderId="5" applyNumberFormat="0" applyProtection="0">
      <alignment horizontal="right" vertical="center"/>
    </xf>
    <xf numFmtId="4" fontId="30" fillId="10" borderId="5" applyNumberFormat="0" applyProtection="0">
      <alignment horizontal="right" vertical="center"/>
    </xf>
    <xf numFmtId="4" fontId="30" fillId="11" borderId="5" applyNumberFormat="0" applyProtection="0">
      <alignment horizontal="right" vertical="center"/>
    </xf>
    <xf numFmtId="4" fontId="30" fillId="12" borderId="5" applyNumberFormat="0" applyProtection="0">
      <alignment horizontal="right" vertical="center"/>
    </xf>
    <xf numFmtId="4" fontId="30" fillId="13" borderId="5" applyNumberFormat="0" applyProtection="0">
      <alignment horizontal="right" vertical="center"/>
    </xf>
    <xf numFmtId="4" fontId="30" fillId="3" borderId="5" applyNumberFormat="0" applyProtection="0">
      <alignment horizontal="right" vertical="center"/>
    </xf>
    <xf numFmtId="4" fontId="20" fillId="14" borderId="5" applyNumberFormat="0" applyProtection="0">
      <alignment horizontal="left" vertical="center" indent="1"/>
    </xf>
    <xf numFmtId="4" fontId="30" fillId="15" borderId="6" applyNumberFormat="0" applyProtection="0">
      <alignment horizontal="left" vertical="center" indent="1"/>
    </xf>
    <xf numFmtId="4" fontId="19" fillId="16" borderId="0" applyNumberFormat="0" applyProtection="0">
      <alignment horizontal="left" vertical="center" indent="1"/>
    </xf>
    <xf numFmtId="0" fontId="28" fillId="6" borderId="5" applyNumberFormat="0" applyProtection="0">
      <alignment horizontal="left" vertical="center" indent="1"/>
    </xf>
    <xf numFmtId="4" fontId="30" fillId="15" borderId="5" applyNumberFormat="0" applyProtection="0">
      <alignment horizontal="left" vertical="center" indent="1"/>
    </xf>
    <xf numFmtId="4" fontId="30" fillId="17" borderId="5" applyNumberFormat="0" applyProtection="0">
      <alignment horizontal="left" vertical="center" indent="1"/>
    </xf>
    <xf numFmtId="0" fontId="28" fillId="17" borderId="5" applyNumberFormat="0" applyProtection="0">
      <alignment horizontal="left" vertical="center" indent="1"/>
    </xf>
    <xf numFmtId="0" fontId="28" fillId="17" borderId="5" applyNumberFormat="0" applyProtection="0">
      <alignment horizontal="left" vertical="center" indent="1"/>
    </xf>
    <xf numFmtId="0" fontId="28" fillId="18" borderId="5" applyNumberFormat="0" applyProtection="0">
      <alignment horizontal="left" vertical="center" indent="1"/>
    </xf>
    <xf numFmtId="0" fontId="28" fillId="18" borderId="5" applyNumberFormat="0" applyProtection="0">
      <alignment horizontal="left" vertical="center" indent="1"/>
    </xf>
    <xf numFmtId="0" fontId="28" fillId="19" borderId="5" applyNumberFormat="0" applyProtection="0">
      <alignment horizontal="left" vertical="center" indent="1"/>
    </xf>
    <xf numFmtId="0" fontId="28" fillId="19" borderId="5" applyNumberFormat="0" applyProtection="0">
      <alignment horizontal="left" vertical="center" indent="1"/>
    </xf>
    <xf numFmtId="0" fontId="28" fillId="6" borderId="5" applyNumberFormat="0" applyProtection="0">
      <alignment horizontal="left" vertical="center" indent="1"/>
    </xf>
    <xf numFmtId="0" fontId="28" fillId="6" borderId="5" applyNumberFormat="0" applyProtection="0">
      <alignment horizontal="left" vertical="center" indent="1"/>
    </xf>
    <xf numFmtId="4" fontId="30" fillId="20" borderId="5" applyNumberFormat="0" applyProtection="0">
      <alignment vertical="center"/>
    </xf>
    <xf numFmtId="4" fontId="31" fillId="20" borderId="5" applyNumberFormat="0" applyProtection="0">
      <alignment vertical="center"/>
    </xf>
    <xf numFmtId="4" fontId="30" fillId="20" borderId="5" applyNumberFormat="0" applyProtection="0">
      <alignment horizontal="left" vertical="center" indent="1"/>
    </xf>
    <xf numFmtId="4" fontId="30" fillId="20" borderId="5" applyNumberFormat="0" applyProtection="0">
      <alignment horizontal="left" vertical="center" indent="1"/>
    </xf>
    <xf numFmtId="4" fontId="30" fillId="15" borderId="5" applyNumberFormat="0" applyProtection="0">
      <alignment horizontal="right" vertical="center"/>
    </xf>
    <xf numFmtId="4" fontId="31" fillId="15" borderId="5" applyNumberFormat="0" applyProtection="0">
      <alignment horizontal="right" vertical="center"/>
    </xf>
    <xf numFmtId="0" fontId="28" fillId="6" borderId="5" applyNumberFormat="0" applyProtection="0">
      <alignment horizontal="left" vertical="center" indent="1"/>
    </xf>
    <xf numFmtId="0" fontId="28" fillId="6" borderId="5" applyNumberFormat="0" applyProtection="0">
      <alignment horizontal="left" vertical="center" indent="1"/>
    </xf>
    <xf numFmtId="0" fontId="32" fillId="0" borderId="0"/>
    <xf numFmtId="4" fontId="33" fillId="15" borderId="5" applyNumberFormat="0" applyProtection="0">
      <alignment horizontal="right" vertical="center"/>
    </xf>
    <xf numFmtId="0" fontId="22" fillId="0" borderId="0"/>
    <xf numFmtId="43" fontId="22" fillId="0" borderId="0" applyFont="0" applyFill="0" applyBorder="0" applyAlignment="0" applyProtection="0"/>
    <xf numFmtId="9" fontId="22"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xf numFmtId="0" fontId="18" fillId="0" borderId="0"/>
    <xf numFmtId="44" fontId="18" fillId="0" borderId="0" applyFont="0" applyFill="0" applyBorder="0" applyAlignment="0" applyProtection="0"/>
    <xf numFmtId="9" fontId="18" fillId="0" borderId="0" applyFont="0" applyFill="0" applyBorder="0" applyAlignment="0" applyProtection="0"/>
    <xf numFmtId="43" fontId="28" fillId="0" borderId="0" applyFont="0" applyFill="0" applyBorder="0" applyAlignment="0" applyProtection="0"/>
    <xf numFmtId="43" fontId="22" fillId="0" borderId="0" applyFont="0" applyFill="0" applyBorder="0" applyAlignment="0" applyProtection="0"/>
    <xf numFmtId="0" fontId="18" fillId="0" borderId="0"/>
    <xf numFmtId="0" fontId="22" fillId="0" borderId="0"/>
    <xf numFmtId="0" fontId="28" fillId="0" borderId="0"/>
    <xf numFmtId="9" fontId="22"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0" fontId="17" fillId="0" borderId="0"/>
    <xf numFmtId="44" fontId="17" fillId="0" borderId="0" applyFont="0" applyFill="0" applyBorder="0" applyAlignment="0" applyProtection="0"/>
    <xf numFmtId="0" fontId="28" fillId="6" borderId="5" applyNumberFormat="0" applyProtection="0">
      <alignment horizontal="left" vertical="center" indent="1"/>
    </xf>
    <xf numFmtId="0" fontId="28" fillId="6" borderId="5" applyNumberFormat="0" applyProtection="0">
      <alignment horizontal="left" vertical="center" indent="1"/>
    </xf>
    <xf numFmtId="0" fontId="28" fillId="6" borderId="5" applyNumberFormat="0" applyProtection="0">
      <alignment horizontal="left" vertical="center" indent="1"/>
    </xf>
    <xf numFmtId="4" fontId="19" fillId="16" borderId="0" applyNumberFormat="0" applyProtection="0">
      <alignment horizontal="left" vertical="center" indent="1"/>
    </xf>
    <xf numFmtId="0" fontId="28" fillId="6" borderId="5" applyNumberFormat="0" applyProtection="0">
      <alignment horizontal="left" vertical="center" indent="1"/>
    </xf>
    <xf numFmtId="0" fontId="28" fillId="6" borderId="5" applyNumberFormat="0" applyProtection="0">
      <alignment horizontal="left" vertical="center" indent="1"/>
    </xf>
    <xf numFmtId="4" fontId="30" fillId="15" borderId="5" applyNumberFormat="0" applyProtection="0">
      <alignment horizontal="left" vertical="center" indent="1"/>
    </xf>
    <xf numFmtId="4" fontId="30" fillId="17" borderId="5" applyNumberFormat="0" applyProtection="0">
      <alignment horizontal="left" vertical="center" indent="1"/>
    </xf>
    <xf numFmtId="0" fontId="28" fillId="17" borderId="5" applyNumberFormat="0" applyProtection="0">
      <alignment horizontal="left" vertical="center" indent="1"/>
    </xf>
    <xf numFmtId="0" fontId="28" fillId="17" borderId="5" applyNumberFormat="0" applyProtection="0">
      <alignment horizontal="left" vertical="center" indent="1"/>
    </xf>
    <xf numFmtId="0" fontId="28" fillId="17" borderId="5" applyNumberFormat="0" applyProtection="0">
      <alignment horizontal="left" vertical="center" indent="1"/>
    </xf>
    <xf numFmtId="0" fontId="28" fillId="17" borderId="5" applyNumberFormat="0" applyProtection="0">
      <alignment horizontal="left" vertical="center" indent="1"/>
    </xf>
    <xf numFmtId="0" fontId="28" fillId="18" borderId="5" applyNumberFormat="0" applyProtection="0">
      <alignment horizontal="left" vertical="center" indent="1"/>
    </xf>
    <xf numFmtId="0" fontId="28" fillId="18" borderId="5" applyNumberFormat="0" applyProtection="0">
      <alignment horizontal="left" vertical="center" indent="1"/>
    </xf>
    <xf numFmtId="0" fontId="28" fillId="18" borderId="5" applyNumberFormat="0" applyProtection="0">
      <alignment horizontal="left" vertical="center" indent="1"/>
    </xf>
    <xf numFmtId="0" fontId="28" fillId="18" borderId="5" applyNumberFormat="0" applyProtection="0">
      <alignment horizontal="left" vertical="center" indent="1"/>
    </xf>
    <xf numFmtId="0" fontId="28" fillId="19" borderId="5" applyNumberFormat="0" applyProtection="0">
      <alignment horizontal="left" vertical="center" indent="1"/>
    </xf>
    <xf numFmtId="0" fontId="28" fillId="19" borderId="5" applyNumberFormat="0" applyProtection="0">
      <alignment horizontal="left" vertical="center" indent="1"/>
    </xf>
    <xf numFmtId="0" fontId="28" fillId="19" borderId="5" applyNumberFormat="0" applyProtection="0">
      <alignment horizontal="left" vertical="center" indent="1"/>
    </xf>
    <xf numFmtId="0" fontId="28" fillId="19" borderId="5" applyNumberFormat="0" applyProtection="0">
      <alignment horizontal="left" vertical="center" indent="1"/>
    </xf>
    <xf numFmtId="0" fontId="28" fillId="6" borderId="5" applyNumberFormat="0" applyProtection="0">
      <alignment horizontal="left" vertical="center" indent="1"/>
    </xf>
    <xf numFmtId="0" fontId="28" fillId="6" borderId="5" applyNumberFormat="0" applyProtection="0">
      <alignment horizontal="left" vertical="center" indent="1"/>
    </xf>
    <xf numFmtId="0" fontId="28" fillId="6" borderId="5" applyNumberFormat="0" applyProtection="0">
      <alignment horizontal="left" vertical="center" indent="1"/>
    </xf>
    <xf numFmtId="0" fontId="28" fillId="6" borderId="5" applyNumberFormat="0" applyProtection="0">
      <alignment horizontal="left" vertical="center" indent="1"/>
    </xf>
    <xf numFmtId="0" fontId="28" fillId="6" borderId="5" applyNumberFormat="0" applyProtection="0">
      <alignment horizontal="left" vertical="center" indent="1"/>
    </xf>
    <xf numFmtId="0" fontId="28" fillId="6" borderId="5" applyNumberFormat="0" applyProtection="0">
      <alignment horizontal="left" vertical="center" indent="1"/>
    </xf>
    <xf numFmtId="0" fontId="28" fillId="6" borderId="5" applyNumberFormat="0" applyProtection="0">
      <alignment horizontal="left" vertical="center" indent="1"/>
    </xf>
    <xf numFmtId="0" fontId="32" fillId="0" borderId="0"/>
    <xf numFmtId="0" fontId="37" fillId="0" borderId="0"/>
    <xf numFmtId="164" fontId="34" fillId="0" borderId="0"/>
    <xf numFmtId="43" fontId="34" fillId="0" borderId="0" applyFont="0" applyFill="0" applyBorder="0" applyAlignment="0" applyProtection="0"/>
    <xf numFmtId="0" fontId="18" fillId="0" borderId="0"/>
    <xf numFmtId="0" fontId="39" fillId="0" borderId="0"/>
    <xf numFmtId="0" fontId="40" fillId="0" borderId="0" applyNumberFormat="0" applyFill="0" applyBorder="0" applyAlignment="0" applyProtection="0">
      <alignment vertical="top"/>
      <protection locked="0"/>
    </xf>
    <xf numFmtId="0" fontId="16" fillId="0" borderId="0"/>
    <xf numFmtId="4" fontId="20" fillId="23" borderId="14" applyNumberFormat="0" applyProtection="0">
      <alignment vertical="center"/>
    </xf>
    <xf numFmtId="4" fontId="41" fillId="5" borderId="14" applyNumberFormat="0" applyProtection="0">
      <alignment vertical="center"/>
    </xf>
    <xf numFmtId="4" fontId="20" fillId="5" borderId="14" applyNumberFormat="0" applyProtection="0">
      <alignment horizontal="left" vertical="center" indent="1"/>
    </xf>
    <xf numFmtId="0" fontId="20" fillId="5" borderId="14" applyNumberFormat="0" applyProtection="0">
      <alignment horizontal="left" vertical="top" indent="1"/>
    </xf>
    <xf numFmtId="4" fontId="20" fillId="24" borderId="0" applyNumberFormat="0" applyProtection="0">
      <alignment horizontal="left" vertical="center" indent="1"/>
    </xf>
    <xf numFmtId="4" fontId="30" fillId="25" borderId="14" applyNumberFormat="0" applyProtection="0">
      <alignment horizontal="right" vertical="center"/>
    </xf>
    <xf numFmtId="4" fontId="30" fillId="26" borderId="14" applyNumberFormat="0" applyProtection="0">
      <alignment horizontal="right" vertical="center"/>
    </xf>
    <xf numFmtId="4" fontId="30" fillId="27" borderId="14" applyNumberFormat="0" applyProtection="0">
      <alignment horizontal="right" vertical="center"/>
    </xf>
    <xf numFmtId="4" fontId="30" fillId="28" borderId="14" applyNumberFormat="0" applyProtection="0">
      <alignment horizontal="right" vertical="center"/>
    </xf>
    <xf numFmtId="4" fontId="30" fillId="29" borderId="14" applyNumberFormat="0" applyProtection="0">
      <alignment horizontal="right" vertical="center"/>
    </xf>
    <xf numFmtId="4" fontId="30" fillId="30" borderId="14" applyNumberFormat="0" applyProtection="0">
      <alignment horizontal="right" vertical="center"/>
    </xf>
    <xf numFmtId="4" fontId="30" fillId="31" borderId="14" applyNumberFormat="0" applyProtection="0">
      <alignment horizontal="right" vertical="center"/>
    </xf>
    <xf numFmtId="4" fontId="30" fillId="32" borderId="14" applyNumberFormat="0" applyProtection="0">
      <alignment horizontal="right" vertical="center"/>
    </xf>
    <xf numFmtId="4" fontId="30" fillId="33" borderId="14" applyNumberFormat="0" applyProtection="0">
      <alignment horizontal="right" vertical="center"/>
    </xf>
    <xf numFmtId="4" fontId="20" fillId="34" borderId="15" applyNumberFormat="0" applyProtection="0">
      <alignment horizontal="left" vertical="center" indent="1"/>
    </xf>
    <xf numFmtId="4" fontId="30" fillId="35" borderId="0" applyNumberFormat="0" applyProtection="0">
      <alignment horizontal="left" vertical="center" indent="1"/>
    </xf>
    <xf numFmtId="4" fontId="30" fillId="36" borderId="14" applyNumberFormat="0" applyProtection="0">
      <alignment horizontal="right" vertical="center"/>
    </xf>
    <xf numFmtId="0" fontId="28" fillId="16" borderId="14" applyNumberFormat="0" applyProtection="0">
      <alignment horizontal="left" vertical="center" indent="1"/>
    </xf>
    <xf numFmtId="0" fontId="28" fillId="16" borderId="14" applyNumberFormat="0" applyProtection="0">
      <alignment horizontal="left" vertical="top" indent="1"/>
    </xf>
    <xf numFmtId="0" fontId="28" fillId="24" borderId="14" applyNumberFormat="0" applyProtection="0">
      <alignment horizontal="left" vertical="center" indent="1"/>
    </xf>
    <xf numFmtId="0" fontId="28" fillId="24" borderId="14" applyNumberFormat="0" applyProtection="0">
      <alignment horizontal="left" vertical="top" indent="1"/>
    </xf>
    <xf numFmtId="0" fontId="28" fillId="37" borderId="14" applyNumberFormat="0" applyProtection="0">
      <alignment horizontal="left" vertical="center" indent="1"/>
    </xf>
    <xf numFmtId="0" fontId="28" fillId="37" borderId="14" applyNumberFormat="0" applyProtection="0">
      <alignment horizontal="left" vertical="top" indent="1"/>
    </xf>
    <xf numFmtId="0" fontId="28" fillId="38" borderId="14" applyNumberFormat="0" applyProtection="0">
      <alignment horizontal="left" vertical="center" indent="1"/>
    </xf>
    <xf numFmtId="0" fontId="28" fillId="38" borderId="14" applyNumberFormat="0" applyProtection="0">
      <alignment horizontal="left" vertical="top" indent="1"/>
    </xf>
    <xf numFmtId="4" fontId="30" fillId="20" borderId="14" applyNumberFormat="0" applyProtection="0">
      <alignment vertical="center"/>
    </xf>
    <xf numFmtId="4" fontId="31" fillId="20" borderId="14" applyNumberFormat="0" applyProtection="0">
      <alignment vertical="center"/>
    </xf>
    <xf numFmtId="4" fontId="30" fillId="20" borderId="14" applyNumberFormat="0" applyProtection="0">
      <alignment horizontal="left" vertical="center" indent="1"/>
    </xf>
    <xf numFmtId="0" fontId="30" fillId="20" borderId="14" applyNumberFormat="0" applyProtection="0">
      <alignment horizontal="left" vertical="top" indent="1"/>
    </xf>
    <xf numFmtId="4" fontId="30" fillId="35" borderId="14" applyNumberFormat="0" applyProtection="0">
      <alignment horizontal="right" vertical="center"/>
    </xf>
    <xf numFmtId="4" fontId="31" fillId="35" borderId="14" applyNumberFormat="0" applyProtection="0">
      <alignment horizontal="right" vertical="center"/>
    </xf>
    <xf numFmtId="4" fontId="30" fillId="36" borderId="14" applyNumberFormat="0" applyProtection="0">
      <alignment horizontal="left" vertical="center" indent="1"/>
    </xf>
    <xf numFmtId="0" fontId="30" fillId="24" borderId="14" applyNumberFormat="0" applyProtection="0">
      <alignment horizontal="left" vertical="top" indent="1"/>
    </xf>
    <xf numFmtId="4" fontId="33" fillId="35" borderId="14" applyNumberFormat="0" applyProtection="0">
      <alignment horizontal="right" vertical="center"/>
    </xf>
    <xf numFmtId="0" fontId="16" fillId="0" borderId="0"/>
    <xf numFmtId="4" fontId="30" fillId="5" borderId="16" applyNumberFormat="0" applyProtection="0">
      <alignment horizontal="left" vertical="center" indent="1"/>
    </xf>
    <xf numFmtId="0" fontId="28" fillId="6" borderId="16" applyNumberFormat="0" applyProtection="0">
      <alignment horizontal="left" vertical="center" indent="1"/>
    </xf>
    <xf numFmtId="0" fontId="28" fillId="6" borderId="16" applyNumberFormat="0" applyProtection="0">
      <alignment horizontal="left" vertical="center" inden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4" fontId="2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30" fillId="5" borderId="16" applyNumberFormat="0" applyProtection="0">
      <alignment vertical="center"/>
    </xf>
    <xf numFmtId="4" fontId="31" fillId="5" borderId="16" applyNumberFormat="0" applyProtection="0">
      <alignment vertical="center"/>
    </xf>
    <xf numFmtId="4" fontId="30" fillId="5" borderId="16" applyNumberFormat="0" applyProtection="0">
      <alignment horizontal="left" vertical="center" indent="1"/>
    </xf>
    <xf numFmtId="4" fontId="30" fillId="7" borderId="16" applyNumberFormat="0" applyProtection="0">
      <alignment horizontal="right" vertical="center"/>
    </xf>
    <xf numFmtId="4" fontId="30" fillId="8" borderId="16" applyNumberFormat="0" applyProtection="0">
      <alignment horizontal="right" vertical="center"/>
    </xf>
    <xf numFmtId="4" fontId="30" fillId="2" borderId="16" applyNumberFormat="0" applyProtection="0">
      <alignment horizontal="right" vertical="center"/>
    </xf>
    <xf numFmtId="4" fontId="30" fillId="9" borderId="16" applyNumberFormat="0" applyProtection="0">
      <alignment horizontal="right" vertical="center"/>
    </xf>
    <xf numFmtId="4" fontId="30" fillId="10" borderId="16" applyNumberFormat="0" applyProtection="0">
      <alignment horizontal="right" vertical="center"/>
    </xf>
    <xf numFmtId="4" fontId="30" fillId="11" borderId="16" applyNumberFormat="0" applyProtection="0">
      <alignment horizontal="right" vertical="center"/>
    </xf>
    <xf numFmtId="4" fontId="30" fillId="12" borderId="16" applyNumberFormat="0" applyProtection="0">
      <alignment horizontal="right" vertical="center"/>
    </xf>
    <xf numFmtId="4" fontId="30" fillId="13" borderId="16" applyNumberFormat="0" applyProtection="0">
      <alignment horizontal="right" vertical="center"/>
    </xf>
    <xf numFmtId="4" fontId="30" fillId="3" borderId="16" applyNumberFormat="0" applyProtection="0">
      <alignment horizontal="right" vertical="center"/>
    </xf>
    <xf numFmtId="4" fontId="20" fillId="14" borderId="16" applyNumberFormat="0" applyProtection="0">
      <alignment horizontal="left" vertical="center" indent="1"/>
    </xf>
    <xf numFmtId="0" fontId="28" fillId="6" borderId="16" applyNumberFormat="0" applyProtection="0">
      <alignment horizontal="left" vertical="center" indent="1"/>
    </xf>
    <xf numFmtId="4" fontId="30" fillId="15" borderId="16" applyNumberFormat="0" applyProtection="0">
      <alignment horizontal="left" vertical="center" indent="1"/>
    </xf>
    <xf numFmtId="4" fontId="30" fillId="17" borderId="16" applyNumberFormat="0" applyProtection="0">
      <alignment horizontal="left" vertical="center" indent="1"/>
    </xf>
    <xf numFmtId="0" fontId="28" fillId="17" borderId="16" applyNumberFormat="0" applyProtection="0">
      <alignment horizontal="left" vertical="center" indent="1"/>
    </xf>
    <xf numFmtId="0" fontId="28" fillId="17" borderId="16" applyNumberFormat="0" applyProtection="0">
      <alignment horizontal="left" vertical="center" indent="1"/>
    </xf>
    <xf numFmtId="0" fontId="28" fillId="18" borderId="16" applyNumberFormat="0" applyProtection="0">
      <alignment horizontal="left" vertical="center" indent="1"/>
    </xf>
    <xf numFmtId="0" fontId="28" fillId="18" borderId="16" applyNumberFormat="0" applyProtection="0">
      <alignment horizontal="left" vertical="center" indent="1"/>
    </xf>
    <xf numFmtId="0" fontId="28" fillId="19" borderId="16" applyNumberFormat="0" applyProtection="0">
      <alignment horizontal="left" vertical="center" indent="1"/>
    </xf>
    <xf numFmtId="0" fontId="28" fillId="19" borderId="16" applyNumberFormat="0" applyProtection="0">
      <alignment horizontal="left" vertical="center" indent="1"/>
    </xf>
    <xf numFmtId="0" fontId="28" fillId="6" borderId="16" applyNumberFormat="0" applyProtection="0">
      <alignment horizontal="left" vertical="center" indent="1"/>
    </xf>
    <xf numFmtId="0" fontId="28" fillId="6" borderId="16" applyNumberFormat="0" applyProtection="0">
      <alignment horizontal="left" vertical="center" indent="1"/>
    </xf>
    <xf numFmtId="4" fontId="30" fillId="20" borderId="16" applyNumberFormat="0" applyProtection="0">
      <alignment vertical="center"/>
    </xf>
    <xf numFmtId="4" fontId="31" fillId="20" borderId="16" applyNumberFormat="0" applyProtection="0">
      <alignment vertical="center"/>
    </xf>
    <xf numFmtId="4" fontId="30" fillId="20" borderId="16" applyNumberFormat="0" applyProtection="0">
      <alignment horizontal="left" vertical="center" indent="1"/>
    </xf>
    <xf numFmtId="4" fontId="30" fillId="20" borderId="16" applyNumberFormat="0" applyProtection="0">
      <alignment horizontal="left" vertical="center" indent="1"/>
    </xf>
    <xf numFmtId="4" fontId="30" fillId="15" borderId="16" applyNumberFormat="0" applyProtection="0">
      <alignment horizontal="right" vertical="center"/>
    </xf>
    <xf numFmtId="4" fontId="31" fillId="15" borderId="16" applyNumberFormat="0" applyProtection="0">
      <alignment horizontal="right" vertical="center"/>
    </xf>
    <xf numFmtId="0" fontId="28" fillId="6" borderId="16" applyNumberFormat="0" applyProtection="0">
      <alignment horizontal="left" vertical="center" indent="1"/>
    </xf>
    <xf numFmtId="4" fontId="33" fillId="15" borderId="16" applyNumberFormat="0" applyProtection="0">
      <alignment horizontal="right" vertical="center"/>
    </xf>
    <xf numFmtId="43" fontId="16" fillId="0" borderId="0" applyFont="0" applyFill="0" applyBorder="0" applyAlignment="0" applyProtection="0"/>
    <xf numFmtId="9" fontId="16"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0" fontId="15" fillId="0" borderId="0"/>
    <xf numFmtId="44" fontId="15" fillId="0" borderId="0" applyFont="0" applyFill="0" applyBorder="0" applyAlignment="0" applyProtection="0"/>
    <xf numFmtId="43" fontId="16" fillId="0" borderId="0" applyFont="0" applyFill="0" applyBorder="0" applyAlignment="0" applyProtection="0"/>
    <xf numFmtId="0" fontId="16" fillId="0" borderId="0"/>
    <xf numFmtId="0" fontId="28" fillId="6" borderId="16" applyNumberFormat="0" applyProtection="0">
      <alignment horizontal="left" vertical="center" indent="1"/>
    </xf>
    <xf numFmtId="4" fontId="30" fillId="15" borderId="16" applyNumberFormat="0" applyProtection="0">
      <alignment horizontal="left" vertical="center" indent="1"/>
    </xf>
    <xf numFmtId="4" fontId="30" fillId="17" borderId="16" applyNumberFormat="0" applyProtection="0">
      <alignment horizontal="left" vertical="center" indent="1"/>
    </xf>
    <xf numFmtId="0" fontId="28" fillId="17" borderId="16" applyNumberFormat="0" applyProtection="0">
      <alignment horizontal="left" vertical="center" indent="1"/>
    </xf>
    <xf numFmtId="0" fontId="28" fillId="17" borderId="16" applyNumberFormat="0" applyProtection="0">
      <alignment horizontal="left" vertical="center" indent="1"/>
    </xf>
    <xf numFmtId="0" fontId="28" fillId="18" borderId="16" applyNumberFormat="0" applyProtection="0">
      <alignment horizontal="left" vertical="center" indent="1"/>
    </xf>
    <xf numFmtId="0" fontId="28" fillId="18" borderId="16" applyNumberFormat="0" applyProtection="0">
      <alignment horizontal="left" vertical="center" indent="1"/>
    </xf>
    <xf numFmtId="0" fontId="28" fillId="19" borderId="16" applyNumberFormat="0" applyProtection="0">
      <alignment horizontal="left" vertical="center" indent="1"/>
    </xf>
    <xf numFmtId="0" fontId="28" fillId="19" borderId="16" applyNumberFormat="0" applyProtection="0">
      <alignment horizontal="left" vertical="center" indent="1"/>
    </xf>
    <xf numFmtId="0" fontId="28" fillId="6" borderId="16" applyNumberFormat="0" applyProtection="0">
      <alignment horizontal="left" vertical="center" indent="1"/>
    </xf>
    <xf numFmtId="0" fontId="28" fillId="6" borderId="16" applyNumberFormat="0" applyProtection="0">
      <alignment horizontal="left" vertical="center" indent="1"/>
    </xf>
    <xf numFmtId="0" fontId="28" fillId="6" borderId="16" applyNumberFormat="0" applyProtection="0">
      <alignment horizontal="left" vertical="center" indent="1"/>
    </xf>
    <xf numFmtId="0" fontId="16" fillId="0" borderId="0"/>
    <xf numFmtId="0" fontId="28" fillId="0" borderId="0"/>
    <xf numFmtId="0" fontId="28" fillId="0" borderId="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1" fillId="0" borderId="0"/>
    <xf numFmtId="43" fontId="11" fillId="0" borderId="0" applyFont="0" applyFill="0" applyBorder="0" applyAlignment="0" applyProtection="0"/>
    <xf numFmtId="175" fontId="42" fillId="0" borderId="0" applyProtection="0"/>
    <xf numFmtId="0" fontId="28" fillId="0" borderId="0"/>
    <xf numFmtId="43" fontId="15" fillId="0" borderId="0" applyFont="0" applyFill="0" applyBorder="0" applyAlignment="0" applyProtection="0"/>
    <xf numFmtId="9" fontId="28" fillId="0" borderId="0" applyFont="0" applyFill="0" applyBorder="0" applyAlignment="0" applyProtection="0"/>
    <xf numFmtId="175" fontId="42" fillId="0" borderId="0" applyProtection="0"/>
    <xf numFmtId="175" fontId="42" fillId="0" borderId="0" applyProtection="0"/>
    <xf numFmtId="0" fontId="10" fillId="0" borderId="0"/>
    <xf numFmtId="175" fontId="42" fillId="0" borderId="0" applyProtection="0"/>
    <xf numFmtId="44" fontId="28" fillId="0" borderId="0" applyFont="0" applyFill="0" applyBorder="0" applyAlignment="0" applyProtection="0"/>
    <xf numFmtId="0" fontId="28" fillId="0" borderId="0"/>
    <xf numFmtId="0" fontId="42" fillId="0" borderId="0" applyProtection="0"/>
    <xf numFmtId="0" fontId="9" fillId="0" borderId="0"/>
    <xf numFmtId="0" fontId="28" fillId="6" borderId="20" applyNumberFormat="0" applyProtection="0">
      <alignment horizontal="left" vertical="center" indent="1"/>
    </xf>
    <xf numFmtId="0" fontId="28" fillId="6" borderId="20" applyNumberFormat="0" applyProtection="0">
      <alignment horizontal="left" vertical="center" indent="1"/>
    </xf>
    <xf numFmtId="4" fontId="30" fillId="5" borderId="20" applyNumberFormat="0" applyProtection="0">
      <alignment horizontal="left" vertical="center" indent="1"/>
    </xf>
    <xf numFmtId="0" fontId="28" fillId="6" borderId="20" applyNumberFormat="0" applyProtection="0">
      <alignment horizontal="left" vertical="center" indent="1"/>
    </xf>
    <xf numFmtId="4" fontId="30" fillId="15" borderId="20" applyNumberFormat="0" applyProtection="0">
      <alignment horizontal="right" vertical="center"/>
    </xf>
    <xf numFmtId="4" fontId="30" fillId="5" borderId="20" applyNumberFormat="0" applyProtection="0">
      <alignment vertical="center"/>
    </xf>
    <xf numFmtId="0" fontId="28" fillId="0" borderId="0"/>
    <xf numFmtId="0" fontId="28" fillId="0" borderId="0"/>
    <xf numFmtId="4" fontId="30" fillId="5" borderId="20" applyNumberFormat="0" applyProtection="0">
      <alignment horizontal="left" vertical="center" indent="1"/>
    </xf>
    <xf numFmtId="43" fontId="34" fillId="0" borderId="0" applyFont="0" applyFill="0" applyBorder="0" applyAlignment="0" applyProtection="0"/>
    <xf numFmtId="44" fontId="34" fillId="0" borderId="0" applyFont="0" applyFill="0" applyBorder="0" applyAlignment="0" applyProtection="0"/>
    <xf numFmtId="164" fontId="34" fillId="0" borderId="0"/>
    <xf numFmtId="164" fontId="34" fillId="0" borderId="0"/>
    <xf numFmtId="164" fontId="34" fillId="0" borderId="0"/>
    <xf numFmtId="164" fontId="34" fillId="0" borderId="0"/>
    <xf numFmtId="164" fontId="34" fillId="0" borderId="0"/>
    <xf numFmtId="164" fontId="34" fillId="0" borderId="0"/>
    <xf numFmtId="164" fontId="34" fillId="0" borderId="0"/>
    <xf numFmtId="9" fontId="34" fillId="0" borderId="0" applyFont="0" applyFill="0" applyBorder="0" applyAlignment="0" applyProtection="0"/>
    <xf numFmtId="0" fontId="43" fillId="0" borderId="0"/>
    <xf numFmtId="0" fontId="28" fillId="0" borderId="0"/>
    <xf numFmtId="182" fontId="44" fillId="0" borderId="0" applyFill="0" applyBorder="0" applyAlignment="0" applyProtection="0"/>
    <xf numFmtId="0" fontId="43" fillId="0" borderId="0"/>
    <xf numFmtId="43" fontId="28" fillId="0" borderId="0" applyFont="0" applyFill="0" applyBorder="0" applyAlignment="0" applyProtection="0"/>
    <xf numFmtId="0" fontId="8" fillId="0" borderId="0"/>
    <xf numFmtId="0" fontId="8" fillId="0" borderId="0"/>
    <xf numFmtId="0" fontId="43" fillId="0" borderId="0"/>
    <xf numFmtId="43" fontId="43" fillId="0" borderId="0" applyFont="0" applyFill="0" applyBorder="0" applyAlignment="0" applyProtection="0"/>
    <xf numFmtId="43" fontId="4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85" fontId="44" fillId="0" borderId="2" applyNumberFormat="0" applyFill="0" applyAlignment="0" applyProtection="0">
      <alignment horizontal="center"/>
    </xf>
    <xf numFmtId="186" fontId="44" fillId="0" borderId="17" applyFill="0" applyAlignment="0" applyProtection="0">
      <alignment horizontal="center"/>
    </xf>
    <xf numFmtId="0" fontId="44" fillId="0" borderId="0" applyNumberFormat="0" applyFill="0" applyAlignment="0" applyProtection="0"/>
    <xf numFmtId="0" fontId="44" fillId="0" borderId="17" applyNumberFormat="0" applyFill="0" applyAlignment="0" applyProtection="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30" fillId="5" borderId="26" applyNumberFormat="0" applyProtection="0">
      <alignment vertical="center"/>
    </xf>
    <xf numFmtId="4" fontId="31" fillId="5" borderId="26" applyNumberFormat="0" applyProtection="0">
      <alignment vertical="center"/>
    </xf>
    <xf numFmtId="4" fontId="30" fillId="5" borderId="26" applyNumberFormat="0" applyProtection="0">
      <alignment horizontal="left" vertical="center" indent="1"/>
    </xf>
    <xf numFmtId="4" fontId="30" fillId="5" borderId="26" applyNumberFormat="0" applyProtection="0">
      <alignment horizontal="left" vertical="center" indent="1"/>
    </xf>
    <xf numFmtId="0" fontId="28" fillId="6" borderId="26" applyNumberFormat="0" applyProtection="0">
      <alignment horizontal="left" vertical="center" indent="1"/>
    </xf>
    <xf numFmtId="4" fontId="30" fillId="7" borderId="26" applyNumberFormat="0" applyProtection="0">
      <alignment horizontal="right" vertical="center"/>
    </xf>
    <xf numFmtId="4" fontId="30" fillId="8" borderId="26" applyNumberFormat="0" applyProtection="0">
      <alignment horizontal="right" vertical="center"/>
    </xf>
    <xf numFmtId="4" fontId="30" fillId="2" borderId="26" applyNumberFormat="0" applyProtection="0">
      <alignment horizontal="right" vertical="center"/>
    </xf>
    <xf numFmtId="4" fontId="30" fillId="9" borderId="26" applyNumberFormat="0" applyProtection="0">
      <alignment horizontal="right" vertical="center"/>
    </xf>
    <xf numFmtId="4" fontId="30" fillId="10" borderId="26" applyNumberFormat="0" applyProtection="0">
      <alignment horizontal="right" vertical="center"/>
    </xf>
    <xf numFmtId="4" fontId="30" fillId="11" borderId="26" applyNumberFormat="0" applyProtection="0">
      <alignment horizontal="right" vertical="center"/>
    </xf>
    <xf numFmtId="4" fontId="30" fillId="12" borderId="26" applyNumberFormat="0" applyProtection="0">
      <alignment horizontal="right" vertical="center"/>
    </xf>
    <xf numFmtId="4" fontId="30" fillId="13" borderId="26" applyNumberFormat="0" applyProtection="0">
      <alignment horizontal="right" vertical="center"/>
    </xf>
    <xf numFmtId="4" fontId="30" fillId="3" borderId="26" applyNumberFormat="0" applyProtection="0">
      <alignment horizontal="right" vertical="center"/>
    </xf>
    <xf numFmtId="4" fontId="20" fillId="14" borderId="26" applyNumberFormat="0" applyProtection="0">
      <alignment horizontal="left" vertical="center" indent="1"/>
    </xf>
    <xf numFmtId="4" fontId="30" fillId="15" borderId="27" applyNumberFormat="0" applyProtection="0">
      <alignment horizontal="left" vertical="center" indent="1"/>
    </xf>
    <xf numFmtId="0" fontId="28" fillId="6" borderId="26" applyNumberFormat="0" applyProtection="0">
      <alignment horizontal="left" vertical="center" indent="1"/>
    </xf>
    <xf numFmtId="4" fontId="30" fillId="15" borderId="26" applyNumberFormat="0" applyProtection="0">
      <alignment horizontal="left" vertical="center" indent="1"/>
    </xf>
    <xf numFmtId="4" fontId="30" fillId="17" borderId="26" applyNumberFormat="0" applyProtection="0">
      <alignment horizontal="left" vertical="center" indent="1"/>
    </xf>
    <xf numFmtId="0" fontId="28" fillId="17" borderId="26" applyNumberFormat="0" applyProtection="0">
      <alignment horizontal="left" vertical="center" indent="1"/>
    </xf>
    <xf numFmtId="0" fontId="28" fillId="17" borderId="26" applyNumberFormat="0" applyProtection="0">
      <alignment horizontal="left" vertical="center" indent="1"/>
    </xf>
    <xf numFmtId="0" fontId="28" fillId="18" borderId="26" applyNumberFormat="0" applyProtection="0">
      <alignment horizontal="left" vertical="center" indent="1"/>
    </xf>
    <xf numFmtId="0" fontId="28" fillId="18" borderId="26" applyNumberFormat="0" applyProtection="0">
      <alignment horizontal="left" vertical="center" indent="1"/>
    </xf>
    <xf numFmtId="0" fontId="28" fillId="19" borderId="26" applyNumberFormat="0" applyProtection="0">
      <alignment horizontal="left" vertical="center" indent="1"/>
    </xf>
    <xf numFmtId="0" fontId="28" fillId="19" borderId="26" applyNumberFormat="0" applyProtection="0">
      <alignment horizontal="left" vertical="center" indent="1"/>
    </xf>
    <xf numFmtId="0" fontId="28" fillId="6" borderId="26" applyNumberFormat="0" applyProtection="0">
      <alignment horizontal="left" vertical="center" indent="1"/>
    </xf>
    <xf numFmtId="0" fontId="28" fillId="6" borderId="26" applyNumberFormat="0" applyProtection="0">
      <alignment horizontal="left" vertical="center" indent="1"/>
    </xf>
    <xf numFmtId="4" fontId="30" fillId="20" borderId="26" applyNumberFormat="0" applyProtection="0">
      <alignment vertical="center"/>
    </xf>
    <xf numFmtId="4" fontId="31" fillId="20" borderId="26" applyNumberFormat="0" applyProtection="0">
      <alignment vertical="center"/>
    </xf>
    <xf numFmtId="4" fontId="30" fillId="20" borderId="26" applyNumberFormat="0" applyProtection="0">
      <alignment horizontal="left" vertical="center" indent="1"/>
    </xf>
    <xf numFmtId="4" fontId="30" fillId="20" borderId="26" applyNumberFormat="0" applyProtection="0">
      <alignment horizontal="left" vertical="center" indent="1"/>
    </xf>
    <xf numFmtId="4" fontId="30" fillId="15" borderId="26" applyNumberFormat="0" applyProtection="0">
      <alignment horizontal="right" vertical="center"/>
    </xf>
    <xf numFmtId="4" fontId="31" fillId="15" borderId="26" applyNumberFormat="0" applyProtection="0">
      <alignment horizontal="right" vertical="center"/>
    </xf>
    <xf numFmtId="0" fontId="28" fillId="6" borderId="26" applyNumberFormat="0" applyProtection="0">
      <alignment horizontal="left" vertical="center" indent="1"/>
    </xf>
    <xf numFmtId="0" fontId="28" fillId="6" borderId="26" applyNumberFormat="0" applyProtection="0">
      <alignment horizontal="left" vertical="center" indent="1"/>
    </xf>
    <xf numFmtId="4" fontId="33" fillId="15" borderId="26" applyNumberFormat="0" applyProtection="0">
      <alignment horizontal="right" vertical="center"/>
    </xf>
    <xf numFmtId="43"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28" fillId="6" borderId="26" applyNumberFormat="0" applyProtection="0">
      <alignment horizontal="left" vertical="center" indent="1"/>
    </xf>
    <xf numFmtId="0" fontId="28" fillId="6" borderId="26" applyNumberFormat="0" applyProtection="0">
      <alignment horizontal="left" vertical="center" indent="1"/>
    </xf>
    <xf numFmtId="0" fontId="28" fillId="6" borderId="26" applyNumberFormat="0" applyProtection="0">
      <alignment horizontal="left" vertical="center" indent="1"/>
    </xf>
    <xf numFmtId="4" fontId="30" fillId="15" borderId="26" applyNumberFormat="0" applyProtection="0">
      <alignment horizontal="left" vertical="center" indent="1"/>
    </xf>
    <xf numFmtId="4" fontId="30" fillId="17" borderId="26" applyNumberFormat="0" applyProtection="0">
      <alignment horizontal="left" vertical="center" indent="1"/>
    </xf>
    <xf numFmtId="0" fontId="28" fillId="17" borderId="26" applyNumberFormat="0" applyProtection="0">
      <alignment horizontal="left" vertical="center" indent="1"/>
    </xf>
    <xf numFmtId="0" fontId="28" fillId="17" borderId="26" applyNumberFormat="0" applyProtection="0">
      <alignment horizontal="left" vertical="center" indent="1"/>
    </xf>
    <xf numFmtId="0" fontId="28" fillId="18" borderId="26" applyNumberFormat="0" applyProtection="0">
      <alignment horizontal="left" vertical="center" indent="1"/>
    </xf>
    <xf numFmtId="0" fontId="28" fillId="18" borderId="26" applyNumberFormat="0" applyProtection="0">
      <alignment horizontal="left" vertical="center" indent="1"/>
    </xf>
    <xf numFmtId="0" fontId="28" fillId="19" borderId="26" applyNumberFormat="0" applyProtection="0">
      <alignment horizontal="left" vertical="center" indent="1"/>
    </xf>
    <xf numFmtId="0" fontId="28" fillId="19" borderId="26" applyNumberFormat="0" applyProtection="0">
      <alignment horizontal="left" vertical="center" indent="1"/>
    </xf>
    <xf numFmtId="0" fontId="28" fillId="6" borderId="26" applyNumberFormat="0" applyProtection="0">
      <alignment horizontal="left" vertical="center" indent="1"/>
    </xf>
    <xf numFmtId="0" fontId="28" fillId="6" borderId="26" applyNumberFormat="0" applyProtection="0">
      <alignment horizontal="left" vertical="center" indent="1"/>
    </xf>
    <xf numFmtId="0" fontId="28" fillId="6" borderId="26" applyNumberFormat="0" applyProtection="0">
      <alignment horizontal="left" vertical="center" indent="1"/>
    </xf>
    <xf numFmtId="0" fontId="5" fillId="0" borderId="0"/>
    <xf numFmtId="0" fontId="5" fillId="0" borderId="0"/>
    <xf numFmtId="4" fontId="20" fillId="23" borderId="28" applyNumberFormat="0" applyProtection="0">
      <alignment vertical="center"/>
    </xf>
    <xf numFmtId="4" fontId="41" fillId="5" borderId="28" applyNumberFormat="0" applyProtection="0">
      <alignment vertical="center"/>
    </xf>
    <xf numFmtId="4" fontId="20" fillId="5" borderId="28" applyNumberFormat="0" applyProtection="0">
      <alignment horizontal="left" vertical="center" indent="1"/>
    </xf>
    <xf numFmtId="0" fontId="20" fillId="5" borderId="28" applyNumberFormat="0" applyProtection="0">
      <alignment horizontal="left" vertical="top" indent="1"/>
    </xf>
    <xf numFmtId="4" fontId="30" fillId="25" borderId="28" applyNumberFormat="0" applyProtection="0">
      <alignment horizontal="right" vertical="center"/>
    </xf>
    <xf numFmtId="4" fontId="30" fillId="26" borderId="28" applyNumberFormat="0" applyProtection="0">
      <alignment horizontal="right" vertical="center"/>
    </xf>
    <xf numFmtId="4" fontId="30" fillId="27" borderId="28" applyNumberFormat="0" applyProtection="0">
      <alignment horizontal="right" vertical="center"/>
    </xf>
    <xf numFmtId="4" fontId="30" fillId="28" borderId="28" applyNumberFormat="0" applyProtection="0">
      <alignment horizontal="right" vertical="center"/>
    </xf>
    <xf numFmtId="4" fontId="30" fillId="29" borderId="28" applyNumberFormat="0" applyProtection="0">
      <alignment horizontal="right" vertical="center"/>
    </xf>
    <xf numFmtId="4" fontId="30" fillId="30" borderId="28" applyNumberFormat="0" applyProtection="0">
      <alignment horizontal="right" vertical="center"/>
    </xf>
    <xf numFmtId="4" fontId="30" fillId="31" borderId="28" applyNumberFormat="0" applyProtection="0">
      <alignment horizontal="right" vertical="center"/>
    </xf>
    <xf numFmtId="4" fontId="30" fillId="32" borderId="28" applyNumberFormat="0" applyProtection="0">
      <alignment horizontal="right" vertical="center"/>
    </xf>
    <xf numFmtId="4" fontId="30" fillId="33" borderId="28" applyNumberFormat="0" applyProtection="0">
      <alignment horizontal="right" vertical="center"/>
    </xf>
    <xf numFmtId="4" fontId="30" fillId="36" borderId="28" applyNumberFormat="0" applyProtection="0">
      <alignment horizontal="right" vertical="center"/>
    </xf>
    <xf numFmtId="0" fontId="28" fillId="16" borderId="28" applyNumberFormat="0" applyProtection="0">
      <alignment horizontal="left" vertical="center" indent="1"/>
    </xf>
    <xf numFmtId="0" fontId="28" fillId="16" borderId="28" applyNumberFormat="0" applyProtection="0">
      <alignment horizontal="left" vertical="top" indent="1"/>
    </xf>
    <xf numFmtId="0" fontId="28" fillId="24" borderId="28" applyNumberFormat="0" applyProtection="0">
      <alignment horizontal="left" vertical="center" indent="1"/>
    </xf>
    <xf numFmtId="0" fontId="28" fillId="24" borderId="28" applyNumberFormat="0" applyProtection="0">
      <alignment horizontal="left" vertical="top" indent="1"/>
    </xf>
    <xf numFmtId="0" fontId="28" fillId="37" borderId="28" applyNumberFormat="0" applyProtection="0">
      <alignment horizontal="left" vertical="center" indent="1"/>
    </xf>
    <xf numFmtId="0" fontId="28" fillId="37" borderId="28" applyNumberFormat="0" applyProtection="0">
      <alignment horizontal="left" vertical="top" indent="1"/>
    </xf>
    <xf numFmtId="0" fontId="28" fillId="38" borderId="28" applyNumberFormat="0" applyProtection="0">
      <alignment horizontal="left" vertical="center" indent="1"/>
    </xf>
    <xf numFmtId="0" fontId="28" fillId="38" borderId="28" applyNumberFormat="0" applyProtection="0">
      <alignment horizontal="left" vertical="top" indent="1"/>
    </xf>
    <xf numFmtId="4" fontId="30" fillId="20" borderId="28" applyNumberFormat="0" applyProtection="0">
      <alignment vertical="center"/>
    </xf>
    <xf numFmtId="4" fontId="31" fillId="20" borderId="28" applyNumberFormat="0" applyProtection="0">
      <alignment vertical="center"/>
    </xf>
    <xf numFmtId="4" fontId="30" fillId="20" borderId="28" applyNumberFormat="0" applyProtection="0">
      <alignment horizontal="left" vertical="center" indent="1"/>
    </xf>
    <xf numFmtId="0" fontId="30" fillId="20" borderId="28" applyNumberFormat="0" applyProtection="0">
      <alignment horizontal="left" vertical="top" indent="1"/>
    </xf>
    <xf numFmtId="4" fontId="30" fillId="35" borderId="28" applyNumberFormat="0" applyProtection="0">
      <alignment horizontal="right" vertical="center"/>
    </xf>
    <xf numFmtId="4" fontId="31" fillId="35" borderId="28" applyNumberFormat="0" applyProtection="0">
      <alignment horizontal="right" vertical="center"/>
    </xf>
    <xf numFmtId="4" fontId="30" fillId="36" borderId="28" applyNumberFormat="0" applyProtection="0">
      <alignment horizontal="left" vertical="center" indent="1"/>
    </xf>
    <xf numFmtId="0" fontId="30" fillId="24" borderId="28" applyNumberFormat="0" applyProtection="0">
      <alignment horizontal="left" vertical="top" indent="1"/>
    </xf>
    <xf numFmtId="4" fontId="33" fillId="35" borderId="28" applyNumberFormat="0" applyProtection="0">
      <alignment horizontal="right" vertical="center"/>
    </xf>
    <xf numFmtId="0" fontId="5" fillId="0" borderId="0"/>
    <xf numFmtId="4" fontId="30" fillId="5" borderId="26" applyNumberFormat="0" applyProtection="0">
      <alignment horizontal="left" vertical="center" indent="1"/>
    </xf>
    <xf numFmtId="0" fontId="28" fillId="6" borderId="26" applyNumberFormat="0" applyProtection="0">
      <alignment horizontal="left" vertical="center" indent="1"/>
    </xf>
    <xf numFmtId="0" fontId="28" fillId="6" borderId="26"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30" fillId="5" borderId="26" applyNumberFormat="0" applyProtection="0">
      <alignment vertical="center"/>
    </xf>
    <xf numFmtId="4" fontId="31" fillId="5" borderId="26" applyNumberFormat="0" applyProtection="0">
      <alignment vertical="center"/>
    </xf>
    <xf numFmtId="4" fontId="30" fillId="5" borderId="26" applyNumberFormat="0" applyProtection="0">
      <alignment horizontal="left" vertical="center" indent="1"/>
    </xf>
    <xf numFmtId="4" fontId="30" fillId="7" borderId="26" applyNumberFormat="0" applyProtection="0">
      <alignment horizontal="right" vertical="center"/>
    </xf>
    <xf numFmtId="4" fontId="30" fillId="8" borderId="26" applyNumberFormat="0" applyProtection="0">
      <alignment horizontal="right" vertical="center"/>
    </xf>
    <xf numFmtId="4" fontId="30" fillId="2" borderId="26" applyNumberFormat="0" applyProtection="0">
      <alignment horizontal="right" vertical="center"/>
    </xf>
    <xf numFmtId="4" fontId="30" fillId="9" borderId="26" applyNumberFormat="0" applyProtection="0">
      <alignment horizontal="right" vertical="center"/>
    </xf>
    <xf numFmtId="4" fontId="30" fillId="10" borderId="26" applyNumberFormat="0" applyProtection="0">
      <alignment horizontal="right" vertical="center"/>
    </xf>
    <xf numFmtId="4" fontId="30" fillId="11" borderId="26" applyNumberFormat="0" applyProtection="0">
      <alignment horizontal="right" vertical="center"/>
    </xf>
    <xf numFmtId="4" fontId="30" fillId="12" borderId="26" applyNumberFormat="0" applyProtection="0">
      <alignment horizontal="right" vertical="center"/>
    </xf>
    <xf numFmtId="4" fontId="30" fillId="13" borderId="26" applyNumberFormat="0" applyProtection="0">
      <alignment horizontal="right" vertical="center"/>
    </xf>
    <xf numFmtId="4" fontId="30" fillId="3" borderId="26" applyNumberFormat="0" applyProtection="0">
      <alignment horizontal="right" vertical="center"/>
    </xf>
    <xf numFmtId="4" fontId="20" fillId="14" borderId="26" applyNumberFormat="0" applyProtection="0">
      <alignment horizontal="left" vertical="center" indent="1"/>
    </xf>
    <xf numFmtId="0" fontId="28" fillId="6" borderId="26" applyNumberFormat="0" applyProtection="0">
      <alignment horizontal="left" vertical="center" indent="1"/>
    </xf>
    <xf numFmtId="4" fontId="30" fillId="15" borderId="26" applyNumberFormat="0" applyProtection="0">
      <alignment horizontal="left" vertical="center" indent="1"/>
    </xf>
    <xf numFmtId="4" fontId="30" fillId="17" borderId="26" applyNumberFormat="0" applyProtection="0">
      <alignment horizontal="left" vertical="center" indent="1"/>
    </xf>
    <xf numFmtId="0" fontId="28" fillId="17" borderId="26" applyNumberFormat="0" applyProtection="0">
      <alignment horizontal="left" vertical="center" indent="1"/>
    </xf>
    <xf numFmtId="0" fontId="28" fillId="17" borderId="26" applyNumberFormat="0" applyProtection="0">
      <alignment horizontal="left" vertical="center" indent="1"/>
    </xf>
    <xf numFmtId="0" fontId="28" fillId="18" borderId="26" applyNumberFormat="0" applyProtection="0">
      <alignment horizontal="left" vertical="center" indent="1"/>
    </xf>
    <xf numFmtId="0" fontId="28" fillId="18" borderId="26" applyNumberFormat="0" applyProtection="0">
      <alignment horizontal="left" vertical="center" indent="1"/>
    </xf>
    <xf numFmtId="0" fontId="28" fillId="19" borderId="26" applyNumberFormat="0" applyProtection="0">
      <alignment horizontal="left" vertical="center" indent="1"/>
    </xf>
    <xf numFmtId="0" fontId="28" fillId="19" borderId="26" applyNumberFormat="0" applyProtection="0">
      <alignment horizontal="left" vertical="center" indent="1"/>
    </xf>
    <xf numFmtId="0" fontId="28" fillId="6" borderId="26" applyNumberFormat="0" applyProtection="0">
      <alignment horizontal="left" vertical="center" indent="1"/>
    </xf>
    <xf numFmtId="0" fontId="28" fillId="6" borderId="26" applyNumberFormat="0" applyProtection="0">
      <alignment horizontal="left" vertical="center" indent="1"/>
    </xf>
    <xf numFmtId="4" fontId="30" fillId="20" borderId="26" applyNumberFormat="0" applyProtection="0">
      <alignment vertical="center"/>
    </xf>
    <xf numFmtId="4" fontId="31" fillId="20" borderId="26" applyNumberFormat="0" applyProtection="0">
      <alignment vertical="center"/>
    </xf>
    <xf numFmtId="4" fontId="30" fillId="20" borderId="26" applyNumberFormat="0" applyProtection="0">
      <alignment horizontal="left" vertical="center" indent="1"/>
    </xf>
    <xf numFmtId="4" fontId="30" fillId="20" borderId="26" applyNumberFormat="0" applyProtection="0">
      <alignment horizontal="left" vertical="center" indent="1"/>
    </xf>
    <xf numFmtId="4" fontId="30" fillId="15" borderId="26" applyNumberFormat="0" applyProtection="0">
      <alignment horizontal="right" vertical="center"/>
    </xf>
    <xf numFmtId="4" fontId="31" fillId="15" borderId="26" applyNumberFormat="0" applyProtection="0">
      <alignment horizontal="right" vertical="center"/>
    </xf>
    <xf numFmtId="0" fontId="28" fillId="6" borderId="26" applyNumberFormat="0" applyProtection="0">
      <alignment horizontal="left" vertical="center" indent="1"/>
    </xf>
    <xf numFmtId="4" fontId="33" fillId="15" borderId="26" applyNumberFormat="0" applyProtection="0">
      <alignment horizontal="right" vertical="center"/>
    </xf>
    <xf numFmtId="43"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28" fillId="6" borderId="26" applyNumberFormat="0" applyProtection="0">
      <alignment horizontal="left" vertical="center" indent="1"/>
    </xf>
    <xf numFmtId="4" fontId="30" fillId="15" borderId="26" applyNumberFormat="0" applyProtection="0">
      <alignment horizontal="left" vertical="center" indent="1"/>
    </xf>
    <xf numFmtId="4" fontId="30" fillId="17" borderId="26" applyNumberFormat="0" applyProtection="0">
      <alignment horizontal="left" vertical="center" indent="1"/>
    </xf>
    <xf numFmtId="0" fontId="28" fillId="17" borderId="26" applyNumberFormat="0" applyProtection="0">
      <alignment horizontal="left" vertical="center" indent="1"/>
    </xf>
    <xf numFmtId="0" fontId="28" fillId="17" borderId="26" applyNumberFormat="0" applyProtection="0">
      <alignment horizontal="left" vertical="center" indent="1"/>
    </xf>
    <xf numFmtId="0" fontId="28" fillId="18" borderId="26" applyNumberFormat="0" applyProtection="0">
      <alignment horizontal="left" vertical="center" indent="1"/>
    </xf>
    <xf numFmtId="0" fontId="28" fillId="18" borderId="26" applyNumberFormat="0" applyProtection="0">
      <alignment horizontal="left" vertical="center" indent="1"/>
    </xf>
    <xf numFmtId="0" fontId="28" fillId="19" borderId="26" applyNumberFormat="0" applyProtection="0">
      <alignment horizontal="left" vertical="center" indent="1"/>
    </xf>
    <xf numFmtId="0" fontId="28" fillId="19" borderId="26" applyNumberFormat="0" applyProtection="0">
      <alignment horizontal="left" vertical="center" indent="1"/>
    </xf>
    <xf numFmtId="0" fontId="28" fillId="6" borderId="26" applyNumberFormat="0" applyProtection="0">
      <alignment horizontal="left" vertical="center" indent="1"/>
    </xf>
    <xf numFmtId="0" fontId="28" fillId="6" borderId="26" applyNumberFormat="0" applyProtection="0">
      <alignment horizontal="left" vertical="center" indent="1"/>
    </xf>
    <xf numFmtId="0" fontId="28" fillId="6" borderId="26" applyNumberFormat="0" applyProtection="0">
      <alignment horizontal="left" vertical="center" indent="1"/>
    </xf>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28" fillId="6" borderId="26" applyNumberFormat="0" applyProtection="0">
      <alignment horizontal="left" vertical="center" indent="1"/>
    </xf>
    <xf numFmtId="0" fontId="28" fillId="6" borderId="26" applyNumberFormat="0" applyProtection="0">
      <alignment horizontal="left" vertical="center" indent="1"/>
    </xf>
    <xf numFmtId="4" fontId="30" fillId="5" borderId="26" applyNumberFormat="0" applyProtection="0">
      <alignment horizontal="left" vertical="center" indent="1"/>
    </xf>
    <xf numFmtId="0" fontId="28" fillId="6" borderId="26" applyNumberFormat="0" applyProtection="0">
      <alignment horizontal="left" vertical="center" indent="1"/>
    </xf>
    <xf numFmtId="4" fontId="30" fillId="15" borderId="26" applyNumberFormat="0" applyProtection="0">
      <alignment horizontal="right" vertical="center"/>
    </xf>
    <xf numFmtId="4" fontId="30" fillId="5" borderId="26" applyNumberFormat="0" applyProtection="0">
      <alignment vertical="center"/>
    </xf>
    <xf numFmtId="4" fontId="30" fillId="5" borderId="26" applyNumberFormat="0" applyProtection="0">
      <alignment horizontal="left" vertical="center" indent="1"/>
    </xf>
    <xf numFmtId="0" fontId="28" fillId="0" borderId="0"/>
    <xf numFmtId="0" fontId="28" fillId="0" borderId="0"/>
    <xf numFmtId="0" fontId="5" fillId="0" borderId="0"/>
    <xf numFmtId="0" fontId="5"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cellStyleXfs>
  <cellXfs count="1539">
    <xf numFmtId="164" fontId="0" fillId="0" borderId="0" xfId="0"/>
    <xf numFmtId="0" fontId="36" fillId="21" borderId="0" xfId="162" applyFont="1" applyFill="1"/>
    <xf numFmtId="0" fontId="45" fillId="21" borderId="0" xfId="387" applyFont="1" applyFill="1"/>
    <xf numFmtId="0" fontId="38" fillId="21" borderId="0" xfId="513" applyFont="1" applyFill="1"/>
    <xf numFmtId="0" fontId="47" fillId="21" borderId="0" xfId="142" quotePrefix="1" applyFont="1" applyFill="1"/>
    <xf numFmtId="0" fontId="27" fillId="21" borderId="18" xfId="386" applyFont="1" applyFill="1" applyBorder="1" applyAlignment="1">
      <alignment horizontal="center"/>
    </xf>
    <xf numFmtId="0" fontId="27" fillId="21" borderId="19" xfId="386" applyFont="1" applyFill="1" applyBorder="1" applyAlignment="1">
      <alignment horizontal="center"/>
    </xf>
    <xf numFmtId="168" fontId="27" fillId="21" borderId="0" xfId="386" applyNumberFormat="1" applyFont="1" applyFill="1"/>
    <xf numFmtId="168" fontId="48" fillId="0" borderId="0" xfId="161" applyNumberFormat="1" applyFont="1" applyFill="1"/>
    <xf numFmtId="0" fontId="45" fillId="21" borderId="0" xfId="17" applyFont="1" applyFill="1"/>
    <xf numFmtId="0" fontId="46" fillId="21" borderId="0" xfId="17" applyFont="1" applyFill="1" applyAlignment="1">
      <alignment horizontal="center"/>
    </xf>
    <xf numFmtId="0" fontId="49" fillId="21" borderId="0" xfId="17" applyFont="1" applyFill="1"/>
    <xf numFmtId="0" fontId="45" fillId="21" borderId="0" xfId="233" applyFont="1" applyFill="1" applyAlignment="1">
      <alignment horizontal="left" wrapText="1"/>
    </xf>
    <xf numFmtId="0" fontId="49" fillId="21" borderId="0" xfId="151" applyFont="1" applyFill="1"/>
    <xf numFmtId="0" fontId="45" fillId="21" borderId="0" xfId="151" applyFont="1" applyFill="1"/>
    <xf numFmtId="0" fontId="45" fillId="21" borderId="0" xfId="162" applyFont="1" applyFill="1"/>
    <xf numFmtId="0" fontId="46" fillId="21" borderId="0" xfId="162" applyFont="1" applyFill="1" applyAlignment="1">
      <alignment horizontal="center"/>
    </xf>
    <xf numFmtId="0" fontId="45" fillId="21" borderId="0" xfId="162" applyFont="1" applyFill="1" applyAlignment="1">
      <alignment horizontal="center"/>
    </xf>
    <xf numFmtId="0" fontId="46" fillId="21" borderId="0" xfId="162" applyFont="1" applyFill="1"/>
    <xf numFmtId="41" fontId="45" fillId="21" borderId="0" xfId="162" applyNumberFormat="1" applyFont="1" applyFill="1"/>
    <xf numFmtId="41" fontId="46" fillId="21" borderId="3" xfId="162" applyNumberFormat="1" applyFont="1" applyFill="1" applyBorder="1"/>
    <xf numFmtId="41" fontId="46" fillId="21" borderId="0" xfId="162" applyNumberFormat="1" applyFont="1" applyFill="1"/>
    <xf numFmtId="0" fontId="15" fillId="21" borderId="0" xfId="162" quotePrefix="1" applyFont="1" applyFill="1"/>
    <xf numFmtId="0" fontId="15" fillId="21" borderId="0" xfId="162" applyFont="1" applyFill="1"/>
    <xf numFmtId="168" fontId="49" fillId="21" borderId="0" xfId="9" applyNumberFormat="1" applyFont="1" applyFill="1" applyBorder="1"/>
    <xf numFmtId="168" fontId="49" fillId="21" borderId="0" xfId="9" applyNumberFormat="1" applyFont="1" applyFill="1"/>
    <xf numFmtId="168" fontId="50" fillId="21" borderId="0" xfId="9" applyNumberFormat="1" applyFont="1" applyFill="1"/>
    <xf numFmtId="168" fontId="50" fillId="21" borderId="0" xfId="9" applyNumberFormat="1" applyFont="1" applyFill="1" applyBorder="1"/>
    <xf numFmtId="3" fontId="49" fillId="21" borderId="0" xfId="9" applyNumberFormat="1" applyFont="1" applyFill="1"/>
    <xf numFmtId="43" fontId="45" fillId="0" borderId="0" xfId="410" applyFont="1" applyFill="1"/>
    <xf numFmtId="43" fontId="38" fillId="21" borderId="0" xfId="410" applyFont="1" applyFill="1"/>
    <xf numFmtId="168" fontId="15" fillId="39" borderId="16" xfId="354" applyNumberFormat="1" applyFont="1" applyFill="1">
      <alignment horizontal="right" vertical="center"/>
    </xf>
    <xf numFmtId="168" fontId="49" fillId="39" borderId="0" xfId="9" applyNumberFormat="1" applyFont="1" applyFill="1" applyBorder="1"/>
    <xf numFmtId="0" fontId="46" fillId="21" borderId="0" xfId="513" applyFont="1" applyFill="1"/>
    <xf numFmtId="0" fontId="45" fillId="21" borderId="0" xfId="513" applyFont="1" applyFill="1"/>
    <xf numFmtId="43" fontId="45" fillId="21" borderId="0" xfId="410" applyFont="1" applyFill="1"/>
    <xf numFmtId="0" fontId="49" fillId="21" borderId="0" xfId="513" applyFont="1" applyFill="1"/>
    <xf numFmtId="14" fontId="46" fillId="39" borderId="0" xfId="410" applyNumberFormat="1" applyFont="1" applyFill="1" applyAlignment="1">
      <alignment horizontal="center"/>
    </xf>
    <xf numFmtId="14" fontId="45" fillId="21" borderId="0" xfId="410" applyNumberFormat="1" applyFont="1" applyFill="1" applyAlignment="1">
      <alignment horizontal="center"/>
    </xf>
    <xf numFmtId="184" fontId="45" fillId="21" borderId="0" xfId="513" applyNumberFormat="1" applyFont="1" applyFill="1"/>
    <xf numFmtId="184" fontId="49" fillId="21" borderId="0" xfId="513" applyNumberFormat="1" applyFont="1" applyFill="1"/>
    <xf numFmtId="164" fontId="50" fillId="0" borderId="0" xfId="0" applyFont="1"/>
    <xf numFmtId="187" fontId="50" fillId="0" borderId="0" xfId="0" applyNumberFormat="1" applyFont="1"/>
    <xf numFmtId="0" fontId="52" fillId="21" borderId="0" xfId="387" applyFont="1" applyFill="1"/>
    <xf numFmtId="0" fontId="53" fillId="21" borderId="0" xfId="387" applyFont="1" applyFill="1"/>
    <xf numFmtId="0" fontId="53" fillId="22" borderId="2" xfId="387" applyFont="1" applyFill="1" applyBorder="1"/>
    <xf numFmtId="0" fontId="45" fillId="0" borderId="0" xfId="387" applyFont="1" applyAlignment="1">
      <alignment horizontal="center"/>
    </xf>
    <xf numFmtId="0" fontId="46" fillId="0" borderId="0" xfId="387" applyFont="1" applyAlignment="1">
      <alignment horizontal="center"/>
    </xf>
    <xf numFmtId="0" fontId="46" fillId="0" borderId="2" xfId="387" applyFont="1" applyBorder="1" applyAlignment="1">
      <alignment horizontal="center"/>
    </xf>
    <xf numFmtId="0" fontId="49" fillId="21" borderId="0" xfId="513" applyFont="1" applyFill="1" applyAlignment="1">
      <alignment horizontal="left"/>
    </xf>
    <xf numFmtId="0" fontId="50" fillId="21" borderId="0" xfId="513" applyFont="1" applyFill="1" applyAlignment="1">
      <alignment horizontal="left"/>
    </xf>
    <xf numFmtId="168" fontId="27" fillId="21" borderId="22" xfId="386" quotePrefix="1" applyNumberFormat="1" applyFont="1" applyFill="1" applyBorder="1" applyAlignment="1">
      <alignment horizontal="center"/>
    </xf>
    <xf numFmtId="168" fontId="54" fillId="21" borderId="18" xfId="386" applyNumberFormat="1" applyFont="1" applyFill="1" applyBorder="1" applyAlignment="1">
      <alignment horizontal="center"/>
    </xf>
    <xf numFmtId="168" fontId="27" fillId="21" borderId="22" xfId="386" applyNumberFormat="1" applyFont="1" applyFill="1" applyBorder="1"/>
    <xf numFmtId="0" fontId="46" fillId="21" borderId="17" xfId="162" applyFont="1" applyFill="1" applyBorder="1" applyAlignment="1">
      <alignment horizontal="center"/>
    </xf>
    <xf numFmtId="41" fontId="46" fillId="21" borderId="17" xfId="162" applyNumberFormat="1" applyFont="1" applyFill="1" applyBorder="1"/>
    <xf numFmtId="43" fontId="45" fillId="21" borderId="0" xfId="161" applyFont="1" applyFill="1"/>
    <xf numFmtId="43" fontId="49" fillId="21" borderId="0" xfId="161" applyFont="1" applyFill="1"/>
    <xf numFmtId="0" fontId="45" fillId="0" borderId="0" xfId="513" applyFont="1"/>
    <xf numFmtId="164" fontId="56" fillId="0" borderId="0" xfId="0" applyFont="1"/>
    <xf numFmtId="43" fontId="46" fillId="0" borderId="0" xfId="410" applyFont="1" applyFill="1" applyAlignment="1" applyProtection="1">
      <alignment horizontal="right"/>
    </xf>
    <xf numFmtId="43" fontId="57" fillId="0" borderId="0" xfId="410" applyFont="1" applyFill="1" applyProtection="1"/>
    <xf numFmtId="43" fontId="15" fillId="0" borderId="0" xfId="410" applyFont="1" applyFill="1"/>
    <xf numFmtId="43" fontId="45" fillId="0" borderId="0" xfId="410" applyFont="1" applyFill="1" applyBorder="1"/>
    <xf numFmtId="0" fontId="45" fillId="0" borderId="0" xfId="387" quotePrefix="1" applyFont="1" applyAlignment="1">
      <alignment horizontal="center"/>
    </xf>
    <xf numFmtId="43" fontId="46" fillId="0" borderId="0" xfId="410" applyFont="1" applyFill="1" applyBorder="1" applyAlignment="1">
      <alignment horizontal="center" wrapText="1"/>
    </xf>
    <xf numFmtId="43" fontId="46" fillId="0" borderId="2" xfId="410" applyFont="1" applyFill="1" applyBorder="1" applyAlignment="1">
      <alignment horizontal="center" wrapText="1"/>
    </xf>
    <xf numFmtId="168" fontId="45" fillId="39" borderId="0" xfId="410" applyNumberFormat="1" applyFont="1" applyFill="1" applyBorder="1"/>
    <xf numFmtId="168" fontId="45" fillId="0" borderId="0" xfId="410" applyNumberFormat="1" applyFont="1" applyFill="1" applyBorder="1"/>
    <xf numFmtId="0" fontId="46" fillId="39" borderId="0" xfId="513" applyFont="1" applyFill="1"/>
    <xf numFmtId="164" fontId="46" fillId="21" borderId="0" xfId="0" applyFont="1" applyFill="1"/>
    <xf numFmtId="164" fontId="45" fillId="21" borderId="0" xfId="0" applyFont="1" applyFill="1"/>
    <xf numFmtId="14" fontId="46" fillId="21" borderId="0" xfId="0" applyNumberFormat="1" applyFont="1" applyFill="1" applyAlignment="1">
      <alignment horizontal="right"/>
    </xf>
    <xf numFmtId="164" fontId="15" fillId="21" borderId="0" xfId="0" applyFont="1" applyFill="1"/>
    <xf numFmtId="0" fontId="15" fillId="21" borderId="0" xfId="8" applyFont="1" applyFill="1"/>
    <xf numFmtId="0" fontId="15" fillId="21" borderId="0" xfId="125" applyNumberFormat="1" applyFont="1" applyFill="1" applyBorder="1" applyProtection="1">
      <alignment horizontal="left" vertical="center" indent="1"/>
      <protection locked="0"/>
    </xf>
    <xf numFmtId="0" fontId="15" fillId="21" borderId="0" xfId="8" applyFont="1" applyFill="1" applyProtection="1">
      <protection locked="0"/>
    </xf>
    <xf numFmtId="0" fontId="58" fillId="21" borderId="0" xfId="196" applyFont="1" applyFill="1" applyAlignment="1">
      <alignment horizontal="center"/>
    </xf>
    <xf numFmtId="0" fontId="15" fillId="21" borderId="0" xfId="8" quotePrefix="1" applyFont="1" applyFill="1" applyAlignment="1">
      <alignment horizontal="center"/>
    </xf>
    <xf numFmtId="0" fontId="58" fillId="21" borderId="0" xfId="165" applyNumberFormat="1" applyFont="1" applyFill="1" applyBorder="1" applyAlignment="1" applyProtection="1">
      <alignment horizontal="center" vertical="center"/>
      <protection locked="0"/>
    </xf>
    <xf numFmtId="3" fontId="58" fillId="21" borderId="0" xfId="189" quotePrefix="1" applyNumberFormat="1" applyFont="1" applyFill="1" applyBorder="1" applyAlignment="1" applyProtection="1">
      <alignment horizontal="center" vertical="center"/>
      <protection locked="0"/>
    </xf>
    <xf numFmtId="0" fontId="15" fillId="21" borderId="0" xfId="196" applyFont="1" applyFill="1"/>
    <xf numFmtId="3" fontId="15" fillId="21" borderId="0" xfId="196" applyNumberFormat="1" applyFont="1" applyFill="1"/>
    <xf numFmtId="0" fontId="45" fillId="21" borderId="0" xfId="8" applyFont="1" applyFill="1"/>
    <xf numFmtId="0" fontId="46" fillId="21" borderId="0" xfId="151" applyFont="1" applyFill="1" applyAlignment="1">
      <alignment horizontal="center"/>
    </xf>
    <xf numFmtId="0" fontId="46" fillId="21" borderId="0" xfId="0" applyNumberFormat="1" applyFont="1" applyFill="1" applyAlignment="1">
      <alignment horizontal="center" wrapText="1"/>
    </xf>
    <xf numFmtId="10" fontId="46" fillId="21" borderId="0" xfId="0" applyNumberFormat="1" applyFont="1" applyFill="1" applyAlignment="1">
      <alignment horizontal="center"/>
    </xf>
    <xf numFmtId="0" fontId="45" fillId="21" borderId="0" xfId="0" applyNumberFormat="1" applyFont="1" applyFill="1"/>
    <xf numFmtId="0" fontId="46" fillId="21" borderId="2" xfId="0" applyNumberFormat="1" applyFont="1" applyFill="1" applyBorder="1" applyAlignment="1">
      <alignment horizontal="center" wrapText="1"/>
    </xf>
    <xf numFmtId="10" fontId="46" fillId="21" borderId="2" xfId="0" applyNumberFormat="1" applyFont="1" applyFill="1" applyBorder="1" applyAlignment="1">
      <alignment horizontal="center"/>
    </xf>
    <xf numFmtId="1" fontId="46" fillId="21" borderId="0" xfId="0" applyNumberFormat="1" applyFont="1" applyFill="1" applyAlignment="1">
      <alignment horizontal="center"/>
    </xf>
    <xf numFmtId="0" fontId="46" fillId="21" borderId="0" xfId="0" applyNumberFormat="1" applyFont="1" applyFill="1" applyAlignment="1">
      <alignment horizontal="left"/>
    </xf>
    <xf numFmtId="3" fontId="46" fillId="21" borderId="0" xfId="0" applyNumberFormat="1" applyFont="1" applyFill="1"/>
    <xf numFmtId="0" fontId="46" fillId="21" borderId="0" xfId="0" applyNumberFormat="1" applyFont="1" applyFill="1"/>
    <xf numFmtId="1" fontId="46" fillId="21" borderId="0" xfId="0" applyNumberFormat="1" applyFont="1" applyFill="1" applyAlignment="1">
      <alignment horizontal="left"/>
    </xf>
    <xf numFmtId="0" fontId="46" fillId="21" borderId="0" xfId="0" applyNumberFormat="1" applyFont="1" applyFill="1" applyAlignment="1">
      <alignment horizontal="right"/>
    </xf>
    <xf numFmtId="0" fontId="46" fillId="21" borderId="0" xfId="0" applyNumberFormat="1" applyFont="1" applyFill="1" applyAlignment="1">
      <alignment horizontal="center"/>
    </xf>
    <xf numFmtId="3" fontId="45" fillId="21" borderId="0" xfId="0" applyNumberFormat="1" applyFont="1" applyFill="1"/>
    <xf numFmtId="0" fontId="45" fillId="39" borderId="0" xfId="0" applyNumberFormat="1" applyFont="1" applyFill="1"/>
    <xf numFmtId="1" fontId="46" fillId="39" borderId="2" xfId="0" quotePrefix="1" applyNumberFormat="1" applyFont="1" applyFill="1" applyBorder="1" applyAlignment="1">
      <alignment horizontal="center"/>
    </xf>
    <xf numFmtId="0" fontId="46" fillId="39" borderId="2" xfId="0" quotePrefix="1" applyNumberFormat="1" applyFont="1" applyFill="1" applyBorder="1" applyAlignment="1">
      <alignment horizontal="center"/>
    </xf>
    <xf numFmtId="168" fontId="46" fillId="21" borderId="0" xfId="161" applyNumberFormat="1" applyFont="1" applyFill="1"/>
    <xf numFmtId="168" fontId="45" fillId="21" borderId="0" xfId="161" applyNumberFormat="1" applyFont="1" applyFill="1"/>
    <xf numFmtId="0" fontId="15" fillId="21" borderId="0" xfId="0" applyNumberFormat="1" applyFont="1" applyFill="1"/>
    <xf numFmtId="168" fontId="15" fillId="21" borderId="0" xfId="161" applyNumberFormat="1" applyFont="1" applyFill="1"/>
    <xf numFmtId="0" fontId="45" fillId="0" borderId="0" xfId="387" applyFont="1"/>
    <xf numFmtId="168" fontId="45" fillId="21" borderId="0" xfId="161" applyNumberFormat="1" applyFont="1" applyFill="1" applyProtection="1"/>
    <xf numFmtId="43" fontId="45" fillId="39" borderId="0" xfId="161" applyFont="1" applyFill="1" applyBorder="1" applyProtection="1"/>
    <xf numFmtId="164" fontId="45" fillId="21" borderId="0" xfId="0" applyFont="1" applyFill="1" applyAlignment="1">
      <alignment horizontal="center"/>
    </xf>
    <xf numFmtId="164" fontId="59" fillId="21" borderId="0" xfId="0" applyFont="1" applyFill="1" applyAlignment="1">
      <alignment horizontal="center" wrapText="1"/>
    </xf>
    <xf numFmtId="164" fontId="59" fillId="21" borderId="0" xfId="0" applyFont="1" applyFill="1" applyAlignment="1">
      <alignment horizontal="center"/>
    </xf>
    <xf numFmtId="43" fontId="45" fillId="21" borderId="0" xfId="410" applyFont="1" applyFill="1" applyProtection="1"/>
    <xf numFmtId="43" fontId="45" fillId="21" borderId="0" xfId="410" applyFont="1" applyFill="1" applyAlignment="1" applyProtection="1">
      <alignment horizontal="center"/>
    </xf>
    <xf numFmtId="43" fontId="45" fillId="0" borderId="0" xfId="410" applyFont="1" applyFill="1" applyProtection="1"/>
    <xf numFmtId="164" fontId="46" fillId="21" borderId="0" xfId="0" applyFont="1" applyFill="1" applyAlignment="1">
      <alignment horizontal="right"/>
    </xf>
    <xf numFmtId="164" fontId="45" fillId="21" borderId="0" xfId="0" applyFont="1" applyFill="1" applyAlignment="1">
      <alignment horizontal="left"/>
    </xf>
    <xf numFmtId="43" fontId="45" fillId="21" borderId="0" xfId="161" applyFont="1" applyFill="1" applyProtection="1"/>
    <xf numFmtId="43" fontId="45" fillId="21" borderId="0" xfId="161" applyFont="1" applyFill="1" applyBorder="1" applyProtection="1"/>
    <xf numFmtId="164" fontId="46" fillId="39" borderId="0" xfId="0" applyFont="1" applyFill="1" applyAlignment="1">
      <alignment horizontal="right"/>
    </xf>
    <xf numFmtId="164" fontId="45" fillId="39" borderId="0" xfId="0" applyFont="1" applyFill="1" applyAlignment="1">
      <alignment horizontal="left"/>
    </xf>
    <xf numFmtId="164" fontId="45" fillId="39" borderId="0" xfId="0" applyFont="1" applyFill="1" applyAlignment="1">
      <alignment horizontal="center"/>
    </xf>
    <xf numFmtId="164" fontId="45" fillId="39" borderId="0" xfId="0" applyFont="1" applyFill="1"/>
    <xf numFmtId="164" fontId="46" fillId="21" borderId="0" xfId="0" applyFont="1" applyFill="1" applyAlignment="1">
      <alignment horizontal="left" indent="1"/>
    </xf>
    <xf numFmtId="43" fontId="46" fillId="21" borderId="0" xfId="161" applyFont="1" applyFill="1" applyProtection="1"/>
    <xf numFmtId="164" fontId="46" fillId="21" borderId="0" xfId="0" applyFont="1" applyFill="1" applyAlignment="1">
      <alignment horizontal="left"/>
    </xf>
    <xf numFmtId="0" fontId="45" fillId="0" borderId="0" xfId="72" applyFont="1"/>
    <xf numFmtId="164" fontId="45" fillId="0" borderId="0" xfId="0" applyFont="1"/>
    <xf numFmtId="164" fontId="45" fillId="0" borderId="0" xfId="0" applyFont="1" applyAlignment="1">
      <alignment horizontal="right"/>
    </xf>
    <xf numFmtId="43" fontId="45" fillId="0" borderId="0" xfId="161" applyFont="1" applyFill="1" applyProtection="1"/>
    <xf numFmtId="164" fontId="45" fillId="0" borderId="0" xfId="0" applyFont="1" applyAlignment="1">
      <alignment horizontal="left"/>
    </xf>
    <xf numFmtId="43" fontId="45" fillId="39" borderId="0" xfId="161" applyFont="1" applyFill="1"/>
    <xf numFmtId="164" fontId="24" fillId="21" borderId="0" xfId="0" applyFont="1" applyFill="1" applyAlignment="1" applyProtection="1">
      <alignment vertical="center"/>
      <protection locked="0"/>
    </xf>
    <xf numFmtId="164" fontId="25" fillId="21" borderId="0" xfId="0" applyFont="1" applyFill="1" applyAlignment="1" applyProtection="1">
      <alignment vertical="center"/>
      <protection locked="0"/>
    </xf>
    <xf numFmtId="164" fontId="28" fillId="21" borderId="0" xfId="0" applyFont="1" applyFill="1" applyAlignment="1" applyProtection="1">
      <alignment vertical="center"/>
      <protection locked="0"/>
    </xf>
    <xf numFmtId="164" fontId="28" fillId="0" borderId="0" xfId="0" applyFont="1" applyAlignment="1">
      <alignment vertical="center"/>
    </xf>
    <xf numFmtId="164" fontId="19" fillId="21" borderId="0" xfId="0" applyFont="1" applyFill="1" applyAlignment="1" applyProtection="1">
      <alignment vertical="center"/>
      <protection locked="0"/>
    </xf>
    <xf numFmtId="164" fontId="28" fillId="21" borderId="0" xfId="0" applyFont="1" applyFill="1" applyAlignment="1">
      <alignment vertical="center"/>
    </xf>
    <xf numFmtId="164" fontId="24" fillId="21" borderId="0" xfId="0" applyFont="1" applyFill="1" applyAlignment="1" applyProtection="1">
      <alignment horizontal="center" vertical="center"/>
      <protection locked="0"/>
    </xf>
    <xf numFmtId="164" fontId="24" fillId="21" borderId="0" xfId="0" applyFont="1" applyFill="1" applyAlignment="1" applyProtection="1">
      <alignment horizontal="left" vertical="center"/>
      <protection locked="0"/>
    </xf>
    <xf numFmtId="164" fontId="22" fillId="21" borderId="0" xfId="0" applyFont="1" applyFill="1" applyAlignment="1" applyProtection="1">
      <alignment vertical="center"/>
      <protection locked="0"/>
    </xf>
    <xf numFmtId="164" fontId="51" fillId="21" borderId="0" xfId="197" applyNumberFormat="1" applyFont="1" applyFill="1" applyBorder="1" applyAlignment="1" applyProtection="1">
      <alignment vertical="center"/>
      <protection locked="0"/>
    </xf>
    <xf numFmtId="164" fontId="46" fillId="21" borderId="0" xfId="0" applyFont="1" applyFill="1" applyAlignment="1" applyProtection="1">
      <alignment vertical="center"/>
      <protection locked="0"/>
    </xf>
    <xf numFmtId="164" fontId="15" fillId="21" borderId="0" xfId="0" applyFont="1" applyFill="1" applyAlignment="1" applyProtection="1">
      <alignment vertical="center"/>
      <protection locked="0"/>
    </xf>
    <xf numFmtId="164" fontId="15" fillId="0" borderId="0" xfId="0" applyFont="1" applyAlignment="1">
      <alignment vertical="center"/>
    </xf>
    <xf numFmtId="164" fontId="46" fillId="21" borderId="0" xfId="0" applyFont="1" applyFill="1" applyAlignment="1" applyProtection="1">
      <alignment horizontal="center" vertical="center"/>
      <protection locked="0"/>
    </xf>
    <xf numFmtId="164" fontId="45" fillId="21" borderId="0" xfId="0" applyFont="1" applyFill="1" applyAlignment="1" applyProtection="1">
      <alignment vertical="center"/>
      <protection locked="0"/>
    </xf>
    <xf numFmtId="169" fontId="46" fillId="21" borderId="0" xfId="0" applyNumberFormat="1" applyFont="1" applyFill="1" applyAlignment="1">
      <alignment horizontal="left"/>
    </xf>
    <xf numFmtId="169" fontId="61" fillId="21" borderId="0" xfId="0" applyNumberFormat="1" applyFont="1" applyFill="1" applyAlignment="1">
      <alignment horizontal="center"/>
    </xf>
    <xf numFmtId="169" fontId="38" fillId="21" borderId="0" xfId="0" applyNumberFormat="1" applyFont="1" applyFill="1" applyAlignment="1">
      <alignment horizontal="center"/>
    </xf>
    <xf numFmtId="169" fontId="38" fillId="21" borderId="0" xfId="0" applyNumberFormat="1" applyFont="1" applyFill="1"/>
    <xf numFmtId="168" fontId="38" fillId="21" borderId="0" xfId="161" applyNumberFormat="1" applyFont="1" applyFill="1"/>
    <xf numFmtId="168" fontId="62" fillId="21" borderId="0" xfId="161" applyNumberFormat="1" applyFont="1" applyFill="1" applyAlignment="1" applyProtection="1">
      <alignment horizontal="right"/>
    </xf>
    <xf numFmtId="169" fontId="38" fillId="21" borderId="0" xfId="410" applyNumberFormat="1" applyFont="1" applyFill="1"/>
    <xf numFmtId="169" fontId="63" fillId="21" borderId="0" xfId="0" applyNumberFormat="1" applyFont="1" applyFill="1" applyAlignment="1">
      <alignment horizontal="center"/>
    </xf>
    <xf numFmtId="169" fontId="64" fillId="21" borderId="0" xfId="0" applyNumberFormat="1" applyFont="1" applyFill="1" applyAlignment="1">
      <alignment horizontal="center"/>
    </xf>
    <xf numFmtId="169" fontId="65" fillId="21" borderId="0" xfId="0" applyNumberFormat="1" applyFont="1" applyFill="1"/>
    <xf numFmtId="169" fontId="64" fillId="21" borderId="0" xfId="0" applyNumberFormat="1" applyFont="1" applyFill="1"/>
    <xf numFmtId="168" fontId="64" fillId="21" borderId="0" xfId="161" applyNumberFormat="1" applyFont="1" applyFill="1" applyProtection="1"/>
    <xf numFmtId="168" fontId="63" fillId="21" borderId="0" xfId="161" applyNumberFormat="1" applyFont="1" applyFill="1"/>
    <xf numFmtId="169" fontId="63" fillId="21" borderId="0" xfId="410" applyNumberFormat="1" applyFont="1" applyFill="1"/>
    <xf numFmtId="169" fontId="63" fillId="21" borderId="0" xfId="0" applyNumberFormat="1" applyFont="1" applyFill="1"/>
    <xf numFmtId="169" fontId="48" fillId="21" borderId="0" xfId="0" applyNumberFormat="1" applyFont="1" applyFill="1"/>
    <xf numFmtId="164" fontId="58" fillId="21" borderId="0" xfId="0" applyFont="1" applyFill="1" applyAlignment="1">
      <alignment horizontal="center"/>
    </xf>
    <xf numFmtId="169" fontId="15" fillId="21" borderId="0" xfId="0" applyNumberFormat="1" applyFont="1" applyFill="1" applyAlignment="1">
      <alignment horizontal="center"/>
    </xf>
    <xf numFmtId="169" fontId="15" fillId="21" borderId="0" xfId="0" applyNumberFormat="1" applyFont="1" applyFill="1"/>
    <xf numFmtId="164" fontId="66" fillId="21" borderId="0" xfId="0" applyFont="1" applyFill="1" applyAlignment="1">
      <alignment horizontal="center"/>
    </xf>
    <xf numFmtId="168" fontId="15" fillId="21" borderId="0" xfId="161" applyNumberFormat="1" applyFont="1" applyFill="1" applyAlignment="1"/>
    <xf numFmtId="169" fontId="58" fillId="21" borderId="0" xfId="0" applyNumberFormat="1" applyFont="1" applyFill="1"/>
    <xf numFmtId="43" fontId="63" fillId="21" borderId="0" xfId="161" quotePrefix="1" applyFont="1" applyFill="1" applyAlignment="1">
      <alignment horizontal="center"/>
    </xf>
    <xf numFmtId="168" fontId="63" fillId="21" borderId="0" xfId="161" quotePrefix="1" applyNumberFormat="1" applyFont="1" applyFill="1" applyAlignment="1">
      <alignment horizontal="center"/>
    </xf>
    <xf numFmtId="0" fontId="63" fillId="21" borderId="0" xfId="5" quotePrefix="1" applyFont="1" applyFill="1" applyAlignment="1">
      <alignment horizontal="center"/>
    </xf>
    <xf numFmtId="169" fontId="66" fillId="21" borderId="0" xfId="0" applyNumberFormat="1" applyFont="1" applyFill="1"/>
    <xf numFmtId="168" fontId="58" fillId="21" borderId="0" xfId="161" applyNumberFormat="1" applyFont="1" applyFill="1" applyBorder="1" applyAlignment="1"/>
    <xf numFmtId="168" fontId="15" fillId="21" borderId="17" xfId="161" applyNumberFormat="1" applyFont="1" applyFill="1" applyBorder="1" applyAlignment="1">
      <alignment horizontal="center"/>
    </xf>
    <xf numFmtId="168" fontId="15" fillId="21" borderId="0" xfId="161" applyNumberFormat="1" applyFont="1" applyFill="1" applyAlignment="1">
      <alignment horizontal="center"/>
    </xf>
    <xf numFmtId="169" fontId="15" fillId="21" borderId="0" xfId="0" applyNumberFormat="1" applyFont="1" applyFill="1" applyAlignment="1">
      <alignment horizontal="left"/>
    </xf>
    <xf numFmtId="169" fontId="15" fillId="21" borderId="0" xfId="0" applyNumberFormat="1" applyFont="1" applyFill="1" applyAlignment="1">
      <alignment horizontal="left" indent="1"/>
    </xf>
    <xf numFmtId="168" fontId="15" fillId="39" borderId="0" xfId="161" applyNumberFormat="1" applyFont="1" applyFill="1" applyAlignment="1"/>
    <xf numFmtId="169" fontId="15" fillId="39" borderId="0" xfId="0" applyNumberFormat="1" applyFont="1" applyFill="1" applyAlignment="1">
      <alignment horizontal="left" indent="1"/>
    </xf>
    <xf numFmtId="169" fontId="15" fillId="39" borderId="0" xfId="0" applyNumberFormat="1" applyFont="1" applyFill="1"/>
    <xf numFmtId="168" fontId="15" fillId="21" borderId="4" xfId="161" applyNumberFormat="1" applyFont="1" applyFill="1" applyBorder="1" applyAlignment="1"/>
    <xf numFmtId="169" fontId="67" fillId="21" borderId="0" xfId="0" applyNumberFormat="1" applyFont="1" applyFill="1" applyAlignment="1">
      <alignment horizontal="center"/>
    </xf>
    <xf numFmtId="169" fontId="67" fillId="21" borderId="0" xfId="0" applyNumberFormat="1" applyFont="1" applyFill="1" applyAlignment="1">
      <alignment horizontal="left" indent="1"/>
    </xf>
    <xf numFmtId="169" fontId="67" fillId="21" borderId="0" xfId="0" applyNumberFormat="1" applyFont="1" applyFill="1"/>
    <xf numFmtId="164" fontId="68" fillId="21" borderId="0" xfId="0" applyFont="1" applyFill="1"/>
    <xf numFmtId="168" fontId="67" fillId="21" borderId="0" xfId="161" applyNumberFormat="1" applyFont="1" applyFill="1" applyAlignment="1"/>
    <xf numFmtId="169" fontId="69" fillId="21" borderId="0" xfId="0" applyNumberFormat="1" applyFont="1" applyFill="1"/>
    <xf numFmtId="169" fontId="69" fillId="21" borderId="0" xfId="0" applyNumberFormat="1" applyFont="1" applyFill="1" applyAlignment="1">
      <alignment horizontal="center"/>
    </xf>
    <xf numFmtId="168" fontId="15" fillId="21" borderId="0" xfId="161" applyNumberFormat="1" applyFont="1" applyFill="1" applyBorder="1" applyAlignment="1"/>
    <xf numFmtId="169" fontId="66" fillId="21" borderId="0" xfId="0" applyNumberFormat="1" applyFont="1" applyFill="1" applyAlignment="1">
      <alignment horizontal="left"/>
    </xf>
    <xf numFmtId="168" fontId="58" fillId="21" borderId="0" xfId="161" applyNumberFormat="1" applyFont="1" applyFill="1" applyAlignment="1">
      <alignment horizontal="center"/>
    </xf>
    <xf numFmtId="169" fontId="66" fillId="21" borderId="0" xfId="0" applyNumberFormat="1" applyFont="1" applyFill="1" applyAlignment="1">
      <alignment horizontal="center"/>
    </xf>
    <xf numFmtId="168" fontId="66" fillId="21" borderId="0" xfId="161" applyNumberFormat="1" applyFont="1" applyFill="1" applyAlignment="1"/>
    <xf numFmtId="168" fontId="66" fillId="21" borderId="0" xfId="161" applyNumberFormat="1" applyFont="1" applyFill="1" applyAlignment="1">
      <alignment horizontal="center"/>
    </xf>
    <xf numFmtId="168" fontId="15" fillId="21" borderId="17" xfId="161" applyNumberFormat="1" applyFont="1" applyFill="1" applyBorder="1" applyAlignment="1"/>
    <xf numFmtId="168" fontId="15" fillId="39" borderId="0" xfId="161" applyNumberFormat="1" applyFont="1" applyFill="1" applyBorder="1" applyAlignment="1"/>
    <xf numFmtId="169" fontId="15" fillId="39" borderId="0" xfId="0" applyNumberFormat="1" applyFont="1" applyFill="1" applyAlignment="1">
      <alignment horizontal="center"/>
    </xf>
    <xf numFmtId="168" fontId="15" fillId="39" borderId="17" xfId="161" applyNumberFormat="1" applyFont="1" applyFill="1" applyBorder="1" applyAlignment="1"/>
    <xf numFmtId="169" fontId="15" fillId="21" borderId="0" xfId="0" applyNumberFormat="1" applyFont="1" applyFill="1" applyAlignment="1">
      <alignment horizontal="left" indent="2"/>
    </xf>
    <xf numFmtId="168" fontId="15" fillId="21" borderId="3" xfId="161" applyNumberFormat="1" applyFont="1" applyFill="1" applyBorder="1" applyAlignment="1"/>
    <xf numFmtId="168" fontId="15" fillId="21" borderId="0" xfId="161" applyNumberFormat="1" applyFont="1" applyFill="1" applyAlignment="1">
      <alignment horizontal="right"/>
    </xf>
    <xf numFmtId="168" fontId="67" fillId="21" borderId="0" xfId="161" applyNumberFormat="1" applyFont="1" applyFill="1" applyBorder="1" applyAlignment="1"/>
    <xf numFmtId="169" fontId="70" fillId="21" borderId="0" xfId="0" applyNumberFormat="1" applyFont="1" applyFill="1" applyAlignment="1">
      <alignment horizontal="center"/>
    </xf>
    <xf numFmtId="168" fontId="67" fillId="21" borderId="0" xfId="161" applyNumberFormat="1" applyFont="1" applyFill="1"/>
    <xf numFmtId="168" fontId="15" fillId="39" borderId="0" xfId="161" applyNumberFormat="1" applyFont="1" applyFill="1"/>
    <xf numFmtId="168" fontId="15" fillId="21" borderId="0" xfId="161" applyNumberFormat="1" applyFont="1" applyFill="1" applyBorder="1"/>
    <xf numFmtId="168" fontId="58" fillId="21" borderId="0" xfId="161" applyNumberFormat="1" applyFont="1" applyFill="1"/>
    <xf numFmtId="169" fontId="63" fillId="39" borderId="0" xfId="0" applyNumberFormat="1" applyFont="1" applyFill="1" applyAlignment="1">
      <alignment horizontal="center"/>
    </xf>
    <xf numFmtId="169" fontId="63" fillId="39" borderId="0" xfId="0" applyNumberFormat="1" applyFont="1" applyFill="1"/>
    <xf numFmtId="168" fontId="63" fillId="39" borderId="0" xfId="161" applyNumberFormat="1" applyFont="1" applyFill="1"/>
    <xf numFmtId="169" fontId="15" fillId="0" borderId="0" xfId="0" applyNumberFormat="1" applyFont="1" applyAlignment="1">
      <alignment horizontal="left" indent="1"/>
    </xf>
    <xf numFmtId="168" fontId="15" fillId="21" borderId="17" xfId="161" applyNumberFormat="1" applyFont="1" applyFill="1" applyBorder="1"/>
    <xf numFmtId="168" fontId="67" fillId="21" borderId="0" xfId="161" applyNumberFormat="1" applyFont="1" applyFill="1" applyBorder="1"/>
    <xf numFmtId="164" fontId="61" fillId="21" borderId="0" xfId="0" applyFont="1" applyFill="1"/>
    <xf numFmtId="164" fontId="71" fillId="21" borderId="0" xfId="0" applyFont="1" applyFill="1"/>
    <xf numFmtId="43" fontId="71" fillId="21" borderId="0" xfId="410" applyFont="1" applyFill="1"/>
    <xf numFmtId="164" fontId="56" fillId="21" borderId="0" xfId="0" applyFont="1" applyFill="1"/>
    <xf numFmtId="164" fontId="48" fillId="21" borderId="0" xfId="0" applyFont="1" applyFill="1"/>
    <xf numFmtId="164" fontId="57" fillId="21" borderId="0" xfId="0" applyFont="1" applyFill="1"/>
    <xf numFmtId="164" fontId="72" fillId="21" borderId="0" xfId="0" applyFont="1" applyFill="1"/>
    <xf numFmtId="43" fontId="56" fillId="21" borderId="0" xfId="410" applyFont="1" applyFill="1"/>
    <xf numFmtId="164" fontId="73" fillId="21" borderId="0" xfId="0" applyFont="1" applyFill="1"/>
    <xf numFmtId="164" fontId="63" fillId="21" borderId="0" xfId="0" applyFont="1" applyFill="1"/>
    <xf numFmtId="49" fontId="57" fillId="21" borderId="0" xfId="0" applyNumberFormat="1" applyFont="1" applyFill="1" applyAlignment="1">
      <alignment horizontal="center"/>
    </xf>
    <xf numFmtId="183" fontId="45" fillId="21" borderId="0" xfId="513" applyNumberFormat="1" applyFont="1" applyFill="1"/>
    <xf numFmtId="43" fontId="46" fillId="21" borderId="0" xfId="410" applyFont="1" applyFill="1" applyBorder="1" applyAlignment="1">
      <alignment horizontal="center"/>
    </xf>
    <xf numFmtId="183" fontId="45" fillId="21" borderId="0" xfId="513" applyNumberFormat="1" applyFont="1" applyFill="1" applyAlignment="1">
      <alignment horizontal="center"/>
    </xf>
    <xf numFmtId="43" fontId="46" fillId="21" borderId="17" xfId="410" applyFont="1" applyFill="1" applyBorder="1" applyAlignment="1">
      <alignment horizontal="center"/>
    </xf>
    <xf numFmtId="43" fontId="45" fillId="21" borderId="0" xfId="410" applyFont="1" applyFill="1" applyAlignment="1">
      <alignment horizontal="centerContinuous"/>
    </xf>
    <xf numFmtId="168" fontId="45" fillId="39" borderId="0" xfId="410" applyNumberFormat="1" applyFont="1" applyFill="1"/>
    <xf numFmtId="168" fontId="45" fillId="21" borderId="0" xfId="410" applyNumberFormat="1" applyFont="1" applyFill="1"/>
    <xf numFmtId="183" fontId="45" fillId="21" borderId="0" xfId="513" quotePrefix="1" applyNumberFormat="1" applyFont="1" applyFill="1"/>
    <xf numFmtId="168" fontId="45" fillId="39" borderId="0" xfId="161" applyNumberFormat="1" applyFont="1" applyFill="1"/>
    <xf numFmtId="183" fontId="45" fillId="39" borderId="0" xfId="513" applyNumberFormat="1" applyFont="1" applyFill="1"/>
    <xf numFmtId="168" fontId="45" fillId="21" borderId="0" xfId="410" applyNumberFormat="1" applyFont="1" applyFill="1" applyBorder="1"/>
    <xf numFmtId="168" fontId="45" fillId="21" borderId="17" xfId="410" applyNumberFormat="1" applyFont="1" applyFill="1" applyBorder="1"/>
    <xf numFmtId="168" fontId="45" fillId="39" borderId="17" xfId="410" applyNumberFormat="1" applyFont="1" applyFill="1" applyBorder="1"/>
    <xf numFmtId="168" fontId="45" fillId="0" borderId="17" xfId="410" applyNumberFormat="1" applyFont="1" applyFill="1" applyBorder="1"/>
    <xf numFmtId="168" fontId="45" fillId="0" borderId="0" xfId="410" applyNumberFormat="1" applyFont="1" applyFill="1"/>
    <xf numFmtId="183" fontId="46" fillId="21" borderId="0" xfId="513" applyNumberFormat="1" applyFont="1" applyFill="1" applyAlignment="1">
      <alignment horizontal="center" vertical="center" textRotation="90"/>
    </xf>
    <xf numFmtId="168" fontId="46" fillId="21" borderId="0" xfId="410" applyNumberFormat="1" applyFont="1" applyFill="1" applyAlignment="1">
      <alignment horizontal="center" vertical="center" textRotation="90"/>
    </xf>
    <xf numFmtId="168" fontId="45" fillId="21" borderId="3" xfId="410" applyNumberFormat="1" applyFont="1" applyFill="1" applyBorder="1"/>
    <xf numFmtId="0" fontId="4" fillId="21" borderId="0" xfId="513" applyFont="1" applyFill="1"/>
    <xf numFmtId="43" fontId="4" fillId="21" borderId="0" xfId="410" applyFont="1" applyFill="1"/>
    <xf numFmtId="164" fontId="56" fillId="21" borderId="0" xfId="0" applyFont="1" applyFill="1" applyAlignment="1">
      <alignment horizontal="left"/>
    </xf>
    <xf numFmtId="164" fontId="57" fillId="21" borderId="0" xfId="0" applyFont="1" applyFill="1" applyAlignment="1">
      <alignment horizontal="left"/>
    </xf>
    <xf numFmtId="0" fontId="46" fillId="21" borderId="0" xfId="6" applyFont="1" applyFill="1"/>
    <xf numFmtId="0" fontId="45" fillId="21" borderId="0" xfId="5" applyFont="1" applyFill="1" applyAlignment="1">
      <alignment horizontal="left"/>
    </xf>
    <xf numFmtId="0" fontId="38" fillId="21" borderId="0" xfId="5" applyFont="1" applyFill="1" applyAlignment="1">
      <alignment horizontal="center"/>
    </xf>
    <xf numFmtId="0" fontId="45" fillId="21" borderId="0" xfId="5" applyFont="1" applyFill="1" applyAlignment="1">
      <alignment horizontal="center"/>
    </xf>
    <xf numFmtId="0" fontId="45" fillId="21" borderId="0" xfId="5" applyFont="1" applyFill="1" applyAlignment="1">
      <alignment horizontal="right"/>
    </xf>
    <xf numFmtId="0" fontId="45" fillId="21" borderId="0" xfId="5" applyFont="1" applyFill="1"/>
    <xf numFmtId="0" fontId="38" fillId="21" borderId="0" xfId="5" applyFont="1" applyFill="1"/>
    <xf numFmtId="0" fontId="62" fillId="21" borderId="0" xfId="5" applyFont="1" applyFill="1" applyAlignment="1">
      <alignment horizontal="center"/>
    </xf>
    <xf numFmtId="0" fontId="62" fillId="21" borderId="17" xfId="5" applyFont="1" applyFill="1" applyBorder="1" applyAlignment="1">
      <alignment horizontal="center"/>
    </xf>
    <xf numFmtId="17" fontId="62" fillId="21" borderId="0" xfId="5" applyNumberFormat="1" applyFont="1" applyFill="1" applyAlignment="1">
      <alignment horizontal="center"/>
    </xf>
    <xf numFmtId="49" fontId="62" fillId="39" borderId="17" xfId="5" applyNumberFormat="1" applyFont="1" applyFill="1" applyBorder="1" applyAlignment="1">
      <alignment horizontal="center"/>
    </xf>
    <xf numFmtId="49" fontId="46" fillId="21" borderId="0" xfId="5" applyNumberFormat="1" applyFont="1" applyFill="1" applyAlignment="1">
      <alignment horizontal="center"/>
    </xf>
    <xf numFmtId="0" fontId="15" fillId="21" borderId="0" xfId="5" applyFont="1" applyFill="1" applyAlignment="1">
      <alignment horizontal="center"/>
    </xf>
    <xf numFmtId="0" fontId="15" fillId="21" borderId="0" xfId="5" quotePrefix="1" applyFont="1" applyFill="1" applyAlignment="1">
      <alignment horizontal="center"/>
    </xf>
    <xf numFmtId="0" fontId="46" fillId="21" borderId="0" xfId="5" applyFont="1" applyFill="1" applyAlignment="1">
      <alignment horizontal="left"/>
    </xf>
    <xf numFmtId="164" fontId="58" fillId="21" borderId="0" xfId="0" applyFont="1" applyFill="1" applyAlignment="1">
      <alignment horizontal="left"/>
    </xf>
    <xf numFmtId="169" fontId="38" fillId="21" borderId="0" xfId="5" applyNumberFormat="1" applyFont="1" applyFill="1"/>
    <xf numFmtId="41" fontId="38" fillId="21" borderId="0" xfId="5" applyNumberFormat="1" applyFont="1" applyFill="1"/>
    <xf numFmtId="170" fontId="15" fillId="21" borderId="0" xfId="0" applyNumberFormat="1" applyFont="1" applyFill="1" applyAlignment="1">
      <alignment horizontal="left" indent="2"/>
    </xf>
    <xf numFmtId="41" fontId="74" fillId="39" borderId="0" xfId="9" applyNumberFormat="1" applyFont="1" applyFill="1"/>
    <xf numFmtId="0" fontId="62" fillId="21" borderId="0" xfId="5" applyFont="1" applyFill="1"/>
    <xf numFmtId="5" fontId="38" fillId="21" borderId="0" xfId="5" applyNumberFormat="1" applyFont="1" applyFill="1"/>
    <xf numFmtId="170" fontId="15" fillId="21" borderId="0" xfId="0" applyNumberFormat="1" applyFont="1" applyFill="1" applyAlignment="1">
      <alignment horizontal="left" indent="3"/>
    </xf>
    <xf numFmtId="170" fontId="56" fillId="21" borderId="0" xfId="0" applyNumberFormat="1" applyFont="1" applyFill="1"/>
    <xf numFmtId="41" fontId="74" fillId="21" borderId="0" xfId="9" applyNumberFormat="1" applyFont="1" applyFill="1"/>
    <xf numFmtId="170" fontId="15" fillId="21" borderId="0" xfId="0" applyNumberFormat="1" applyFont="1" applyFill="1" applyAlignment="1">
      <alignment horizontal="left" indent="8"/>
    </xf>
    <xf numFmtId="41" fontId="74" fillId="21" borderId="17" xfId="9" applyNumberFormat="1" applyFont="1" applyFill="1" applyBorder="1"/>
    <xf numFmtId="170" fontId="15" fillId="21" borderId="0" xfId="0" applyNumberFormat="1" applyFont="1" applyFill="1"/>
    <xf numFmtId="170" fontId="15" fillId="39" borderId="0" xfId="0" quotePrefix="1" applyNumberFormat="1" applyFont="1" applyFill="1" applyAlignment="1">
      <alignment horizontal="left" indent="2"/>
    </xf>
    <xf numFmtId="170" fontId="15" fillId="21" borderId="0" xfId="0" applyNumberFormat="1" applyFont="1" applyFill="1" applyAlignment="1">
      <alignment horizontal="left" indent="6"/>
    </xf>
    <xf numFmtId="170" fontId="56" fillId="21" borderId="0" xfId="0" applyNumberFormat="1" applyFont="1" applyFill="1" applyAlignment="1">
      <alignment horizontal="left" indent="8"/>
    </xf>
    <xf numFmtId="41" fontId="74" fillId="39" borderId="17" xfId="9" applyNumberFormat="1" applyFont="1" applyFill="1" applyBorder="1"/>
    <xf numFmtId="170" fontId="58" fillId="21" borderId="0" xfId="0" applyNumberFormat="1" applyFont="1" applyFill="1" applyAlignment="1">
      <alignment horizontal="left"/>
    </xf>
    <xf numFmtId="0" fontId="46" fillId="21" borderId="0" xfId="5" applyFont="1" applyFill="1"/>
    <xf numFmtId="41" fontId="75" fillId="21" borderId="4" xfId="397" applyNumberFormat="1" applyFont="1" applyFill="1" applyBorder="1"/>
    <xf numFmtId="5" fontId="62" fillId="21" borderId="0" xfId="5" applyNumberFormat="1" applyFont="1" applyFill="1"/>
    <xf numFmtId="167" fontId="75" fillId="21" borderId="0" xfId="397" applyNumberFormat="1" applyFont="1" applyFill="1" applyBorder="1"/>
    <xf numFmtId="0" fontId="63" fillId="21" borderId="0" xfId="5" applyFont="1" applyFill="1" applyAlignment="1">
      <alignment horizontal="left"/>
    </xf>
    <xf numFmtId="0" fontId="63" fillId="21" borderId="0" xfId="5" applyFont="1" applyFill="1"/>
    <xf numFmtId="0" fontId="15" fillId="21" borderId="0" xfId="5" applyFont="1" applyFill="1" applyAlignment="1">
      <alignment horizontal="left"/>
    </xf>
    <xf numFmtId="167" fontId="38" fillId="21" borderId="0" xfId="5" applyNumberFormat="1" applyFont="1" applyFill="1"/>
    <xf numFmtId="0" fontId="46" fillId="21" borderId="0" xfId="5" applyFont="1" applyFill="1" applyAlignment="1">
      <alignment horizontal="center"/>
    </xf>
    <xf numFmtId="49" fontId="62" fillId="21" borderId="17" xfId="5" applyNumberFormat="1" applyFont="1" applyFill="1" applyBorder="1" applyAlignment="1">
      <alignment horizontal="center"/>
    </xf>
    <xf numFmtId="49" fontId="62" fillId="21" borderId="0" xfId="5" applyNumberFormat="1" applyFont="1" applyFill="1" applyAlignment="1">
      <alignment horizontal="center"/>
    </xf>
    <xf numFmtId="170" fontId="15" fillId="21" borderId="0" xfId="0" applyNumberFormat="1" applyFont="1" applyFill="1" applyAlignment="1">
      <alignment horizontal="left" indent="4"/>
    </xf>
    <xf numFmtId="44" fontId="15" fillId="21" borderId="0" xfId="0" applyNumberFormat="1" applyFont="1" applyFill="1" applyAlignment="1">
      <alignment horizontal="left"/>
    </xf>
    <xf numFmtId="167" fontId="75" fillId="21" borderId="0" xfId="5" applyNumberFormat="1" applyFont="1" applyFill="1"/>
    <xf numFmtId="164" fontId="76" fillId="21" borderId="0" xfId="0" applyFont="1" applyFill="1"/>
    <xf numFmtId="14" fontId="46" fillId="21" borderId="0" xfId="0" applyNumberFormat="1" applyFont="1" applyFill="1" applyAlignment="1">
      <alignment horizontal="left"/>
    </xf>
    <xf numFmtId="0" fontId="45" fillId="21" borderId="0" xfId="6" applyFont="1" applyFill="1"/>
    <xf numFmtId="0" fontId="46" fillId="21" borderId="0" xfId="6" quotePrefix="1" applyFont="1" applyFill="1"/>
    <xf numFmtId="0" fontId="45" fillId="21" borderId="0" xfId="6" applyFont="1" applyFill="1" applyAlignment="1">
      <alignment horizontal="center"/>
    </xf>
    <xf numFmtId="0" fontId="45" fillId="21" borderId="0" xfId="6" applyFont="1" applyFill="1" applyAlignment="1">
      <alignment horizontal="right"/>
    </xf>
    <xf numFmtId="1" fontId="45" fillId="21" borderId="0" xfId="6" applyNumberFormat="1" applyFont="1" applyFill="1" applyAlignment="1">
      <alignment horizontal="left"/>
    </xf>
    <xf numFmtId="49" fontId="45" fillId="21" borderId="0" xfId="6" applyNumberFormat="1" applyFont="1" applyFill="1" applyAlignment="1">
      <alignment horizontal="left"/>
    </xf>
    <xf numFmtId="0" fontId="46" fillId="21" borderId="0" xfId="6" applyFont="1" applyFill="1" applyAlignment="1">
      <alignment horizontal="right"/>
    </xf>
    <xf numFmtId="49" fontId="46" fillId="39" borderId="17" xfId="5" applyNumberFormat="1" applyFont="1" applyFill="1" applyBorder="1" applyAlignment="1">
      <alignment horizontal="center"/>
    </xf>
    <xf numFmtId="0" fontId="15" fillId="21" borderId="0" xfId="6" applyFont="1" applyFill="1" applyAlignment="1">
      <alignment horizontal="center"/>
    </xf>
    <xf numFmtId="0" fontId="15" fillId="21" borderId="0" xfId="6" quotePrefix="1" applyFont="1" applyFill="1" applyAlignment="1">
      <alignment horizontal="center"/>
    </xf>
    <xf numFmtId="0" fontId="15" fillId="21" borderId="0" xfId="6" applyFont="1" applyFill="1"/>
    <xf numFmtId="164" fontId="58" fillId="21" borderId="0" xfId="0" applyFont="1" applyFill="1"/>
    <xf numFmtId="164" fontId="15" fillId="21" borderId="0" xfId="0" applyFont="1" applyFill="1" applyAlignment="1">
      <alignment horizontal="left"/>
    </xf>
    <xf numFmtId="41" fontId="15" fillId="39" borderId="0" xfId="410" applyNumberFormat="1" applyFont="1" applyFill="1"/>
    <xf numFmtId="164" fontId="15" fillId="39" borderId="0" xfId="0" quotePrefix="1" applyFont="1" applyFill="1"/>
    <xf numFmtId="164" fontId="15" fillId="39" borderId="0" xfId="0" applyFont="1" applyFill="1"/>
    <xf numFmtId="41" fontId="58" fillId="21" borderId="0" xfId="147" applyNumberFormat="1" applyFont="1" applyFill="1"/>
    <xf numFmtId="41" fontId="15" fillId="21" borderId="0" xfId="0" applyNumberFormat="1" applyFont="1" applyFill="1"/>
    <xf numFmtId="41" fontId="15" fillId="21" borderId="0" xfId="410" applyNumberFormat="1" applyFont="1" applyFill="1"/>
    <xf numFmtId="41" fontId="58" fillId="21" borderId="3" xfId="147" applyNumberFormat="1" applyFont="1" applyFill="1" applyBorder="1"/>
    <xf numFmtId="41" fontId="15" fillId="39" borderId="0" xfId="147" applyNumberFormat="1" applyFont="1" applyFill="1"/>
    <xf numFmtId="41" fontId="15" fillId="39" borderId="17" xfId="147" applyNumberFormat="1" applyFont="1" applyFill="1" applyBorder="1"/>
    <xf numFmtId="41" fontId="15" fillId="39" borderId="0" xfId="147" applyNumberFormat="1" applyFont="1" applyFill="1" applyBorder="1"/>
    <xf numFmtId="41" fontId="15" fillId="21" borderId="0" xfId="147" applyNumberFormat="1" applyFont="1" applyFill="1" applyBorder="1"/>
    <xf numFmtId="41" fontId="15" fillId="21" borderId="0" xfId="147" applyNumberFormat="1" applyFont="1" applyFill="1"/>
    <xf numFmtId="41" fontId="15" fillId="21" borderId="2" xfId="147" applyNumberFormat="1" applyFont="1" applyFill="1" applyBorder="1"/>
    <xf numFmtId="10" fontId="45" fillId="21" borderId="0" xfId="148" applyNumberFormat="1" applyFont="1" applyFill="1" applyProtection="1"/>
    <xf numFmtId="10" fontId="46" fillId="21" borderId="0" xfId="0" applyNumberFormat="1" applyFont="1" applyFill="1"/>
    <xf numFmtId="10" fontId="46" fillId="21" borderId="0" xfId="148" applyNumberFormat="1" applyFont="1" applyFill="1" applyProtection="1"/>
    <xf numFmtId="164" fontId="59" fillId="21" borderId="0" xfId="0" applyFont="1" applyFill="1"/>
    <xf numFmtId="0" fontId="45" fillId="21" borderId="0" xfId="144" applyFont="1" applyFill="1"/>
    <xf numFmtId="41" fontId="46" fillId="21" borderId="0" xfId="363" applyNumberFormat="1" applyFont="1" applyFill="1"/>
    <xf numFmtId="41" fontId="45" fillId="39" borderId="0" xfId="364" applyNumberFormat="1" applyFont="1" applyFill="1"/>
    <xf numFmtId="41" fontId="45" fillId="21" borderId="0" xfId="363" applyNumberFormat="1" applyFont="1" applyFill="1"/>
    <xf numFmtId="41" fontId="46" fillId="21" borderId="0" xfId="163" applyNumberFormat="1" applyFont="1" applyFill="1"/>
    <xf numFmtId="0" fontId="46" fillId="21" borderId="0" xfId="144" applyFont="1" applyFill="1"/>
    <xf numFmtId="43" fontId="46" fillId="21" borderId="0" xfId="161" applyFont="1" applyFill="1"/>
    <xf numFmtId="43" fontId="46" fillId="21" borderId="0" xfId="161" applyFont="1" applyFill="1" applyAlignment="1" applyProtection="1">
      <alignment horizontal="right"/>
    </xf>
    <xf numFmtId="43" fontId="73" fillId="21" borderId="0" xfId="161" applyFont="1" applyFill="1" applyAlignment="1" applyProtection="1"/>
    <xf numFmtId="43" fontId="15" fillId="21" borderId="0" xfId="161" applyFont="1" applyFill="1"/>
    <xf numFmtId="0" fontId="45" fillId="21" borderId="0" xfId="144" applyFont="1" applyFill="1" applyAlignment="1">
      <alignment horizontal="center"/>
    </xf>
    <xf numFmtId="43" fontId="15" fillId="21" borderId="0" xfId="161" quotePrefix="1" applyFont="1" applyFill="1" applyBorder="1" applyAlignment="1">
      <alignment horizontal="center"/>
    </xf>
    <xf numFmtId="43" fontId="46" fillId="21" borderId="0" xfId="161" applyFont="1" applyFill="1" applyAlignment="1">
      <alignment horizontal="center"/>
    </xf>
    <xf numFmtId="0" fontId="46" fillId="21" borderId="0" xfId="144" applyFont="1" applyFill="1" applyAlignment="1">
      <alignment horizontal="center"/>
    </xf>
    <xf numFmtId="10" fontId="45" fillId="21" borderId="0" xfId="146" applyNumberFormat="1" applyFont="1" applyFill="1"/>
    <xf numFmtId="43" fontId="45" fillId="21" borderId="2" xfId="161" applyFont="1" applyFill="1" applyBorder="1"/>
    <xf numFmtId="10" fontId="45" fillId="21" borderId="2" xfId="148" applyNumberFormat="1" applyFont="1" applyFill="1" applyBorder="1"/>
    <xf numFmtId="10" fontId="45" fillId="21" borderId="11" xfId="148" applyNumberFormat="1" applyFont="1" applyFill="1" applyBorder="1"/>
    <xf numFmtId="9" fontId="45" fillId="21" borderId="0" xfId="148" applyFont="1" applyFill="1"/>
    <xf numFmtId="0" fontId="45" fillId="21" borderId="0" xfId="144" applyFont="1" applyFill="1" applyAlignment="1">
      <alignment horizontal="left"/>
    </xf>
    <xf numFmtId="0" fontId="45" fillId="21" borderId="0" xfId="144" quotePrefix="1" applyFont="1" applyFill="1" applyAlignment="1">
      <alignment horizontal="left"/>
    </xf>
    <xf numFmtId="164" fontId="59" fillId="21" borderId="0" xfId="193" applyFont="1" applyFill="1"/>
    <xf numFmtId="164" fontId="45" fillId="21" borderId="0" xfId="193" applyFont="1" applyFill="1"/>
    <xf numFmtId="164" fontId="73" fillId="21" borderId="0" xfId="193" applyFont="1" applyFill="1"/>
    <xf numFmtId="164" fontId="66" fillId="21" borderId="0" xfId="193" applyFont="1" applyFill="1"/>
    <xf numFmtId="164" fontId="57" fillId="21" borderId="0" xfId="193" applyFont="1" applyFill="1"/>
    <xf numFmtId="164" fontId="15" fillId="21" borderId="0" xfId="193" applyFont="1" applyFill="1"/>
    <xf numFmtId="49" fontId="57" fillId="21" borderId="0" xfId="193" applyNumberFormat="1" applyFont="1" applyFill="1" applyAlignment="1">
      <alignment horizontal="center"/>
    </xf>
    <xf numFmtId="164" fontId="15" fillId="21" borderId="0" xfId="0" applyFont="1" applyFill="1" applyAlignment="1">
      <alignment horizontal="center"/>
    </xf>
    <xf numFmtId="0" fontId="15" fillId="21" borderId="0" xfId="8" applyFont="1" applyFill="1" applyAlignment="1">
      <alignment horizontal="center"/>
    </xf>
    <xf numFmtId="0" fontId="58" fillId="21" borderId="0" xfId="8" applyFont="1" applyFill="1"/>
    <xf numFmtId="0" fontId="58" fillId="21" borderId="0" xfId="8" applyFont="1" applyFill="1" applyAlignment="1">
      <alignment horizontal="center"/>
    </xf>
    <xf numFmtId="14" fontId="15" fillId="39" borderId="0" xfId="8" applyNumberFormat="1" applyFont="1" applyFill="1"/>
    <xf numFmtId="0" fontId="15" fillId="39" borderId="0" xfId="8" applyFont="1" applyFill="1"/>
    <xf numFmtId="164" fontId="15" fillId="21" borderId="0" xfId="0" quotePrefix="1" applyFont="1" applyFill="1" applyAlignment="1">
      <alignment horizontal="center"/>
    </xf>
    <xf numFmtId="0" fontId="50" fillId="21" borderId="0" xfId="0" applyNumberFormat="1" applyFont="1" applyFill="1" applyAlignment="1">
      <alignment horizontal="center"/>
    </xf>
    <xf numFmtId="0" fontId="50" fillId="21" borderId="17" xfId="0" applyNumberFormat="1" applyFont="1" applyFill="1" applyBorder="1" applyAlignment="1">
      <alignment horizontal="center"/>
    </xf>
    <xf numFmtId="0" fontId="49" fillId="21" borderId="0" xfId="0" applyNumberFormat="1" applyFont="1" applyFill="1"/>
    <xf numFmtId="0" fontId="49" fillId="39" borderId="0" xfId="0" applyNumberFormat="1" applyFont="1" applyFill="1"/>
    <xf numFmtId="168" fontId="49" fillId="39" borderId="0" xfId="161" applyNumberFormat="1" applyFont="1" applyFill="1" applyBorder="1"/>
    <xf numFmtId="168" fontId="49" fillId="21" borderId="0" xfId="161" applyNumberFormat="1" applyFont="1" applyFill="1" applyBorder="1"/>
    <xf numFmtId="171" fontId="49" fillId="21" borderId="0" xfId="148" applyNumberFormat="1" applyFont="1" applyFill="1" applyBorder="1"/>
    <xf numFmtId="168" fontId="49" fillId="21" borderId="0" xfId="0" applyNumberFormat="1" applyFont="1" applyFill="1"/>
    <xf numFmtId="0" fontId="49" fillId="39" borderId="0" xfId="0" quotePrefix="1" applyNumberFormat="1" applyFont="1" applyFill="1" applyAlignment="1">
      <alignment horizontal="center"/>
    </xf>
    <xf numFmtId="0" fontId="49" fillId="39" borderId="0" xfId="0" quotePrefix="1" applyNumberFormat="1" applyFont="1" applyFill="1"/>
    <xf numFmtId="168" fontId="78" fillId="39" borderId="0" xfId="161" applyNumberFormat="1" applyFont="1" applyFill="1" applyBorder="1" applyAlignment="1">
      <alignment horizontal="center"/>
    </xf>
    <xf numFmtId="168" fontId="45" fillId="21" borderId="0" xfId="161" applyNumberFormat="1" applyFont="1" applyFill="1" applyBorder="1" applyAlignment="1">
      <alignment horizontal="left"/>
    </xf>
    <xf numFmtId="171" fontId="45" fillId="21" borderId="0" xfId="148" applyNumberFormat="1" applyFont="1" applyFill="1" applyBorder="1" applyAlignment="1">
      <alignment horizontal="right"/>
    </xf>
    <xf numFmtId="168" fontId="49" fillId="21" borderId="0" xfId="161" applyNumberFormat="1" applyFont="1" applyFill="1" applyBorder="1" applyAlignment="1">
      <alignment horizontal="left"/>
    </xf>
    <xf numFmtId="170" fontId="50" fillId="21" borderId="4" xfId="147" applyNumberFormat="1" applyFont="1" applyFill="1" applyBorder="1"/>
    <xf numFmtId="41" fontId="50" fillId="21" borderId="4" xfId="147" applyNumberFormat="1" applyFont="1" applyFill="1" applyBorder="1"/>
    <xf numFmtId="164" fontId="79" fillId="21" borderId="0" xfId="0" applyFont="1" applyFill="1"/>
    <xf numFmtId="164" fontId="79" fillId="21" borderId="0" xfId="0" applyFont="1" applyFill="1" applyAlignment="1">
      <alignment horizontal="left" indent="1"/>
    </xf>
    <xf numFmtId="164" fontId="45" fillId="0" borderId="0" xfId="0" applyFont="1" applyAlignment="1">
      <alignment horizontal="center"/>
    </xf>
    <xf numFmtId="164" fontId="46" fillId="0" borderId="0" xfId="0" applyFont="1" applyAlignment="1">
      <alignment vertical="top"/>
    </xf>
    <xf numFmtId="164" fontId="15" fillId="0" borderId="0" xfId="0" applyFont="1" applyAlignment="1">
      <alignment horizontal="center"/>
    </xf>
    <xf numFmtId="164" fontId="15" fillId="0" borderId="0" xfId="0" applyFont="1"/>
    <xf numFmtId="164" fontId="57" fillId="0" borderId="0" xfId="0" applyFont="1"/>
    <xf numFmtId="164" fontId="66" fillId="0" borderId="0" xfId="0" applyFont="1"/>
    <xf numFmtId="164" fontId="73" fillId="0" borderId="0" xfId="0" applyFont="1"/>
    <xf numFmtId="0" fontId="46" fillId="0" borderId="0" xfId="387" applyFont="1"/>
    <xf numFmtId="0" fontId="59" fillId="0" borderId="2" xfId="387" applyFont="1" applyBorder="1" applyAlignment="1">
      <alignment horizontal="left"/>
    </xf>
    <xf numFmtId="0" fontId="46" fillId="0" borderId="2" xfId="387" applyFont="1" applyBorder="1" applyAlignment="1">
      <alignment horizontal="left"/>
    </xf>
    <xf numFmtId="0" fontId="46" fillId="0" borderId="2" xfId="387" applyFont="1" applyBorder="1"/>
    <xf numFmtId="0" fontId="59" fillId="0" borderId="0" xfId="387" applyFont="1" applyAlignment="1">
      <alignment horizontal="left"/>
    </xf>
    <xf numFmtId="0" fontId="46" fillId="0" borderId="0" xfId="387" applyFont="1" applyAlignment="1">
      <alignment horizontal="left"/>
    </xf>
    <xf numFmtId="0" fontId="45" fillId="39" borderId="0" xfId="842" applyFont="1" applyFill="1"/>
    <xf numFmtId="0" fontId="46" fillId="39" borderId="0" xfId="842" applyFont="1" applyFill="1" applyAlignment="1">
      <alignment horizontal="center"/>
    </xf>
    <xf numFmtId="0" fontId="45" fillId="0" borderId="0" xfId="842" applyFont="1" applyAlignment="1">
      <alignment horizontal="center"/>
    </xf>
    <xf numFmtId="0" fontId="45" fillId="0" borderId="0" xfId="842" applyFont="1"/>
    <xf numFmtId="164" fontId="56" fillId="39" borderId="0" xfId="0" applyFont="1" applyFill="1"/>
    <xf numFmtId="14" fontId="46" fillId="21" borderId="0" xfId="193" applyNumberFormat="1" applyFont="1" applyFill="1" applyAlignment="1">
      <alignment horizontal="right"/>
    </xf>
    <xf numFmtId="164" fontId="46" fillId="21" borderId="0" xfId="193" applyFont="1" applyFill="1" applyAlignment="1">
      <alignment horizontal="right"/>
    </xf>
    <xf numFmtId="164" fontId="50" fillId="21" borderId="0" xfId="0" applyFont="1" applyFill="1" applyAlignment="1">
      <alignment vertical="center"/>
    </xf>
    <xf numFmtId="0" fontId="45" fillId="21" borderId="0" xfId="8" quotePrefix="1" applyFont="1" applyFill="1" applyAlignment="1">
      <alignment horizontal="center"/>
    </xf>
    <xf numFmtId="164" fontId="58" fillId="39" borderId="0" xfId="0" applyFont="1" applyFill="1"/>
    <xf numFmtId="164" fontId="58" fillId="21" borderId="0" xfId="0" applyFont="1" applyFill="1" applyAlignment="1">
      <alignment horizontal="right"/>
    </xf>
    <xf numFmtId="164" fontId="49" fillId="21" borderId="0" xfId="0" applyFont="1" applyFill="1" applyAlignment="1">
      <alignment vertical="center"/>
    </xf>
    <xf numFmtId="168" fontId="49" fillId="39" borderId="0" xfId="161" applyNumberFormat="1" applyFont="1" applyFill="1" applyAlignment="1">
      <alignment horizontal="right" vertical="center"/>
    </xf>
    <xf numFmtId="168" fontId="49" fillId="39" borderId="17" xfId="161" applyNumberFormat="1" applyFont="1" applyFill="1" applyBorder="1" applyAlignment="1">
      <alignment horizontal="right" vertical="center"/>
    </xf>
    <xf numFmtId="168" fontId="50" fillId="21" borderId="0" xfId="161" applyNumberFormat="1" applyFont="1" applyFill="1" applyAlignment="1">
      <alignment horizontal="right" vertical="center"/>
    </xf>
    <xf numFmtId="164" fontId="15" fillId="21" borderId="17" xfId="0" applyFont="1" applyFill="1" applyBorder="1"/>
    <xf numFmtId="164" fontId="49" fillId="21" borderId="17" xfId="0" applyFont="1" applyFill="1" applyBorder="1" applyAlignment="1">
      <alignment vertical="center"/>
    </xf>
    <xf numFmtId="164" fontId="66" fillId="21" borderId="0" xfId="0" applyFont="1" applyFill="1"/>
    <xf numFmtId="164" fontId="46" fillId="21" borderId="0" xfId="0" applyFont="1" applyFill="1" applyAlignment="1">
      <alignment horizontal="center" wrapText="1"/>
    </xf>
    <xf numFmtId="164" fontId="45" fillId="21" borderId="0" xfId="0" applyFont="1" applyFill="1" applyAlignment="1">
      <alignment wrapText="1"/>
    </xf>
    <xf numFmtId="164" fontId="45" fillId="39" borderId="0" xfId="0" applyFont="1" applyFill="1" applyAlignment="1">
      <alignment wrapText="1"/>
    </xf>
    <xf numFmtId="164" fontId="45" fillId="39" borderId="0" xfId="0" applyFont="1" applyFill="1" applyAlignment="1">
      <alignment horizontal="center" wrapText="1"/>
    </xf>
    <xf numFmtId="168" fontId="45" fillId="39" borderId="0" xfId="161" applyNumberFormat="1" applyFont="1" applyFill="1" applyBorder="1"/>
    <xf numFmtId="168" fontId="45" fillId="39" borderId="0" xfId="161" applyNumberFormat="1" applyFont="1" applyFill="1" applyBorder="1" applyAlignment="1">
      <alignment wrapText="1"/>
    </xf>
    <xf numFmtId="164" fontId="45" fillId="39" borderId="0" xfId="0" quotePrefix="1" applyFont="1" applyFill="1" applyAlignment="1">
      <alignment horizontal="center" wrapText="1"/>
    </xf>
    <xf numFmtId="164" fontId="45" fillId="21" borderId="0" xfId="0" applyFont="1" applyFill="1" applyAlignment="1">
      <alignment horizontal="center" wrapText="1"/>
    </xf>
    <xf numFmtId="168" fontId="46" fillId="21" borderId="0" xfId="161" applyNumberFormat="1" applyFont="1" applyFill="1" applyBorder="1"/>
    <xf numFmtId="5" fontId="45" fillId="21" borderId="0" xfId="147" applyNumberFormat="1" applyFont="1" applyFill="1" applyBorder="1"/>
    <xf numFmtId="5" fontId="45" fillId="21" borderId="0" xfId="147" applyNumberFormat="1" applyFont="1" applyFill="1"/>
    <xf numFmtId="0" fontId="46" fillId="21" borderId="0" xfId="8" applyFont="1" applyFill="1"/>
    <xf numFmtId="164" fontId="80" fillId="21" borderId="0" xfId="0" applyFont="1" applyFill="1"/>
    <xf numFmtId="14" fontId="73" fillId="21" borderId="0" xfId="0" applyNumberFormat="1" applyFont="1" applyFill="1" applyAlignment="1">
      <alignment horizontal="left"/>
    </xf>
    <xf numFmtId="164" fontId="73" fillId="21" borderId="0" xfId="0" applyFont="1" applyFill="1" applyAlignment="1">
      <alignment horizontal="right"/>
    </xf>
    <xf numFmtId="0" fontId="63" fillId="21" borderId="0" xfId="8" applyFont="1" applyFill="1"/>
    <xf numFmtId="0" fontId="46" fillId="39" borderId="0" xfId="61" applyFont="1" applyFill="1"/>
    <xf numFmtId="0" fontId="46" fillId="21" borderId="0" xfId="8" applyFont="1" applyFill="1" applyAlignment="1">
      <alignment horizontal="center"/>
    </xf>
    <xf numFmtId="0" fontId="46" fillId="21" borderId="2" xfId="8" applyFont="1" applyFill="1" applyBorder="1" applyAlignment="1">
      <alignment horizontal="center"/>
    </xf>
    <xf numFmtId="0" fontId="46" fillId="21" borderId="0" xfId="8" quotePrefix="1" applyFont="1" applyFill="1" applyAlignment="1">
      <alignment horizontal="center"/>
    </xf>
    <xf numFmtId="0" fontId="45" fillId="21" borderId="0" xfId="61" applyFont="1" applyFill="1" applyAlignment="1">
      <alignment horizontal="left"/>
    </xf>
    <xf numFmtId="168" fontId="15" fillId="39" borderId="0" xfId="9" applyNumberFormat="1" applyFont="1" applyFill="1"/>
    <xf numFmtId="3" fontId="15" fillId="39" borderId="0" xfId="8" applyNumberFormat="1" applyFont="1" applyFill="1"/>
    <xf numFmtId="0" fontId="15" fillId="39" borderId="0" xfId="8" quotePrefix="1" applyFont="1" applyFill="1" applyAlignment="1">
      <alignment horizontal="center"/>
    </xf>
    <xf numFmtId="168" fontId="15" fillId="39" borderId="0" xfId="9" quotePrefix="1" applyNumberFormat="1" applyFont="1" applyFill="1" applyAlignment="1">
      <alignment horizontal="center"/>
    </xf>
    <xf numFmtId="41" fontId="58" fillId="21" borderId="0" xfId="8" applyNumberFormat="1" applyFont="1" applyFill="1"/>
    <xf numFmtId="41" fontId="58" fillId="21" borderId="4" xfId="147" applyNumberFormat="1" applyFont="1" applyFill="1" applyBorder="1"/>
    <xf numFmtId="41" fontId="15" fillId="21" borderId="0" xfId="8" applyNumberFormat="1" applyFont="1" applyFill="1"/>
    <xf numFmtId="168" fontId="15" fillId="21" borderId="0" xfId="9" applyNumberFormat="1" applyFont="1" applyFill="1"/>
    <xf numFmtId="168" fontId="45" fillId="21" borderId="0" xfId="9" applyNumberFormat="1" applyFont="1" applyFill="1"/>
    <xf numFmtId="3" fontId="45" fillId="21" borderId="0" xfId="8" applyNumberFormat="1" applyFont="1" applyFill="1"/>
    <xf numFmtId="3" fontId="15" fillId="39" borderId="0" xfId="9" applyNumberFormat="1" applyFont="1" applyFill="1"/>
    <xf numFmtId="41" fontId="58" fillId="21" borderId="0" xfId="147" applyNumberFormat="1" applyFont="1" applyFill="1" applyBorder="1"/>
    <xf numFmtId="0" fontId="46" fillId="39" borderId="0" xfId="8" applyFont="1" applyFill="1" applyAlignment="1">
      <alignment horizontal="center"/>
    </xf>
    <xf numFmtId="168" fontId="45" fillId="21" borderId="0" xfId="8" applyNumberFormat="1" applyFont="1" applyFill="1"/>
    <xf numFmtId="170" fontId="15" fillId="21" borderId="0" xfId="147" applyNumberFormat="1" applyFont="1" applyFill="1"/>
    <xf numFmtId="41" fontId="46" fillId="21" borderId="0" xfId="147" applyNumberFormat="1" applyFont="1" applyFill="1"/>
    <xf numFmtId="41" fontId="46" fillId="21" borderId="0" xfId="147" applyNumberFormat="1" applyFont="1" applyFill="1" applyBorder="1"/>
    <xf numFmtId="168" fontId="63" fillId="21" borderId="0" xfId="8" applyNumberFormat="1" applyFont="1" applyFill="1"/>
    <xf numFmtId="14" fontId="73" fillId="21" borderId="0" xfId="0" applyNumberFormat="1" applyFont="1" applyFill="1" applyAlignment="1">
      <alignment horizontal="center"/>
    </xf>
    <xf numFmtId="164" fontId="73" fillId="21" borderId="0" xfId="0" applyFont="1" applyFill="1" applyAlignment="1">
      <alignment horizontal="centerContinuous"/>
    </xf>
    <xf numFmtId="164" fontId="15" fillId="21" borderId="0" xfId="0" applyFont="1" applyFill="1" applyAlignment="1">
      <alignment horizontal="centerContinuous"/>
    </xf>
    <xf numFmtId="164" fontId="73" fillId="39" borderId="0" xfId="0" applyFont="1" applyFill="1" applyAlignment="1">
      <alignment horizontal="centerContinuous"/>
    </xf>
    <xf numFmtId="164" fontId="57" fillId="21" borderId="0" xfId="0" applyFont="1" applyFill="1" applyAlignment="1">
      <alignment horizontal="centerContinuous"/>
    </xf>
    <xf numFmtId="49" fontId="57" fillId="21" borderId="0" xfId="0" applyNumberFormat="1" applyFont="1" applyFill="1" applyAlignment="1">
      <alignment horizontal="centerContinuous"/>
    </xf>
    <xf numFmtId="0" fontId="15" fillId="21" borderId="0" xfId="8" applyFont="1" applyFill="1" applyAlignment="1">
      <alignment horizontal="centerContinuous"/>
    </xf>
    <xf numFmtId="0" fontId="45" fillId="21" borderId="0" xfId="61" applyFont="1" applyFill="1"/>
    <xf numFmtId="0" fontId="46" fillId="21" borderId="0" xfId="61" applyFont="1" applyFill="1" applyAlignment="1">
      <alignment horizontal="center"/>
    </xf>
    <xf numFmtId="0" fontId="46" fillId="21" borderId="2" xfId="61" applyFont="1" applyFill="1" applyBorder="1" applyAlignment="1">
      <alignment horizontal="center"/>
    </xf>
    <xf numFmtId="0" fontId="45" fillId="39" borderId="0" xfId="61" applyFont="1" applyFill="1"/>
    <xf numFmtId="0" fontId="46" fillId="39" borderId="0" xfId="61" applyFont="1" applyFill="1" applyAlignment="1">
      <alignment horizontal="center"/>
    </xf>
    <xf numFmtId="0" fontId="62" fillId="21" borderId="0" xfId="8" quotePrefix="1" applyFont="1" applyFill="1" applyAlignment="1">
      <alignment horizontal="center"/>
    </xf>
    <xf numFmtId="173" fontId="45" fillId="39" borderId="0" xfId="61" applyNumberFormat="1" applyFont="1" applyFill="1"/>
    <xf numFmtId="3" fontId="45" fillId="39" borderId="0" xfId="61" applyNumberFormat="1" applyFont="1" applyFill="1"/>
    <xf numFmtId="168" fontId="45" fillId="39" borderId="0" xfId="9" applyNumberFormat="1" applyFont="1" applyFill="1"/>
    <xf numFmtId="0" fontId="45" fillId="39" borderId="0" xfId="8" applyFont="1" applyFill="1"/>
    <xf numFmtId="0" fontId="45" fillId="39" borderId="0" xfId="61" applyFont="1" applyFill="1" applyAlignment="1">
      <alignment horizontal="left"/>
    </xf>
    <xf numFmtId="0" fontId="45" fillId="39" borderId="0" xfId="61" quotePrefix="1" applyFont="1" applyFill="1" applyAlignment="1">
      <alignment horizontal="left"/>
    </xf>
    <xf numFmtId="0" fontId="45" fillId="39" borderId="0" xfId="61" applyFont="1" applyFill="1" applyAlignment="1">
      <alignment horizontal="center"/>
    </xf>
    <xf numFmtId="0" fontId="45" fillId="39" borderId="0" xfId="61" quotePrefix="1" applyFont="1" applyFill="1" applyAlignment="1">
      <alignment horizontal="center"/>
    </xf>
    <xf numFmtId="41" fontId="46" fillId="21" borderId="2" xfId="147" applyNumberFormat="1" applyFont="1" applyFill="1" applyBorder="1"/>
    <xf numFmtId="41" fontId="45" fillId="21" borderId="0" xfId="61" applyNumberFormat="1" applyFont="1" applyFill="1"/>
    <xf numFmtId="41" fontId="45" fillId="21" borderId="0" xfId="8" applyNumberFormat="1" applyFont="1" applyFill="1"/>
    <xf numFmtId="170" fontId="46" fillId="21" borderId="0" xfId="147" applyNumberFormat="1" applyFont="1" applyFill="1" applyBorder="1"/>
    <xf numFmtId="3" fontId="45" fillId="21" borderId="0" xfId="61" applyNumberFormat="1" applyFont="1" applyFill="1"/>
    <xf numFmtId="170" fontId="46" fillId="21" borderId="0" xfId="147" applyNumberFormat="1" applyFont="1" applyFill="1"/>
    <xf numFmtId="0" fontId="46" fillId="21" borderId="0" xfId="61" applyFont="1" applyFill="1"/>
    <xf numFmtId="43" fontId="45" fillId="39" borderId="0" xfId="61" applyNumberFormat="1" applyFont="1" applyFill="1"/>
    <xf numFmtId="173" fontId="46" fillId="39" borderId="0" xfId="61" applyNumberFormat="1" applyFont="1" applyFill="1"/>
    <xf numFmtId="3" fontId="46" fillId="21" borderId="0" xfId="61" applyNumberFormat="1" applyFont="1" applyFill="1"/>
    <xf numFmtId="0" fontId="46" fillId="21" borderId="0" xfId="61" applyFont="1" applyFill="1" applyAlignment="1">
      <alignment horizontal="left"/>
    </xf>
    <xf numFmtId="41" fontId="46" fillId="21" borderId="0" xfId="61" applyNumberFormat="1" applyFont="1" applyFill="1"/>
    <xf numFmtId="0" fontId="58" fillId="21" borderId="0" xfId="61" applyFont="1" applyFill="1"/>
    <xf numFmtId="0" fontId="15" fillId="21" borderId="0" xfId="61" applyFont="1" applyFill="1"/>
    <xf numFmtId="3" fontId="15" fillId="21" borderId="0" xfId="61" applyNumberFormat="1" applyFont="1" applyFill="1"/>
    <xf numFmtId="0" fontId="45" fillId="21" borderId="0" xfId="39" applyFont="1" applyFill="1"/>
    <xf numFmtId="0" fontId="45" fillId="21" borderId="0" xfId="192" applyFont="1" applyFill="1"/>
    <xf numFmtId="0" fontId="15" fillId="21" borderId="0" xfId="39" applyFont="1" applyFill="1"/>
    <xf numFmtId="0" fontId="15" fillId="21" borderId="0" xfId="192" applyFont="1" applyFill="1"/>
    <xf numFmtId="164" fontId="81" fillId="21" borderId="0" xfId="0" applyFont="1" applyFill="1"/>
    <xf numFmtId="0" fontId="57" fillId="21" borderId="0" xfId="39" applyFont="1" applyFill="1"/>
    <xf numFmtId="0" fontId="57" fillId="21" borderId="0" xfId="192" applyFont="1" applyFill="1"/>
    <xf numFmtId="0" fontId="57" fillId="21" borderId="0" xfId="8" applyFont="1" applyFill="1"/>
    <xf numFmtId="164" fontId="38" fillId="21" borderId="0" xfId="0" applyFont="1" applyFill="1"/>
    <xf numFmtId="164" fontId="62" fillId="21" borderId="0" xfId="0" applyFont="1" applyFill="1"/>
    <xf numFmtId="0" fontId="63" fillId="21" borderId="0" xfId="39" applyFont="1" applyFill="1"/>
    <xf numFmtId="0" fontId="45" fillId="21" borderId="2" xfId="192" applyFont="1" applyFill="1" applyBorder="1"/>
    <xf numFmtId="0" fontId="82" fillId="21" borderId="0" xfId="39" applyFont="1" applyFill="1"/>
    <xf numFmtId="1" fontId="45" fillId="21" borderId="0" xfId="192" applyNumberFormat="1" applyFont="1" applyFill="1"/>
    <xf numFmtId="14" fontId="45" fillId="39" borderId="0" xfId="192" applyNumberFormat="1" applyFont="1" applyFill="1"/>
    <xf numFmtId="0" fontId="45" fillId="39" borderId="0" xfId="192" applyFont="1" applyFill="1"/>
    <xf numFmtId="14" fontId="45" fillId="39" borderId="0" xfId="192" quotePrefix="1" applyNumberFormat="1" applyFont="1" applyFill="1" applyAlignment="1">
      <alignment horizontal="center"/>
    </xf>
    <xf numFmtId="0" fontId="45" fillId="21" borderId="0" xfId="192" applyFont="1" applyFill="1" applyAlignment="1">
      <alignment horizontal="left"/>
    </xf>
    <xf numFmtId="1" fontId="46" fillId="21" borderId="0" xfId="192" applyNumberFormat="1" applyFont="1" applyFill="1"/>
    <xf numFmtId="41" fontId="46" fillId="21" borderId="4" xfId="147" applyNumberFormat="1" applyFont="1" applyFill="1" applyBorder="1"/>
    <xf numFmtId="41" fontId="45" fillId="21" borderId="0" xfId="147" applyNumberFormat="1" applyFont="1" applyFill="1"/>
    <xf numFmtId="0" fontId="46" fillId="21" borderId="0" xfId="39" applyFont="1" applyFill="1"/>
    <xf numFmtId="41" fontId="46" fillId="21" borderId="11" xfId="192" applyNumberFormat="1" applyFont="1" applyFill="1" applyBorder="1"/>
    <xf numFmtId="0" fontId="45" fillId="21" borderId="17" xfId="192" applyFont="1" applyFill="1" applyBorder="1"/>
    <xf numFmtId="0" fontId="45" fillId="21" borderId="17" xfId="39" applyFont="1" applyFill="1" applyBorder="1"/>
    <xf numFmtId="4" fontId="45" fillId="21" borderId="17" xfId="39" applyNumberFormat="1" applyFont="1" applyFill="1" applyBorder="1"/>
    <xf numFmtId="4" fontId="45" fillId="21" borderId="0" xfId="39" applyNumberFormat="1" applyFont="1" applyFill="1"/>
    <xf numFmtId="0" fontId="46" fillId="21" borderId="0" xfId="192" applyFont="1" applyFill="1"/>
    <xf numFmtId="0" fontId="4" fillId="21" borderId="0" xfId="17" applyFont="1" applyFill="1"/>
    <xf numFmtId="1" fontId="45" fillId="21" borderId="0" xfId="149" applyNumberFormat="1" applyFont="1" applyFill="1" applyAlignment="1">
      <alignment horizontal="center"/>
    </xf>
    <xf numFmtId="168" fontId="45" fillId="21" borderId="0" xfId="149" applyNumberFormat="1" applyFont="1" applyFill="1"/>
    <xf numFmtId="168" fontId="45" fillId="21" borderId="0" xfId="149" applyNumberFormat="1" applyFont="1" applyFill="1" applyAlignment="1">
      <alignment horizontal="right"/>
    </xf>
    <xf numFmtId="1" fontId="46" fillId="21" borderId="0" xfId="149" applyNumberFormat="1" applyFont="1" applyFill="1" applyAlignment="1">
      <alignment horizontal="center"/>
    </xf>
    <xf numFmtId="168" fontId="46" fillId="21" borderId="0" xfId="149" applyNumberFormat="1" applyFont="1" applyFill="1" applyAlignment="1">
      <alignment horizontal="center"/>
    </xf>
    <xf numFmtId="1" fontId="83" fillId="21" borderId="0" xfId="149" applyNumberFormat="1" applyFont="1" applyFill="1" applyAlignment="1">
      <alignment horizontal="center"/>
    </xf>
    <xf numFmtId="168" fontId="83" fillId="21" borderId="0" xfId="149" applyNumberFormat="1" applyFont="1" applyFill="1" applyAlignment="1">
      <alignment horizontal="center"/>
    </xf>
    <xf numFmtId="0" fontId="83" fillId="21" borderId="0" xfId="17" applyFont="1" applyFill="1" applyAlignment="1">
      <alignment horizontal="center"/>
    </xf>
    <xf numFmtId="164" fontId="60" fillId="21" borderId="0" xfId="0" applyFont="1" applyFill="1"/>
    <xf numFmtId="1" fontId="45" fillId="21" borderId="0" xfId="149" quotePrefix="1" applyNumberFormat="1" applyFont="1" applyFill="1" applyAlignment="1">
      <alignment horizontal="center"/>
    </xf>
    <xf numFmtId="0" fontId="45" fillId="21" borderId="0" xfId="17" applyFont="1" applyFill="1" applyAlignment="1">
      <alignment horizontal="right"/>
    </xf>
    <xf numFmtId="0" fontId="83" fillId="21" borderId="0" xfId="17" applyFont="1" applyFill="1" applyAlignment="1">
      <alignment horizontal="centerContinuous"/>
    </xf>
    <xf numFmtId="168" fontId="45" fillId="21" borderId="0" xfId="149" applyNumberFormat="1" applyFont="1" applyFill="1" applyAlignment="1">
      <alignment horizontal="centerContinuous"/>
    </xf>
    <xf numFmtId="43" fontId="45" fillId="39" borderId="0" xfId="161" applyFont="1" applyFill="1" applyAlignment="1">
      <alignment horizontal="right"/>
    </xf>
    <xf numFmtId="43" fontId="45" fillId="21" borderId="0" xfId="161" applyFont="1" applyFill="1" applyAlignment="1">
      <alignment horizontal="right"/>
    </xf>
    <xf numFmtId="43" fontId="46" fillId="21" borderId="0" xfId="161" applyFont="1" applyFill="1" applyAlignment="1">
      <alignment horizontal="right"/>
    </xf>
    <xf numFmtId="168" fontId="46" fillId="21" borderId="0" xfId="149" applyNumberFormat="1" applyFont="1" applyFill="1" applyAlignment="1">
      <alignment horizontal="right"/>
    </xf>
    <xf numFmtId="1" fontId="45" fillId="21" borderId="0" xfId="149" applyNumberFormat="1" applyFont="1" applyFill="1" applyBorder="1" applyAlignment="1">
      <alignment horizontal="center"/>
    </xf>
    <xf numFmtId="43" fontId="45" fillId="21" borderId="0" xfId="161" applyFont="1" applyFill="1" applyBorder="1" applyAlignment="1">
      <alignment horizontal="right"/>
    </xf>
    <xf numFmtId="43" fontId="45" fillId="21" borderId="0" xfId="161" applyFont="1" applyFill="1" applyBorder="1"/>
    <xf numFmtId="43" fontId="46" fillId="21" borderId="0" xfId="161" applyFont="1" applyFill="1" applyBorder="1" applyAlignment="1">
      <alignment horizontal="right"/>
    </xf>
    <xf numFmtId="43" fontId="46" fillId="39" borderId="17" xfId="161" applyFont="1" applyFill="1" applyBorder="1" applyAlignment="1">
      <alignment horizontal="right"/>
    </xf>
    <xf numFmtId="1" fontId="46" fillId="21" borderId="3" xfId="149" applyNumberFormat="1" applyFont="1" applyFill="1" applyBorder="1" applyAlignment="1">
      <alignment horizontal="center"/>
    </xf>
    <xf numFmtId="43" fontId="46" fillId="21" borderId="3" xfId="161" applyFont="1" applyFill="1" applyBorder="1"/>
    <xf numFmtId="43" fontId="46" fillId="21" borderId="0" xfId="161" applyFont="1" applyFill="1" applyBorder="1"/>
    <xf numFmtId="168" fontId="15" fillId="21" borderId="0" xfId="149" applyNumberFormat="1" applyFont="1" applyFill="1" applyAlignment="1">
      <alignment horizontal="right"/>
    </xf>
    <xf numFmtId="0" fontId="4" fillId="21" borderId="0" xfId="17" applyFont="1" applyFill="1" applyAlignment="1">
      <alignment horizontal="right"/>
    </xf>
    <xf numFmtId="164" fontId="84" fillId="21" borderId="0" xfId="0" applyFont="1" applyFill="1"/>
    <xf numFmtId="164" fontId="71" fillId="0" borderId="0" xfId="0" applyFont="1" applyAlignment="1">
      <alignment horizontal="center"/>
    </xf>
    <xf numFmtId="164" fontId="71" fillId="0" borderId="0" xfId="0" applyFont="1"/>
    <xf numFmtId="43" fontId="71" fillId="0" borderId="0" xfId="410" applyFont="1" applyFill="1"/>
    <xf numFmtId="164" fontId="85" fillId="21" borderId="0" xfId="0" applyFont="1" applyFill="1"/>
    <xf numFmtId="164" fontId="56" fillId="0" borderId="0" xfId="0" applyFont="1" applyAlignment="1">
      <alignment horizontal="center"/>
    </xf>
    <xf numFmtId="164" fontId="72" fillId="0" borderId="0" xfId="0" applyFont="1"/>
    <xf numFmtId="43" fontId="56" fillId="0" borderId="0" xfId="410" applyFont="1" applyFill="1"/>
    <xf numFmtId="49" fontId="57" fillId="0" borderId="0" xfId="0" applyNumberFormat="1" applyFont="1" applyAlignment="1">
      <alignment horizontal="center"/>
    </xf>
    <xf numFmtId="0" fontId="52" fillId="21" borderId="0" xfId="420" applyFont="1" applyFill="1"/>
    <xf numFmtId="0" fontId="45" fillId="21" borderId="0" xfId="420" applyFont="1" applyFill="1" applyAlignment="1">
      <alignment horizontal="center"/>
    </xf>
    <xf numFmtId="0" fontId="45" fillId="39" borderId="0" xfId="420" applyFont="1" applyFill="1"/>
    <xf numFmtId="0" fontId="46" fillId="39" borderId="0" xfId="420" applyFont="1" applyFill="1" applyAlignment="1">
      <alignment horizontal="center"/>
    </xf>
    <xf numFmtId="168" fontId="45" fillId="39" borderId="0" xfId="410" applyNumberFormat="1" applyFont="1" applyFill="1" applyBorder="1" applyAlignment="1">
      <alignment horizontal="left"/>
    </xf>
    <xf numFmtId="0" fontId="45" fillId="39" borderId="0" xfId="420" applyFont="1" applyFill="1" applyAlignment="1">
      <alignment horizontal="center"/>
    </xf>
    <xf numFmtId="0" fontId="45" fillId="0" borderId="0" xfId="420" applyFont="1" applyAlignment="1">
      <alignment horizontal="center"/>
    </xf>
    <xf numFmtId="0" fontId="45" fillId="0" borderId="0" xfId="420" applyFont="1"/>
    <xf numFmtId="0" fontId="46" fillId="0" borderId="0" xfId="420" applyFont="1" applyAlignment="1">
      <alignment horizontal="center"/>
    </xf>
    <xf numFmtId="0" fontId="46" fillId="0" borderId="0" xfId="420" applyFont="1"/>
    <xf numFmtId="0" fontId="45" fillId="0" borderId="2" xfId="420" applyFont="1" applyBorder="1" applyAlignment="1">
      <alignment horizontal="center"/>
    </xf>
    <xf numFmtId="0" fontId="45" fillId="0" borderId="2" xfId="420" applyFont="1" applyBorder="1"/>
    <xf numFmtId="0" fontId="46" fillId="0" borderId="2" xfId="420" applyFont="1" applyBorder="1" applyAlignment="1">
      <alignment horizontal="center"/>
    </xf>
    <xf numFmtId="0" fontId="46" fillId="0" borderId="2" xfId="420" applyFont="1" applyBorder="1"/>
    <xf numFmtId="168" fontId="45" fillId="0" borderId="2" xfId="410" applyNumberFormat="1" applyFont="1" applyFill="1" applyBorder="1"/>
    <xf numFmtId="3" fontId="82" fillId="0" borderId="0" xfId="8" applyNumberFormat="1" applyFont="1" applyAlignment="1">
      <alignment horizontal="center"/>
    </xf>
    <xf numFmtId="3" fontId="46" fillId="0" borderId="0" xfId="8" applyNumberFormat="1" applyFont="1"/>
    <xf numFmtId="3" fontId="82" fillId="0" borderId="0" xfId="8" applyNumberFormat="1" applyFont="1" applyAlignment="1">
      <alignment horizontal="left"/>
    </xf>
    <xf numFmtId="168" fontId="46" fillId="0" borderId="2" xfId="410" applyNumberFormat="1" applyFont="1" applyFill="1" applyBorder="1" applyAlignment="1">
      <alignment horizontal="center" wrapText="1"/>
    </xf>
    <xf numFmtId="3" fontId="82" fillId="39" borderId="0" xfId="8" applyNumberFormat="1" applyFont="1" applyFill="1" applyAlignment="1">
      <alignment horizontal="center"/>
    </xf>
    <xf numFmtId="3" fontId="46" fillId="39" borderId="0" xfId="8" applyNumberFormat="1" applyFont="1" applyFill="1"/>
    <xf numFmtId="0" fontId="46" fillId="39" borderId="0" xfId="420" applyFont="1" applyFill="1"/>
    <xf numFmtId="3" fontId="46" fillId="39" borderId="0" xfId="8" applyNumberFormat="1" applyFont="1" applyFill="1" applyAlignment="1">
      <alignment wrapText="1"/>
    </xf>
    <xf numFmtId="164" fontId="86" fillId="0" borderId="0" xfId="0" applyFont="1"/>
    <xf numFmtId="43" fontId="46" fillId="0" borderId="0" xfId="387" applyNumberFormat="1" applyFont="1"/>
    <xf numFmtId="0" fontId="53" fillId="22" borderId="21" xfId="420" applyFont="1" applyFill="1" applyBorder="1"/>
    <xf numFmtId="0" fontId="46" fillId="0" borderId="21" xfId="420" applyFont="1" applyBorder="1" applyAlignment="1">
      <alignment horizontal="center"/>
    </xf>
    <xf numFmtId="0" fontId="46" fillId="0" borderId="21" xfId="420" applyFont="1" applyBorder="1"/>
    <xf numFmtId="0" fontId="46" fillId="0" borderId="21" xfId="387" applyFont="1" applyBorder="1"/>
    <xf numFmtId="168" fontId="46" fillId="0" borderId="21" xfId="410" applyNumberFormat="1" applyFont="1" applyFill="1" applyBorder="1"/>
    <xf numFmtId="0" fontId="46" fillId="0" borderId="0" xfId="8" applyFont="1"/>
    <xf numFmtId="168" fontId="45" fillId="0" borderId="0" xfId="388" applyNumberFormat="1" applyFont="1" applyFill="1" applyBorder="1"/>
    <xf numFmtId="43" fontId="45" fillId="0" borderId="0" xfId="388" applyFont="1" applyFill="1" applyBorder="1"/>
    <xf numFmtId="0" fontId="52" fillId="0" borderId="0" xfId="420" applyFont="1"/>
    <xf numFmtId="168" fontId="45" fillId="0" borderId="0" xfId="420" applyNumberFormat="1" applyFont="1"/>
    <xf numFmtId="0" fontId="38" fillId="0" borderId="0" xfId="8" applyFont="1"/>
    <xf numFmtId="0" fontId="38" fillId="0" borderId="0" xfId="8" applyFont="1" applyAlignment="1">
      <alignment horizontal="right"/>
    </xf>
    <xf numFmtId="0" fontId="38" fillId="0" borderId="0" xfId="8" applyFont="1" applyAlignment="1">
      <alignment horizontal="left"/>
    </xf>
    <xf numFmtId="43" fontId="38" fillId="0" borderId="0" xfId="410" applyFont="1" applyFill="1"/>
    <xf numFmtId="0" fontId="63" fillId="0" borderId="0" xfId="8" applyFont="1"/>
    <xf numFmtId="0" fontId="38" fillId="21" borderId="0" xfId="8" applyFont="1" applyFill="1"/>
    <xf numFmtId="0" fontId="62" fillId="0" borderId="0" xfId="8" applyFont="1" applyAlignment="1">
      <alignment horizontal="left"/>
    </xf>
    <xf numFmtId="164" fontId="73" fillId="0" borderId="0" xfId="0" applyFont="1" applyAlignment="1">
      <alignment horizontal="left"/>
    </xf>
    <xf numFmtId="164" fontId="57" fillId="0" borderId="0" xfId="0" applyFont="1" applyAlignment="1">
      <alignment horizontal="left"/>
    </xf>
    <xf numFmtId="0" fontId="45" fillId="0" borderId="0" xfId="387" applyFont="1" applyAlignment="1">
      <alignment horizontal="left"/>
    </xf>
    <xf numFmtId="0" fontId="45" fillId="0" borderId="0" xfId="8" applyFont="1"/>
    <xf numFmtId="0" fontId="45" fillId="0" borderId="0" xfId="8" applyFont="1" applyAlignment="1">
      <alignment horizontal="right"/>
    </xf>
    <xf numFmtId="0" fontId="45" fillId="0" borderId="0" xfId="8" applyFont="1" applyAlignment="1">
      <alignment horizontal="left"/>
    </xf>
    <xf numFmtId="43" fontId="46" fillId="0" borderId="0" xfId="410" applyFont="1" applyFill="1" applyAlignment="1">
      <alignment horizontal="center"/>
    </xf>
    <xf numFmtId="0" fontId="15" fillId="0" borderId="0" xfId="8" applyFont="1"/>
    <xf numFmtId="0" fontId="46" fillId="0" borderId="0" xfId="8" applyFont="1" applyAlignment="1">
      <alignment horizontal="center"/>
    </xf>
    <xf numFmtId="0" fontId="82" fillId="0" borderId="0" xfId="8" applyFont="1" applyAlignment="1">
      <alignment horizontal="center"/>
    </xf>
    <xf numFmtId="43" fontId="46" fillId="0" borderId="2" xfId="410" applyFont="1" applyFill="1" applyBorder="1" applyAlignment="1">
      <alignment horizontal="center"/>
    </xf>
    <xf numFmtId="0" fontId="46" fillId="0" borderId="2" xfId="8" applyFont="1" applyBorder="1" applyAlignment="1">
      <alignment horizontal="center"/>
    </xf>
    <xf numFmtId="3" fontId="38" fillId="0" borderId="0" xfId="8" applyNumberFormat="1" applyFont="1"/>
    <xf numFmtId="3" fontId="38" fillId="0" borderId="0" xfId="8" applyNumberFormat="1" applyFont="1" applyAlignment="1">
      <alignment horizontal="center"/>
    </xf>
    <xf numFmtId="3" fontId="38" fillId="0" borderId="0" xfId="8" applyNumberFormat="1" applyFont="1" applyAlignment="1">
      <alignment horizontal="right"/>
    </xf>
    <xf numFmtId="0" fontId="46" fillId="0" borderId="0" xfId="8" applyFont="1" applyAlignment="1">
      <alignment horizontal="left"/>
    </xf>
    <xf numFmtId="3" fontId="48" fillId="0" borderId="0" xfId="8" applyNumberFormat="1" applyFont="1" applyAlignment="1">
      <alignment horizontal="left"/>
    </xf>
    <xf numFmtId="43" fontId="38" fillId="0" borderId="0" xfId="410" applyFont="1" applyFill="1" applyBorder="1"/>
    <xf numFmtId="3" fontId="38" fillId="21" borderId="0" xfId="9" applyNumberFormat="1" applyFont="1" applyFill="1" applyBorder="1"/>
    <xf numFmtId="3" fontId="38" fillId="21" borderId="0" xfId="8" applyNumberFormat="1" applyFont="1" applyFill="1"/>
    <xf numFmtId="3" fontId="87" fillId="0" borderId="0" xfId="8" applyNumberFormat="1" applyFont="1" applyAlignment="1">
      <alignment horizontal="right"/>
    </xf>
    <xf numFmtId="3" fontId="38" fillId="0" borderId="0" xfId="8" applyNumberFormat="1" applyFont="1" applyAlignment="1">
      <alignment horizontal="left"/>
    </xf>
    <xf numFmtId="3" fontId="46" fillId="0" borderId="0" xfId="8" applyNumberFormat="1" applyFont="1" applyAlignment="1">
      <alignment horizontal="center"/>
    </xf>
    <xf numFmtId="3" fontId="82" fillId="0" borderId="0" xfId="8" applyNumberFormat="1" applyFont="1" applyAlignment="1">
      <alignment horizontal="right"/>
    </xf>
    <xf numFmtId="3" fontId="45" fillId="0" borderId="0" xfId="8" applyNumberFormat="1" applyFont="1" applyAlignment="1">
      <alignment horizontal="right"/>
    </xf>
    <xf numFmtId="3" fontId="46" fillId="39" borderId="0" xfId="8" applyNumberFormat="1" applyFont="1" applyFill="1" applyAlignment="1">
      <alignment horizontal="left"/>
    </xf>
    <xf numFmtId="168" fontId="45" fillId="0" borderId="0" xfId="161" applyNumberFormat="1" applyFont="1" applyFill="1" applyBorder="1"/>
    <xf numFmtId="168" fontId="45" fillId="0" borderId="0" xfId="161" applyNumberFormat="1" applyFont="1" applyFill="1"/>
    <xf numFmtId="3" fontId="46" fillId="21" borderId="0" xfId="8" applyNumberFormat="1" applyFont="1" applyFill="1"/>
    <xf numFmtId="3" fontId="45" fillId="39" borderId="0" xfId="8" applyNumberFormat="1" applyFont="1" applyFill="1"/>
    <xf numFmtId="3" fontId="45" fillId="39" borderId="0" xfId="8" applyNumberFormat="1" applyFont="1" applyFill="1" applyAlignment="1">
      <alignment horizontal="left"/>
    </xf>
    <xf numFmtId="0" fontId="46" fillId="39" borderId="0" xfId="420" quotePrefix="1" applyFont="1" applyFill="1"/>
    <xf numFmtId="168" fontId="45" fillId="39" borderId="17" xfId="161" applyNumberFormat="1" applyFont="1" applyFill="1" applyBorder="1"/>
    <xf numFmtId="3" fontId="27" fillId="0" borderId="0" xfId="8" applyNumberFormat="1" applyFont="1" applyAlignment="1">
      <alignment horizontal="left"/>
    </xf>
    <xf numFmtId="3" fontId="45" fillId="0" borderId="0" xfId="8" applyNumberFormat="1" applyFont="1" applyAlignment="1">
      <alignment horizontal="left"/>
    </xf>
    <xf numFmtId="3" fontId="45" fillId="0" borderId="0" xfId="8" applyNumberFormat="1" applyFont="1"/>
    <xf numFmtId="168" fontId="46" fillId="0" borderId="0" xfId="161" applyNumberFormat="1" applyFont="1" applyFill="1" applyBorder="1"/>
    <xf numFmtId="168" fontId="46" fillId="0" borderId="0" xfId="161" applyNumberFormat="1" applyFont="1" applyFill="1"/>
    <xf numFmtId="3" fontId="46" fillId="0" borderId="0" xfId="8" applyNumberFormat="1" applyFont="1" applyAlignment="1">
      <alignment horizontal="left"/>
    </xf>
    <xf numFmtId="3" fontId="45" fillId="0" borderId="0" xfId="8" applyNumberFormat="1" applyFont="1" applyAlignment="1">
      <alignment horizontal="center"/>
    </xf>
    <xf numFmtId="164" fontId="27" fillId="0" borderId="0" xfId="0" applyFont="1" applyAlignment="1">
      <alignment horizontal="left"/>
    </xf>
    <xf numFmtId="168" fontId="45" fillId="39" borderId="17" xfId="161" applyNumberFormat="1" applyFont="1" applyFill="1" applyBorder="1" applyAlignment="1">
      <alignment horizontal="left"/>
    </xf>
    <xf numFmtId="168" fontId="45" fillId="39" borderId="17" xfId="161" applyNumberFormat="1" applyFont="1" applyFill="1" applyBorder="1" applyAlignment="1">
      <alignment horizontal="center"/>
    </xf>
    <xf numFmtId="168" fontId="45" fillId="0" borderId="0" xfId="161" applyNumberFormat="1" applyFont="1" applyFill="1" applyBorder="1" applyAlignment="1">
      <alignment horizontal="left"/>
    </xf>
    <xf numFmtId="168" fontId="45" fillId="0" borderId="0" xfId="161" applyNumberFormat="1" applyFont="1" applyFill="1" applyBorder="1" applyAlignment="1">
      <alignment horizontal="center"/>
    </xf>
    <xf numFmtId="168" fontId="46" fillId="0" borderId="0" xfId="161" applyNumberFormat="1" applyFont="1" applyFill="1" applyBorder="1" applyAlignment="1">
      <alignment horizontal="right"/>
    </xf>
    <xf numFmtId="168" fontId="46" fillId="0" borderId="0" xfId="161" applyNumberFormat="1" applyFont="1" applyFill="1" applyBorder="1" applyAlignment="1">
      <alignment horizontal="center"/>
    </xf>
    <xf numFmtId="3" fontId="73" fillId="0" borderId="0" xfId="8" applyNumberFormat="1" applyFont="1" applyAlignment="1">
      <alignment horizontal="left"/>
    </xf>
    <xf numFmtId="3" fontId="46" fillId="21" borderId="0" xfId="9" applyNumberFormat="1" applyFont="1" applyFill="1" applyBorder="1"/>
    <xf numFmtId="3" fontId="73" fillId="0" borderId="0" xfId="8" applyNumberFormat="1" applyFont="1"/>
    <xf numFmtId="3" fontId="45" fillId="21" borderId="0" xfId="9" applyNumberFormat="1" applyFont="1" applyFill="1" applyBorder="1"/>
    <xf numFmtId="168" fontId="38" fillId="0" borderId="0" xfId="161" applyNumberFormat="1" applyFont="1" applyFill="1"/>
    <xf numFmtId="3" fontId="62" fillId="0" borderId="0" xfId="8" applyNumberFormat="1" applyFont="1" applyAlignment="1">
      <alignment horizontal="left"/>
    </xf>
    <xf numFmtId="168" fontId="62" fillId="0" borderId="0" xfId="161" applyNumberFormat="1" applyFont="1" applyFill="1"/>
    <xf numFmtId="3" fontId="62" fillId="21" borderId="0" xfId="8" applyNumberFormat="1" applyFont="1" applyFill="1"/>
    <xf numFmtId="168" fontId="62" fillId="39" borderId="0" xfId="161" applyNumberFormat="1" applyFont="1" applyFill="1"/>
    <xf numFmtId="0" fontId="38" fillId="40" borderId="0" xfId="8" applyFont="1" applyFill="1"/>
    <xf numFmtId="164" fontId="88" fillId="21" borderId="0" xfId="0" applyFont="1" applyFill="1"/>
    <xf numFmtId="165" fontId="46" fillId="21" borderId="0" xfId="0" applyNumberFormat="1" applyFont="1" applyFill="1" applyAlignment="1">
      <alignment horizontal="left"/>
    </xf>
    <xf numFmtId="165" fontId="46" fillId="21" borderId="0" xfId="0" applyNumberFormat="1" applyFont="1" applyFill="1" applyAlignment="1">
      <alignment horizontal="right"/>
    </xf>
    <xf numFmtId="165" fontId="53" fillId="21" borderId="0" xfId="0" applyNumberFormat="1" applyFont="1" applyFill="1" applyAlignment="1">
      <alignment horizontal="right"/>
    </xf>
    <xf numFmtId="4" fontId="71" fillId="21" borderId="0" xfId="0" applyNumberFormat="1" applyFont="1" applyFill="1"/>
    <xf numFmtId="164" fontId="89" fillId="21" borderId="0" xfId="0" applyFont="1" applyFill="1"/>
    <xf numFmtId="164" fontId="90" fillId="0" borderId="0" xfId="0" applyFont="1"/>
    <xf numFmtId="4" fontId="57" fillId="21" borderId="0" xfId="0" applyNumberFormat="1" applyFont="1" applyFill="1"/>
    <xf numFmtId="164" fontId="52" fillId="21" borderId="0" xfId="0" applyFont="1" applyFill="1"/>
    <xf numFmtId="164" fontId="53" fillId="21" borderId="0" xfId="0" applyFont="1" applyFill="1" applyAlignment="1">
      <alignment horizontal="center"/>
    </xf>
    <xf numFmtId="4" fontId="73" fillId="21" borderId="0" xfId="0" applyNumberFormat="1" applyFont="1" applyFill="1" applyAlignment="1">
      <alignment horizontal="center"/>
    </xf>
    <xf numFmtId="0" fontId="91" fillId="0" borderId="0" xfId="8" applyFont="1"/>
    <xf numFmtId="0" fontId="92" fillId="0" borderId="0" xfId="8" applyFont="1"/>
    <xf numFmtId="0" fontId="62" fillId="0" borderId="0" xfId="8" applyFont="1"/>
    <xf numFmtId="0" fontId="62" fillId="0" borderId="0" xfId="72" applyFont="1"/>
    <xf numFmtId="0" fontId="93" fillId="0" borderId="0" xfId="8" applyFont="1"/>
    <xf numFmtId="0" fontId="62" fillId="0" borderId="0" xfId="72" applyFont="1" applyAlignment="1">
      <alignment horizontal="center"/>
    </xf>
    <xf numFmtId="4" fontId="62" fillId="0" borderId="0" xfId="72" applyNumberFormat="1" applyFont="1" applyAlignment="1">
      <alignment horizontal="center"/>
    </xf>
    <xf numFmtId="0" fontId="62" fillId="0" borderId="0" xfId="8" applyFont="1" applyAlignment="1">
      <alignment horizontal="center"/>
    </xf>
    <xf numFmtId="0" fontId="62" fillId="0" borderId="12" xfId="72" applyFont="1" applyBorder="1" applyAlignment="1">
      <alignment horizontal="center"/>
    </xf>
    <xf numFmtId="0" fontId="62" fillId="0" borderId="12" xfId="72" applyFont="1" applyBorder="1"/>
    <xf numFmtId="4" fontId="62" fillId="0" borderId="12" xfId="72" applyNumberFormat="1" applyFont="1" applyBorder="1" applyAlignment="1">
      <alignment horizontal="center"/>
    </xf>
    <xf numFmtId="0" fontId="62" fillId="0" borderId="12" xfId="8" applyFont="1" applyBorder="1" applyAlignment="1">
      <alignment horizontal="center"/>
    </xf>
    <xf numFmtId="0" fontId="94" fillId="0" borderId="0" xfId="8" applyFont="1"/>
    <xf numFmtId="0" fontId="63" fillId="0" borderId="0" xfId="8" applyFont="1" applyAlignment="1">
      <alignment horizontal="center"/>
    </xf>
    <xf numFmtId="4" fontId="63" fillId="0" borderId="0" xfId="8" applyNumberFormat="1" applyFont="1"/>
    <xf numFmtId="0" fontId="95" fillId="0" borderId="0" xfId="8" applyFont="1"/>
    <xf numFmtId="0" fontId="15" fillId="0" borderId="0" xfId="8" applyFont="1" applyAlignment="1">
      <alignment horizontal="center"/>
    </xf>
    <xf numFmtId="4" fontId="15" fillId="0" borderId="0" xfId="8" applyNumberFormat="1" applyFont="1"/>
    <xf numFmtId="0" fontId="95" fillId="21" borderId="0" xfId="420" applyFont="1" applyFill="1"/>
    <xf numFmtId="0" fontId="15" fillId="0" borderId="0" xfId="8" applyFont="1" applyAlignment="1">
      <alignment horizontal="left"/>
    </xf>
    <xf numFmtId="0" fontId="67" fillId="39" borderId="0" xfId="8" applyFont="1" applyFill="1" applyAlignment="1">
      <alignment horizontal="left"/>
    </xf>
    <xf numFmtId="0" fontId="15" fillId="0" borderId="0" xfId="72" applyFont="1" applyAlignment="1">
      <alignment horizontal="center"/>
    </xf>
    <xf numFmtId="0" fontId="15" fillId="39" borderId="0" xfId="72" applyFont="1" applyFill="1" applyAlignment="1">
      <alignment horizontal="center"/>
    </xf>
    <xf numFmtId="0" fontId="15" fillId="39" borderId="0" xfId="72" applyFont="1" applyFill="1"/>
    <xf numFmtId="0" fontId="15" fillId="0" borderId="0" xfId="72" applyFont="1"/>
    <xf numFmtId="168" fontId="15" fillId="0" borderId="0" xfId="410" applyNumberFormat="1" applyFont="1" applyFill="1" applyBorder="1"/>
    <xf numFmtId="43" fontId="15" fillId="39" borderId="0" xfId="161" applyFont="1" applyFill="1"/>
    <xf numFmtId="168" fontId="67" fillId="39" borderId="0" xfId="161" applyNumberFormat="1" applyFont="1" applyFill="1" applyBorder="1" applyAlignment="1">
      <alignment horizontal="left"/>
    </xf>
    <xf numFmtId="168" fontId="96" fillId="0" borderId="0" xfId="410" applyNumberFormat="1" applyFont="1" applyFill="1" applyBorder="1"/>
    <xf numFmtId="0" fontId="97" fillId="0" borderId="0" xfId="8" applyFont="1" applyAlignment="1">
      <alignment horizontal="left"/>
    </xf>
    <xf numFmtId="0" fontId="67" fillId="0" borderId="0" xfId="8" applyFont="1" applyAlignment="1">
      <alignment horizontal="left"/>
    </xf>
    <xf numFmtId="0" fontId="15" fillId="0" borderId="0" xfId="61" applyFont="1"/>
    <xf numFmtId="0" fontId="58" fillId="0" borderId="0" xfId="72" applyFont="1"/>
    <xf numFmtId="168" fontId="58" fillId="0" borderId="0" xfId="410" applyNumberFormat="1" applyFont="1" applyBorder="1"/>
    <xf numFmtId="168" fontId="15" fillId="0" borderId="0" xfId="410" applyNumberFormat="1" applyFont="1" applyBorder="1"/>
    <xf numFmtId="168" fontId="58" fillId="0" borderId="0" xfId="410" applyNumberFormat="1" applyFont="1" applyFill="1" applyBorder="1"/>
    <xf numFmtId="168" fontId="58" fillId="0" borderId="0" xfId="410" applyNumberFormat="1" applyFont="1" applyFill="1"/>
    <xf numFmtId="0" fontId="97" fillId="39" borderId="0" xfId="8" applyFont="1" applyFill="1" applyAlignment="1">
      <alignment horizontal="left"/>
    </xf>
    <xf numFmtId="0" fontId="15" fillId="39" borderId="0" xfId="8" applyFont="1" applyFill="1" applyAlignment="1">
      <alignment horizontal="left"/>
    </xf>
    <xf numFmtId="0" fontId="15" fillId="39" borderId="0" xfId="61" applyFont="1" applyFill="1"/>
    <xf numFmtId="0" fontId="58" fillId="39" borderId="0" xfId="72" applyFont="1" applyFill="1"/>
    <xf numFmtId="168" fontId="58" fillId="39" borderId="0" xfId="410" applyNumberFormat="1" applyFont="1" applyFill="1"/>
    <xf numFmtId="0" fontId="52" fillId="0" borderId="0" xfId="8" applyFont="1"/>
    <xf numFmtId="0" fontId="52" fillId="39" borderId="0" xfId="8" applyFont="1" applyFill="1"/>
    <xf numFmtId="0" fontId="95" fillId="0" borderId="0" xfId="420" applyFont="1"/>
    <xf numFmtId="168" fontId="98" fillId="0" borderId="0" xfId="410" applyNumberFormat="1" applyFont="1" applyFill="1"/>
    <xf numFmtId="164" fontId="91" fillId="21" borderId="0" xfId="0" applyFont="1" applyFill="1"/>
    <xf numFmtId="164" fontId="94" fillId="21" borderId="0" xfId="0" applyFont="1" applyFill="1"/>
    <xf numFmtId="164" fontId="64" fillId="21" borderId="0" xfId="0" applyFont="1" applyFill="1"/>
    <xf numFmtId="164" fontId="64" fillId="21" borderId="0" xfId="0" applyFont="1" applyFill="1" applyAlignment="1">
      <alignment horizontal="center"/>
    </xf>
    <xf numFmtId="4" fontId="64" fillId="0" borderId="0" xfId="0" applyNumberFormat="1" applyFont="1"/>
    <xf numFmtId="164" fontId="99" fillId="21" borderId="0" xfId="0" applyFont="1" applyFill="1" applyAlignment="1">
      <alignment horizontal="center"/>
    </xf>
    <xf numFmtId="164" fontId="94" fillId="21" borderId="0" xfId="0" applyFont="1" applyFill="1" applyAlignment="1">
      <alignment horizontal="left"/>
    </xf>
    <xf numFmtId="164" fontId="64" fillId="21" borderId="0" xfId="0" applyFont="1" applyFill="1" applyAlignment="1">
      <alignment horizontal="left"/>
    </xf>
    <xf numFmtId="5" fontId="64" fillId="21" borderId="0" xfId="0" applyNumberFormat="1" applyFont="1" applyFill="1"/>
    <xf numFmtId="164" fontId="64" fillId="0" borderId="0" xfId="0" applyFont="1"/>
    <xf numFmtId="5" fontId="64" fillId="0" borderId="0" xfId="0" applyNumberFormat="1" applyFont="1"/>
    <xf numFmtId="164" fontId="52" fillId="21" borderId="0" xfId="0" applyFont="1" applyFill="1" applyAlignment="1">
      <alignment horizontal="left"/>
    </xf>
    <xf numFmtId="164" fontId="73" fillId="21" borderId="0" xfId="0" applyFont="1" applyFill="1" applyAlignment="1">
      <alignment horizontal="left"/>
    </xf>
    <xf numFmtId="5" fontId="73" fillId="21" borderId="0" xfId="0" applyNumberFormat="1" applyFont="1" applyFill="1"/>
    <xf numFmtId="4" fontId="57" fillId="0" borderId="0" xfId="0" applyNumberFormat="1" applyFont="1"/>
    <xf numFmtId="5" fontId="57" fillId="21" borderId="0" xfId="0" applyNumberFormat="1" applyFont="1" applyFill="1"/>
    <xf numFmtId="41" fontId="57" fillId="21" borderId="0" xfId="0" applyNumberFormat="1" applyFont="1" applyFill="1"/>
    <xf numFmtId="10" fontId="73" fillId="21" borderId="0" xfId="0" applyNumberFormat="1" applyFont="1" applyFill="1" applyAlignment="1">
      <alignment horizontal="center"/>
    </xf>
    <xf numFmtId="164" fontId="53" fillId="21" borderId="0" xfId="0" applyFont="1" applyFill="1"/>
    <xf numFmtId="4" fontId="56" fillId="21" borderId="0" xfId="0" applyNumberFormat="1" applyFont="1" applyFill="1"/>
    <xf numFmtId="164" fontId="76" fillId="0" borderId="0" xfId="0" applyFont="1"/>
    <xf numFmtId="165" fontId="46" fillId="0" borderId="0" xfId="0" applyNumberFormat="1" applyFont="1"/>
    <xf numFmtId="164" fontId="46" fillId="0" borderId="0" xfId="0" applyFont="1"/>
    <xf numFmtId="164" fontId="59" fillId="39" borderId="0" xfId="0" applyFont="1" applyFill="1" applyAlignment="1">
      <alignment horizontal="center"/>
    </xf>
    <xf numFmtId="164" fontId="59" fillId="0" borderId="0" xfId="0" applyFont="1" applyAlignment="1">
      <alignment horizontal="center"/>
    </xf>
    <xf numFmtId="164" fontId="45" fillId="21" borderId="0" xfId="0" quotePrefix="1" applyFont="1" applyFill="1" applyAlignment="1">
      <alignment horizontal="center"/>
    </xf>
    <xf numFmtId="43" fontId="45" fillId="0" borderId="0" xfId="161" applyFont="1" applyProtection="1"/>
    <xf numFmtId="43" fontId="15" fillId="0" borderId="0" xfId="161" applyFont="1"/>
    <xf numFmtId="10" fontId="46" fillId="0" borderId="0" xfId="148" applyNumberFormat="1" applyFont="1" applyBorder="1" applyAlignment="1" applyProtection="1">
      <alignment horizontal="center"/>
    </xf>
    <xf numFmtId="10" fontId="15" fillId="0" borderId="0" xfId="148" applyNumberFormat="1" applyFont="1"/>
    <xf numFmtId="39" fontId="46" fillId="0" borderId="0" xfId="0" applyNumberFormat="1" applyFont="1" applyAlignment="1">
      <alignment horizontal="center"/>
    </xf>
    <xf numFmtId="37" fontId="46" fillId="0" borderId="0" xfId="0" applyNumberFormat="1" applyFont="1" applyAlignment="1">
      <alignment horizontal="center"/>
    </xf>
    <xf numFmtId="5" fontId="46" fillId="0" borderId="0" xfId="0" applyNumberFormat="1" applyFont="1" applyAlignment="1">
      <alignment horizontal="center"/>
    </xf>
    <xf numFmtId="164" fontId="63" fillId="0" borderId="0" xfId="0" applyFont="1"/>
    <xf numFmtId="164" fontId="46" fillId="21" borderId="0" xfId="193" applyFont="1" applyFill="1" applyAlignment="1">
      <alignment horizontal="center"/>
    </xf>
    <xf numFmtId="164" fontId="46" fillId="21" borderId="0" xfId="193" applyFont="1" applyFill="1"/>
    <xf numFmtId="164" fontId="46" fillId="39" borderId="0" xfId="193" applyFont="1" applyFill="1" applyAlignment="1">
      <alignment horizontal="center"/>
    </xf>
    <xf numFmtId="164" fontId="45" fillId="21" borderId="0" xfId="193" applyFont="1" applyFill="1" applyAlignment="1">
      <alignment horizontal="center"/>
    </xf>
    <xf numFmtId="164" fontId="59" fillId="21" borderId="0" xfId="193" applyFont="1" applyFill="1" applyAlignment="1">
      <alignment horizontal="center"/>
    </xf>
    <xf numFmtId="164" fontId="60" fillId="21" borderId="0" xfId="0" applyFont="1" applyFill="1" applyAlignment="1">
      <alignment horizontal="center"/>
    </xf>
    <xf numFmtId="164" fontId="45" fillId="21" borderId="0" xfId="0" quotePrefix="1" applyFont="1" applyFill="1" applyAlignment="1">
      <alignment horizontal="left"/>
    </xf>
    <xf numFmtId="164" fontId="45" fillId="39" borderId="0" xfId="193" applyFont="1" applyFill="1"/>
    <xf numFmtId="168" fontId="45" fillId="39" borderId="0" xfId="194" applyNumberFormat="1" applyFont="1" applyFill="1"/>
    <xf numFmtId="168" fontId="45" fillId="21" borderId="0" xfId="194" applyNumberFormat="1" applyFont="1" applyFill="1"/>
    <xf numFmtId="170" fontId="45" fillId="21" borderId="0" xfId="147" applyNumberFormat="1" applyFont="1" applyFill="1"/>
    <xf numFmtId="164" fontId="45" fillId="39" borderId="0" xfId="193" quotePrefix="1" applyFont="1" applyFill="1" applyAlignment="1">
      <alignment horizontal="center"/>
    </xf>
    <xf numFmtId="43" fontId="45" fillId="21" borderId="0" xfId="161" applyFont="1" applyFill="1" applyBorder="1" applyAlignment="1">
      <alignment horizontal="center"/>
    </xf>
    <xf numFmtId="43" fontId="45" fillId="21" borderId="0" xfId="161" applyFont="1" applyFill="1" applyAlignment="1">
      <alignment horizontal="center"/>
    </xf>
    <xf numFmtId="168" fontId="45" fillId="21" borderId="0" xfId="161" quotePrefix="1" applyNumberFormat="1" applyFont="1" applyFill="1" applyBorder="1" applyAlignment="1">
      <alignment horizontal="center"/>
    </xf>
    <xf numFmtId="164" fontId="45" fillId="0" borderId="0" xfId="193" quotePrefix="1" applyFont="1" applyAlignment="1">
      <alignment horizontal="center"/>
    </xf>
    <xf numFmtId="168" fontId="45" fillId="0" borderId="0" xfId="194" quotePrefix="1" applyNumberFormat="1" applyFont="1" applyFill="1" applyBorder="1" applyAlignment="1">
      <alignment horizontal="center"/>
    </xf>
    <xf numFmtId="5" fontId="46" fillId="21" borderId="0" xfId="147" applyNumberFormat="1" applyFont="1" applyFill="1"/>
    <xf numFmtId="43" fontId="45" fillId="21" borderId="0" xfId="161" applyFont="1" applyFill="1" applyAlignment="1"/>
    <xf numFmtId="168" fontId="46" fillId="21" borderId="11" xfId="161" applyNumberFormat="1" applyFont="1" applyFill="1" applyBorder="1"/>
    <xf numFmtId="164" fontId="45" fillId="21" borderId="0" xfId="193" applyFont="1" applyFill="1" applyAlignment="1">
      <alignment horizontal="left" indent="1"/>
    </xf>
    <xf numFmtId="167" fontId="46" fillId="21" borderId="0" xfId="193" applyNumberFormat="1" applyFont="1" applyFill="1"/>
    <xf numFmtId="164" fontId="76" fillId="21" borderId="0" xfId="193" applyFont="1" applyFill="1"/>
    <xf numFmtId="164" fontId="71" fillId="21" borderId="0" xfId="193" applyFont="1" applyFill="1"/>
    <xf numFmtId="164" fontId="72" fillId="21" borderId="0" xfId="193" applyFont="1" applyFill="1"/>
    <xf numFmtId="14" fontId="73" fillId="21" borderId="0" xfId="193" applyNumberFormat="1" applyFont="1" applyFill="1" applyAlignment="1">
      <alignment horizontal="center"/>
    </xf>
    <xf numFmtId="164" fontId="80" fillId="21" borderId="0" xfId="193" applyFont="1" applyFill="1"/>
    <xf numFmtId="164" fontId="48" fillId="21" borderId="0" xfId="193" applyFont="1" applyFill="1" applyAlignment="1">
      <alignment horizontal="center"/>
    </xf>
    <xf numFmtId="164" fontId="48" fillId="21" borderId="0" xfId="193" applyFont="1" applyFill="1"/>
    <xf numFmtId="164" fontId="63" fillId="21" borderId="0" xfId="193" applyFont="1" applyFill="1"/>
    <xf numFmtId="164" fontId="60" fillId="21" borderId="0" xfId="193" applyFont="1" applyFill="1"/>
    <xf numFmtId="168" fontId="45" fillId="21" borderId="0" xfId="161" applyNumberFormat="1" applyFont="1" applyFill="1" applyBorder="1"/>
    <xf numFmtId="168" fontId="45" fillId="39" borderId="0" xfId="194" applyNumberFormat="1" applyFont="1" applyFill="1" applyBorder="1"/>
    <xf numFmtId="164" fontId="45" fillId="39" borderId="0" xfId="193" applyFont="1" applyFill="1" applyAlignment="1">
      <alignment wrapText="1"/>
    </xf>
    <xf numFmtId="168" fontId="45" fillId="39" borderId="0" xfId="194" quotePrefix="1" applyNumberFormat="1" applyFont="1" applyFill="1" applyBorder="1" applyAlignment="1">
      <alignment horizontal="center"/>
    </xf>
    <xf numFmtId="10" fontId="45" fillId="21" borderId="0" xfId="148" applyNumberFormat="1" applyFont="1" applyFill="1" applyBorder="1" applyAlignment="1">
      <alignment horizontal="center"/>
    </xf>
    <xf numFmtId="164" fontId="45" fillId="39" borderId="0" xfId="193" applyFont="1" applyFill="1" applyAlignment="1">
      <alignment horizontal="left" indent="1"/>
    </xf>
    <xf numFmtId="10" fontId="46" fillId="21" borderId="0" xfId="148" applyNumberFormat="1" applyFont="1" applyFill="1" applyBorder="1" applyAlignment="1">
      <alignment horizontal="center"/>
    </xf>
    <xf numFmtId="164" fontId="38" fillId="21" borderId="0" xfId="193" applyFont="1" applyFill="1"/>
    <xf numFmtId="10" fontId="62" fillId="21" borderId="0" xfId="148" applyNumberFormat="1" applyFont="1" applyFill="1" applyBorder="1" applyAlignment="1">
      <alignment horizontal="center"/>
    </xf>
    <xf numFmtId="164" fontId="57" fillId="21" borderId="0" xfId="0" applyFont="1" applyFill="1" applyAlignment="1">
      <alignment horizontal="center"/>
    </xf>
    <xf numFmtId="164" fontId="57" fillId="21" borderId="0" xfId="0" quotePrefix="1" applyFont="1" applyFill="1" applyAlignment="1">
      <alignment horizontal="center"/>
    </xf>
    <xf numFmtId="164" fontId="46" fillId="21" borderId="17" xfId="193" applyFont="1" applyFill="1" applyBorder="1"/>
    <xf numFmtId="164" fontId="46" fillId="21" borderId="17" xfId="193" applyFont="1" applyFill="1" applyBorder="1" applyAlignment="1">
      <alignment horizontal="center"/>
    </xf>
    <xf numFmtId="37" fontId="46" fillId="39" borderId="0" xfId="147" applyNumberFormat="1" applyFont="1" applyFill="1"/>
    <xf numFmtId="37" fontId="46" fillId="21" borderId="0" xfId="161" applyNumberFormat="1" applyFont="1" applyFill="1"/>
    <xf numFmtId="168" fontId="46" fillId="39" borderId="0" xfId="161" applyNumberFormat="1" applyFont="1" applyFill="1"/>
    <xf numFmtId="168" fontId="46" fillId="21" borderId="17" xfId="161" applyNumberFormat="1" applyFont="1" applyFill="1" applyBorder="1"/>
    <xf numFmtId="164" fontId="45" fillId="21" borderId="0" xfId="193" applyFont="1" applyFill="1" applyAlignment="1">
      <alignment horizontal="left"/>
    </xf>
    <xf numFmtId="49" fontId="45" fillId="21" borderId="0" xfId="0" applyNumberFormat="1" applyFont="1" applyFill="1" applyAlignment="1">
      <alignment horizontal="left"/>
    </xf>
    <xf numFmtId="14" fontId="45" fillId="39" borderId="0" xfId="0" applyNumberFormat="1" applyFont="1" applyFill="1" applyAlignment="1">
      <alignment horizontal="center" wrapText="1"/>
    </xf>
    <xf numFmtId="168" fontId="45" fillId="21" borderId="0" xfId="161" applyNumberFormat="1" applyFont="1" applyFill="1" applyBorder="1" applyAlignment="1">
      <alignment wrapText="1"/>
    </xf>
    <xf numFmtId="14" fontId="45" fillId="39" borderId="0" xfId="0" quotePrefix="1" applyNumberFormat="1" applyFont="1" applyFill="1" applyAlignment="1">
      <alignment horizontal="center" wrapText="1"/>
    </xf>
    <xf numFmtId="169" fontId="46" fillId="21" borderId="0" xfId="0" applyNumberFormat="1" applyFont="1" applyFill="1"/>
    <xf numFmtId="10" fontId="45" fillId="21" borderId="0" xfId="148" applyNumberFormat="1" applyFont="1" applyFill="1"/>
    <xf numFmtId="0" fontId="4" fillId="21" borderId="0" xfId="386" applyFont="1" applyFill="1"/>
    <xf numFmtId="168" fontId="4" fillId="21" borderId="0" xfId="161" applyNumberFormat="1" applyFont="1" applyFill="1"/>
    <xf numFmtId="168" fontId="4" fillId="0" borderId="0" xfId="161" applyNumberFormat="1" applyFont="1" applyFill="1"/>
    <xf numFmtId="0" fontId="4" fillId="0" borderId="0" xfId="386" applyFont="1"/>
    <xf numFmtId="0" fontId="47" fillId="21" borderId="0" xfId="142" applyFont="1" applyFill="1"/>
    <xf numFmtId="0" fontId="4" fillId="21" borderId="0" xfId="386" applyFont="1" applyFill="1" applyAlignment="1">
      <alignment horizontal="center"/>
    </xf>
    <xf numFmtId="0" fontId="15" fillId="21" borderId="20" xfId="401" quotePrefix="1" applyNumberFormat="1" applyFont="1" applyFill="1" applyProtection="1">
      <alignment horizontal="left" vertical="center" indent="1"/>
      <protection locked="0"/>
    </xf>
    <xf numFmtId="0" fontId="15" fillId="21" borderId="20" xfId="401" quotePrefix="1" applyNumberFormat="1" applyFont="1" applyFill="1" applyAlignment="1" applyProtection="1">
      <alignment horizontal="center" vertical="center"/>
      <protection locked="0"/>
    </xf>
    <xf numFmtId="168" fontId="15" fillId="0" borderId="5" xfId="106" applyNumberFormat="1" applyFont="1" applyFill="1">
      <alignment vertical="center"/>
    </xf>
    <xf numFmtId="0" fontId="15" fillId="39" borderId="20" xfId="404" quotePrefix="1" applyNumberFormat="1" applyFont="1" applyFill="1" applyAlignment="1">
      <alignment horizontal="center" vertical="center"/>
    </xf>
    <xf numFmtId="168" fontId="15" fillId="39" borderId="16" xfId="354" quotePrefix="1" applyNumberFormat="1" applyFont="1" applyFill="1" applyAlignment="1">
      <alignment horizontal="center" vertical="center"/>
    </xf>
    <xf numFmtId="0" fontId="15" fillId="21" borderId="20" xfId="404" quotePrefix="1" applyNumberFormat="1" applyFont="1" applyFill="1">
      <alignment horizontal="left" vertical="center" indent="1"/>
    </xf>
    <xf numFmtId="168" fontId="15" fillId="21" borderId="5" xfId="138" applyNumberFormat="1" applyFont="1" applyFill="1">
      <alignment horizontal="right" vertical="center"/>
    </xf>
    <xf numFmtId="168" fontId="15" fillId="0" borderId="5" xfId="138" applyNumberFormat="1" applyFont="1" applyFill="1">
      <alignment horizontal="right" vertical="center"/>
    </xf>
    <xf numFmtId="0" fontId="15" fillId="21" borderId="20" xfId="409" quotePrefix="1" applyNumberFormat="1" applyFont="1" applyFill="1">
      <alignment horizontal="left" vertical="center" indent="1"/>
    </xf>
    <xf numFmtId="0" fontId="15" fillId="21" borderId="20" xfId="409" applyNumberFormat="1" applyFont="1" applyFill="1">
      <alignment horizontal="left" vertical="center" indent="1"/>
    </xf>
    <xf numFmtId="168" fontId="15" fillId="21" borderId="5" xfId="106" applyNumberFormat="1" applyFont="1" applyFill="1">
      <alignment vertical="center"/>
    </xf>
    <xf numFmtId="164" fontId="58" fillId="21" borderId="0" xfId="0" quotePrefix="1" applyFont="1" applyFill="1" applyAlignment="1">
      <alignment horizontal="center"/>
    </xf>
    <xf numFmtId="3" fontId="56" fillId="21" borderId="0" xfId="0" applyNumberFormat="1" applyFont="1" applyFill="1"/>
    <xf numFmtId="0" fontId="58" fillId="21" borderId="23" xfId="408" applyFont="1" applyFill="1" applyBorder="1" applyAlignment="1">
      <alignment horizontal="left"/>
    </xf>
    <xf numFmtId="164" fontId="56" fillId="21" borderId="22" xfId="0" applyFont="1" applyFill="1" applyBorder="1"/>
    <xf numFmtId="0" fontId="58" fillId="39" borderId="23" xfId="408" quotePrefix="1" applyFont="1" applyFill="1" applyBorder="1" applyAlignment="1">
      <alignment horizontal="center"/>
    </xf>
    <xf numFmtId="0" fontId="58" fillId="21" borderId="7" xfId="408" applyFont="1" applyFill="1" applyBorder="1" applyAlignment="1">
      <alignment horizontal="left"/>
    </xf>
    <xf numFmtId="168" fontId="56" fillId="21" borderId="0" xfId="161" applyNumberFormat="1" applyFont="1" applyFill="1"/>
    <xf numFmtId="168" fontId="56" fillId="0" borderId="0" xfId="161" applyNumberFormat="1" applyFont="1" applyFill="1"/>
    <xf numFmtId="168" fontId="56" fillId="0" borderId="0" xfId="161" applyNumberFormat="1" applyFont="1" applyFill="1" applyBorder="1"/>
    <xf numFmtId="168" fontId="56" fillId="21" borderId="0" xfId="161" applyNumberFormat="1" applyFont="1" applyFill="1" applyBorder="1"/>
    <xf numFmtId="164" fontId="56" fillId="21" borderId="0" xfId="0" applyFont="1" applyFill="1" applyAlignment="1">
      <alignment horizontal="right"/>
    </xf>
    <xf numFmtId="164" fontId="56" fillId="0" borderId="0" xfId="0" applyFont="1" applyAlignment="1">
      <alignment horizontal="right"/>
    </xf>
    <xf numFmtId="175" fontId="100" fillId="0" borderId="0" xfId="389" applyFont="1"/>
    <xf numFmtId="0" fontId="15" fillId="0" borderId="0" xfId="389" applyNumberFormat="1" applyFont="1" applyProtection="1">
      <protection locked="0"/>
    </xf>
    <xf numFmtId="175" fontId="100" fillId="0" borderId="0" xfId="389" applyFont="1" applyAlignment="1">
      <alignment horizontal="center"/>
    </xf>
    <xf numFmtId="0" fontId="100" fillId="0" borderId="0" xfId="389" applyNumberFormat="1" applyFont="1" applyProtection="1">
      <protection locked="0"/>
    </xf>
    <xf numFmtId="3" fontId="100" fillId="0" borderId="0" xfId="389" applyNumberFormat="1" applyFont="1"/>
    <xf numFmtId="0" fontId="100" fillId="0" borderId="0" xfId="389" applyNumberFormat="1" applyFont="1"/>
    <xf numFmtId="0" fontId="100" fillId="0" borderId="0" xfId="389" applyNumberFormat="1" applyFont="1" applyAlignment="1" applyProtection="1">
      <alignment horizontal="center"/>
      <protection locked="0"/>
    </xf>
    <xf numFmtId="0" fontId="100" fillId="0" borderId="0" xfId="389" applyNumberFormat="1" applyFont="1" applyAlignment="1">
      <alignment horizontal="center"/>
    </xf>
    <xf numFmtId="49" fontId="100" fillId="0" borderId="0" xfId="389" applyNumberFormat="1" applyFont="1"/>
    <xf numFmtId="0" fontId="101" fillId="0" borderId="0" xfId="389" applyNumberFormat="1" applyFont="1"/>
    <xf numFmtId="175" fontId="45" fillId="0" borderId="0" xfId="389" applyFont="1" applyAlignment="1">
      <alignment horizontal="center"/>
    </xf>
    <xf numFmtId="175" fontId="15" fillId="0" borderId="0" xfId="389" applyFont="1"/>
    <xf numFmtId="175" fontId="15" fillId="0" borderId="9" xfId="389" applyFont="1" applyBorder="1"/>
    <xf numFmtId="175" fontId="15" fillId="0" borderId="10" xfId="389" applyFont="1" applyBorder="1"/>
    <xf numFmtId="175" fontId="15" fillId="0" borderId="0" xfId="389" applyFont="1" applyAlignment="1">
      <alignment horizontal="center" wrapText="1"/>
    </xf>
    <xf numFmtId="175" fontId="15" fillId="0" borderId="7" xfId="389" applyFont="1" applyBorder="1" applyAlignment="1">
      <alignment horizontal="center"/>
    </xf>
    <xf numFmtId="175" fontId="15" fillId="0" borderId="17" xfId="389" applyFont="1" applyBorder="1" applyAlignment="1">
      <alignment horizontal="center"/>
    </xf>
    <xf numFmtId="175" fontId="15" fillId="0" borderId="8" xfId="389" applyFont="1" applyBorder="1" applyAlignment="1">
      <alignment horizontal="center"/>
    </xf>
    <xf numFmtId="175" fontId="15" fillId="0" borderId="7" xfId="389" applyFont="1" applyBorder="1"/>
    <xf numFmtId="175" fontId="15" fillId="0" borderId="17" xfId="389" applyFont="1" applyBorder="1"/>
    <xf numFmtId="175" fontId="15" fillId="0" borderId="17" xfId="389" applyFont="1" applyBorder="1" applyAlignment="1">
      <alignment wrapText="1"/>
    </xf>
    <xf numFmtId="175" fontId="15" fillId="0" borderId="17" xfId="389" applyFont="1" applyBorder="1" applyAlignment="1">
      <alignment horizontal="center" wrapText="1"/>
    </xf>
    <xf numFmtId="168" fontId="15" fillId="0" borderId="9" xfId="9" applyNumberFormat="1" applyFont="1" applyBorder="1" applyAlignment="1">
      <alignment horizontal="right"/>
    </xf>
    <xf numFmtId="43" fontId="15" fillId="0" borderId="0" xfId="9" applyFont="1" applyFill="1" applyBorder="1" applyAlignment="1"/>
    <xf numFmtId="168" fontId="15" fillId="39" borderId="0" xfId="9" applyNumberFormat="1" applyFont="1" applyFill="1" applyBorder="1" applyAlignment="1"/>
    <xf numFmtId="168" fontId="15" fillId="39" borderId="0" xfId="9" applyNumberFormat="1" applyFont="1" applyFill="1" applyBorder="1"/>
    <xf numFmtId="168" fontId="15" fillId="0" borderId="0" xfId="9" applyNumberFormat="1" applyFont="1" applyFill="1" applyBorder="1"/>
    <xf numFmtId="168" fontId="15" fillId="0" borderId="10" xfId="9" applyNumberFormat="1" applyFont="1" applyFill="1" applyBorder="1"/>
    <xf numFmtId="43" fontId="15" fillId="0" borderId="0" xfId="9" applyFont="1" applyFill="1" applyBorder="1"/>
    <xf numFmtId="43" fontId="15" fillId="39" borderId="0" xfId="9" applyFont="1" applyFill="1" applyBorder="1"/>
    <xf numFmtId="175" fontId="15" fillId="39" borderId="0" xfId="389" applyFont="1" applyFill="1"/>
    <xf numFmtId="175" fontId="15" fillId="0" borderId="8" xfId="389" applyFont="1" applyBorder="1"/>
    <xf numFmtId="168" fontId="15" fillId="0" borderId="0" xfId="9" applyNumberFormat="1" applyFont="1" applyAlignment="1">
      <alignment horizontal="center"/>
    </xf>
    <xf numFmtId="170" fontId="15" fillId="0" borderId="0" xfId="397" applyNumberFormat="1" applyFont="1"/>
    <xf numFmtId="168" fontId="15" fillId="0" borderId="0" xfId="9" applyNumberFormat="1" applyFont="1"/>
    <xf numFmtId="175" fontId="45" fillId="0" borderId="0" xfId="389" applyFont="1"/>
    <xf numFmtId="43" fontId="15" fillId="0" borderId="0" xfId="9" applyFont="1"/>
    <xf numFmtId="175" fontId="15" fillId="0" borderId="0" xfId="389" applyFont="1" applyAlignment="1">
      <alignment horizontal="left" indent="1"/>
    </xf>
    <xf numFmtId="168" fontId="100" fillId="0" borderId="0" xfId="9" applyNumberFormat="1" applyFont="1" applyAlignment="1">
      <alignment horizontal="center"/>
    </xf>
    <xf numFmtId="175" fontId="100" fillId="0" borderId="0" xfId="0" applyNumberFormat="1" applyFont="1"/>
    <xf numFmtId="175" fontId="102" fillId="0" borderId="0" xfId="389" applyFont="1"/>
    <xf numFmtId="175" fontId="103" fillId="0" borderId="0" xfId="389" applyFont="1"/>
    <xf numFmtId="164" fontId="47" fillId="21" borderId="0" xfId="0" applyFont="1" applyFill="1"/>
    <xf numFmtId="0" fontId="46" fillId="0" borderId="0" xfId="396" applyNumberFormat="1" applyFont="1" applyAlignment="1" applyProtection="1">
      <alignment horizontal="center"/>
      <protection locked="0"/>
    </xf>
    <xf numFmtId="175" fontId="58" fillId="0" borderId="0" xfId="389" applyFont="1"/>
    <xf numFmtId="1" fontId="15" fillId="0" borderId="0" xfId="389" applyNumberFormat="1" applyFont="1" applyAlignment="1">
      <alignment horizontal="left"/>
    </xf>
    <xf numFmtId="175" fontId="15" fillId="0" borderId="0" xfId="389" quotePrefix="1" applyFont="1" applyAlignment="1">
      <alignment horizontal="left"/>
    </xf>
    <xf numFmtId="43" fontId="15" fillId="0" borderId="0" xfId="9" applyFont="1" applyAlignment="1"/>
    <xf numFmtId="43" fontId="15" fillId="0" borderId="0" xfId="9" applyFont="1" applyBorder="1" applyAlignment="1"/>
    <xf numFmtId="168" fontId="15" fillId="0" borderId="18" xfId="9" applyNumberFormat="1" applyFont="1" applyFill="1" applyBorder="1" applyAlignment="1">
      <alignment horizontal="center"/>
    </xf>
    <xf numFmtId="175" fontId="15" fillId="0" borderId="18" xfId="389" applyFont="1" applyBorder="1" applyAlignment="1">
      <alignment horizontal="center"/>
    </xf>
    <xf numFmtId="43" fontId="15" fillId="39" borderId="18" xfId="9" applyFont="1" applyFill="1" applyBorder="1" applyAlignment="1"/>
    <xf numFmtId="168" fontId="15" fillId="0" borderId="18" xfId="9" applyNumberFormat="1" applyFont="1" applyBorder="1" applyAlignment="1"/>
    <xf numFmtId="168" fontId="15" fillId="39" borderId="18" xfId="9" applyNumberFormat="1" applyFont="1" applyFill="1" applyBorder="1" applyAlignment="1"/>
    <xf numFmtId="175" fontId="15" fillId="39" borderId="18" xfId="389" applyFont="1" applyFill="1" applyBorder="1"/>
    <xf numFmtId="175" fontId="15" fillId="39" borderId="18" xfId="389" applyFont="1" applyFill="1" applyBorder="1" applyAlignment="1">
      <alignment horizontal="right"/>
    </xf>
    <xf numFmtId="175" fontId="15" fillId="39" borderId="19" xfId="389" applyFont="1" applyFill="1" applyBorder="1" applyAlignment="1">
      <alignment horizontal="right"/>
    </xf>
    <xf numFmtId="175" fontId="15" fillId="39" borderId="19" xfId="389" applyFont="1" applyFill="1" applyBorder="1"/>
    <xf numFmtId="168" fontId="15" fillId="0" borderId="19" xfId="9" applyNumberFormat="1" applyFont="1" applyBorder="1" applyAlignment="1"/>
    <xf numFmtId="1" fontId="15" fillId="0" borderId="0" xfId="389" quotePrefix="1" applyNumberFormat="1" applyFont="1" applyAlignment="1">
      <alignment horizontal="left"/>
    </xf>
    <xf numFmtId="168" fontId="15" fillId="0" borderId="0" xfId="9" applyNumberFormat="1" applyFont="1" applyAlignment="1"/>
    <xf numFmtId="0" fontId="15" fillId="0" borderId="0" xfId="398" applyFont="1"/>
    <xf numFmtId="0" fontId="45" fillId="0" borderId="0" xfId="398" applyFont="1"/>
    <xf numFmtId="0" fontId="15" fillId="0" borderId="0" xfId="389" applyNumberFormat="1" applyFont="1" applyAlignment="1">
      <alignment horizontal="center" vertical="top"/>
    </xf>
    <xf numFmtId="175" fontId="15" fillId="0" borderId="0" xfId="389" applyFont="1" applyAlignment="1">
      <alignment vertical="top" wrapText="1"/>
    </xf>
    <xf numFmtId="0" fontId="100" fillId="0" borderId="0" xfId="9" applyNumberFormat="1" applyFont="1" applyFill="1" applyAlignment="1">
      <alignment horizontal="center" vertical="top"/>
    </xf>
    <xf numFmtId="175" fontId="100" fillId="0" borderId="0" xfId="389" applyFont="1" applyAlignment="1">
      <alignment horizontal="center" vertical="top"/>
    </xf>
    <xf numFmtId="0" fontId="100" fillId="0" borderId="0" xfId="9" applyNumberFormat="1" applyFont="1" applyFill="1" applyAlignment="1">
      <alignment horizontal="center"/>
    </xf>
    <xf numFmtId="0" fontId="100" fillId="0" borderId="0" xfId="0" applyNumberFormat="1" applyFont="1" applyAlignment="1">
      <alignment horizontal="center" vertical="top"/>
    </xf>
    <xf numFmtId="164" fontId="50" fillId="21" borderId="0" xfId="0" applyFont="1" applyFill="1"/>
    <xf numFmtId="168" fontId="104" fillId="0" borderId="0" xfId="9" applyNumberFormat="1" applyFont="1" applyAlignment="1"/>
    <xf numFmtId="175" fontId="104" fillId="0" borderId="0" xfId="389" applyFont="1"/>
    <xf numFmtId="0" fontId="104" fillId="0" borderId="0" xfId="389" applyNumberFormat="1" applyFont="1" applyProtection="1">
      <protection locked="0"/>
    </xf>
    <xf numFmtId="0" fontId="104" fillId="0" borderId="0" xfId="389" applyNumberFormat="1" applyFont="1" applyAlignment="1" applyProtection="1">
      <alignment horizontal="center"/>
      <protection locked="0"/>
    </xf>
    <xf numFmtId="0" fontId="104" fillId="0" borderId="0" xfId="389" applyNumberFormat="1" applyFont="1" applyAlignment="1">
      <alignment horizontal="right"/>
    </xf>
    <xf numFmtId="0" fontId="45" fillId="0" borderId="0" xfId="389" applyNumberFormat="1" applyFont="1"/>
    <xf numFmtId="167" fontId="45" fillId="0" borderId="0" xfId="389" applyNumberFormat="1" applyFont="1"/>
    <xf numFmtId="175" fontId="59" fillId="0" borderId="0" xfId="389" applyFont="1" applyAlignment="1">
      <alignment horizontal="center"/>
    </xf>
    <xf numFmtId="3" fontId="45" fillId="0" borderId="2" xfId="394" applyNumberFormat="1" applyFont="1" applyBorder="1" applyAlignment="1">
      <alignment horizontal="center"/>
    </xf>
    <xf numFmtId="168" fontId="45" fillId="0" borderId="0" xfId="9" applyNumberFormat="1" applyFont="1" applyAlignment="1"/>
    <xf numFmtId="168" fontId="45" fillId="0" borderId="0" xfId="9" applyNumberFormat="1" applyFont="1" applyAlignment="1" applyProtection="1">
      <alignment horizontal="center"/>
      <protection locked="0"/>
    </xf>
    <xf numFmtId="0" fontId="45" fillId="0" borderId="0" xfId="394" applyNumberFormat="1" applyFont="1" applyProtection="1">
      <protection locked="0"/>
    </xf>
    <xf numFmtId="3" fontId="45" fillId="0" borderId="0" xfId="394" applyNumberFormat="1" applyFont="1"/>
    <xf numFmtId="0" fontId="45" fillId="0" borderId="0" xfId="394" applyNumberFormat="1" applyFont="1"/>
    <xf numFmtId="3" fontId="45" fillId="0" borderId="0" xfId="394" applyNumberFormat="1" applyFont="1" applyAlignment="1">
      <alignment horizontal="center"/>
    </xf>
    <xf numFmtId="3" fontId="46" fillId="0" borderId="0" xfId="394" applyNumberFormat="1" applyFont="1" applyAlignment="1">
      <alignment horizontal="center"/>
    </xf>
    <xf numFmtId="0" fontId="46" fillId="0" borderId="2" xfId="394" applyNumberFormat="1" applyFont="1" applyBorder="1" applyAlignment="1" applyProtection="1">
      <alignment horizontal="center"/>
      <protection locked="0"/>
    </xf>
    <xf numFmtId="175" fontId="45" fillId="0" borderId="0" xfId="394" applyFont="1"/>
    <xf numFmtId="43" fontId="45" fillId="0" borderId="0" xfId="9" applyFont="1" applyFill="1" applyAlignment="1"/>
    <xf numFmtId="177" fontId="45" fillId="0" borderId="0" xfId="161" applyNumberFormat="1" applyFont="1" applyAlignment="1"/>
    <xf numFmtId="175" fontId="45" fillId="0" borderId="0" xfId="394" applyFont="1" applyAlignment="1">
      <alignment wrapText="1"/>
    </xf>
    <xf numFmtId="177" fontId="45" fillId="0" borderId="2" xfId="161" applyNumberFormat="1" applyFont="1" applyBorder="1" applyAlignment="1"/>
    <xf numFmtId="43" fontId="45" fillId="0" borderId="0" xfId="9" applyFont="1" applyAlignment="1"/>
    <xf numFmtId="178" fontId="45" fillId="0" borderId="0" xfId="394" applyNumberFormat="1" applyFont="1"/>
    <xf numFmtId="168" fontId="45" fillId="0" borderId="0" xfId="391" applyNumberFormat="1" applyFont="1" applyAlignment="1"/>
    <xf numFmtId="168" fontId="45" fillId="0" borderId="0" xfId="391" applyNumberFormat="1" applyFont="1" applyAlignment="1">
      <alignment horizontal="left" indent="2"/>
    </xf>
    <xf numFmtId="168" fontId="45" fillId="0" borderId="0" xfId="9" applyNumberFormat="1" applyFont="1" applyAlignment="1">
      <alignment horizontal="center"/>
    </xf>
    <xf numFmtId="168" fontId="104" fillId="0" borderId="0" xfId="9" applyNumberFormat="1" applyFont="1" applyAlignment="1">
      <alignment horizontal="center"/>
    </xf>
    <xf numFmtId="167" fontId="104" fillId="0" borderId="0" xfId="389" applyNumberFormat="1" applyFont="1"/>
    <xf numFmtId="175" fontId="100" fillId="0" borderId="0" xfId="389" applyFont="1" applyAlignment="1">
      <alignment horizontal="right"/>
    </xf>
    <xf numFmtId="0" fontId="104" fillId="0" borderId="0" xfId="389" applyNumberFormat="1" applyFont="1"/>
    <xf numFmtId="0" fontId="105" fillId="0" borderId="0" xfId="389" applyNumberFormat="1" applyFont="1" applyAlignment="1" applyProtection="1">
      <alignment horizontal="center"/>
      <protection locked="0"/>
    </xf>
    <xf numFmtId="175" fontId="105" fillId="0" borderId="0" xfId="389" applyFont="1"/>
    <xf numFmtId="0" fontId="105" fillId="0" borderId="0" xfId="389" applyNumberFormat="1" applyFont="1"/>
    <xf numFmtId="49" fontId="105" fillId="0" borderId="0" xfId="389" applyNumberFormat="1" applyFont="1"/>
    <xf numFmtId="0" fontId="45" fillId="0" borderId="0" xfId="389" applyNumberFormat="1" applyFont="1" applyAlignment="1" applyProtection="1">
      <alignment horizontal="center"/>
      <protection locked="0"/>
    </xf>
    <xf numFmtId="49" fontId="45" fillId="0" borderId="0" xfId="389" applyNumberFormat="1" applyFont="1"/>
    <xf numFmtId="0" fontId="15" fillId="0" borderId="0" xfId="389" applyNumberFormat="1" applyFont="1"/>
    <xf numFmtId="3" fontId="45" fillId="0" borderId="0" xfId="389" applyNumberFormat="1" applyFont="1"/>
    <xf numFmtId="3" fontId="15" fillId="0" borderId="0" xfId="389" applyNumberFormat="1" applyFont="1"/>
    <xf numFmtId="0" fontId="15" fillId="0" borderId="0" xfId="389" applyNumberFormat="1" applyFont="1" applyAlignment="1">
      <alignment horizontal="center"/>
    </xf>
    <xf numFmtId="175" fontId="60" fillId="0" borderId="0" xfId="389" applyFont="1"/>
    <xf numFmtId="0" fontId="60" fillId="0" borderId="0" xfId="389" applyNumberFormat="1" applyFont="1"/>
    <xf numFmtId="0" fontId="59" fillId="0" borderId="0" xfId="389" applyNumberFormat="1" applyFont="1" applyAlignment="1" applyProtection="1">
      <alignment horizontal="center"/>
      <protection locked="0"/>
    </xf>
    <xf numFmtId="0" fontId="58" fillId="0" borderId="0" xfId="389" applyNumberFormat="1" applyFont="1" applyAlignment="1">
      <alignment horizontal="center"/>
    </xf>
    <xf numFmtId="0" fontId="45" fillId="0" borderId="0" xfId="389" applyNumberFormat="1" applyFont="1" applyAlignment="1">
      <alignment horizontal="center"/>
    </xf>
    <xf numFmtId="49" fontId="45" fillId="0" borderId="0" xfId="389" applyNumberFormat="1" applyFont="1" applyAlignment="1">
      <alignment horizontal="center"/>
    </xf>
    <xf numFmtId="49" fontId="15" fillId="0" borderId="0" xfId="389" applyNumberFormat="1" applyFont="1" applyAlignment="1">
      <alignment horizontal="center"/>
    </xf>
    <xf numFmtId="0" fontId="46" fillId="0" borderId="0" xfId="389" applyNumberFormat="1" applyFont="1"/>
    <xf numFmtId="3" fontId="45" fillId="0" borderId="0" xfId="389" applyNumberFormat="1" applyFont="1" applyAlignment="1">
      <alignment horizontal="center"/>
    </xf>
    <xf numFmtId="3" fontId="45" fillId="0" borderId="0" xfId="389" applyNumberFormat="1" applyFont="1" applyAlignment="1">
      <alignment horizontal="left"/>
    </xf>
    <xf numFmtId="168" fontId="45" fillId="0" borderId="0" xfId="391" applyNumberFormat="1" applyFont="1" applyFill="1" applyBorder="1" applyAlignment="1"/>
    <xf numFmtId="168" fontId="45" fillId="0" borderId="0" xfId="9" applyNumberFormat="1" applyFont="1" applyFill="1" applyBorder="1" applyAlignment="1"/>
    <xf numFmtId="168" fontId="45" fillId="0" borderId="17" xfId="9" applyNumberFormat="1" applyFont="1" applyFill="1" applyBorder="1" applyAlignment="1"/>
    <xf numFmtId="179" fontId="45" fillId="0" borderId="0" xfId="161" applyNumberFormat="1" applyFont="1" applyFill="1" applyBorder="1" applyAlignment="1"/>
    <xf numFmtId="10" fontId="45" fillId="0" borderId="0" xfId="392" applyNumberFormat="1" applyFont="1" applyFill="1" applyBorder="1" applyAlignment="1"/>
    <xf numFmtId="10" fontId="58" fillId="0" borderId="0" xfId="389" applyNumberFormat="1" applyFont="1"/>
    <xf numFmtId="3" fontId="58" fillId="0" borderId="0" xfId="389" applyNumberFormat="1" applyFont="1"/>
    <xf numFmtId="176" fontId="58" fillId="0" borderId="0" xfId="389" applyNumberFormat="1" applyFont="1"/>
    <xf numFmtId="43" fontId="45" fillId="0" borderId="0" xfId="9" applyFont="1" applyFill="1" applyBorder="1" applyAlignment="1"/>
    <xf numFmtId="3" fontId="15" fillId="0" borderId="0" xfId="389" applyNumberFormat="1" applyFont="1" applyAlignment="1">
      <alignment horizontal="center"/>
    </xf>
    <xf numFmtId="175" fontId="45" fillId="0" borderId="0" xfId="389" applyFont="1" applyAlignment="1">
      <alignment horizontal="left"/>
    </xf>
    <xf numFmtId="10" fontId="46" fillId="0" borderId="0" xfId="392" applyNumberFormat="1" applyFont="1" applyFill="1" applyBorder="1" applyAlignment="1"/>
    <xf numFmtId="0" fontId="15" fillId="0" borderId="0" xfId="389" applyNumberFormat="1" applyFont="1" applyAlignment="1">
      <alignment horizontal="fill"/>
    </xf>
    <xf numFmtId="3" fontId="45" fillId="0" borderId="0" xfId="389" applyNumberFormat="1" applyFont="1" applyAlignment="1">
      <alignment horizontal="right"/>
    </xf>
    <xf numFmtId="43" fontId="46" fillId="0" borderId="0" xfId="9" applyFont="1" applyFill="1" applyBorder="1" applyAlignment="1"/>
    <xf numFmtId="166" fontId="15" fillId="0" borderId="0" xfId="389" applyNumberFormat="1" applyFont="1" applyAlignment="1">
      <alignment horizontal="center"/>
    </xf>
    <xf numFmtId="166" fontId="45" fillId="0" borderId="0" xfId="389" applyNumberFormat="1" applyFont="1" applyAlignment="1">
      <alignment horizontal="left"/>
    </xf>
    <xf numFmtId="166" fontId="45" fillId="0" borderId="0" xfId="389" applyNumberFormat="1" applyFont="1" applyAlignment="1">
      <alignment horizontal="center"/>
    </xf>
    <xf numFmtId="3" fontId="46" fillId="0" borderId="0" xfId="389" applyNumberFormat="1" applyFont="1"/>
    <xf numFmtId="175" fontId="45" fillId="0" borderId="0" xfId="389" applyFont="1" applyAlignment="1">
      <alignment horizontal="right"/>
    </xf>
    <xf numFmtId="164" fontId="106" fillId="21" borderId="0" xfId="0" applyFont="1" applyFill="1"/>
    <xf numFmtId="175" fontId="63" fillId="0" borderId="0" xfId="389" applyFont="1"/>
    <xf numFmtId="175" fontId="38" fillId="0" borderId="0" xfId="389" applyFont="1"/>
    <xf numFmtId="175" fontId="38" fillId="0" borderId="0" xfId="389" applyFont="1" applyAlignment="1">
      <alignment horizontal="right"/>
    </xf>
    <xf numFmtId="0" fontId="15" fillId="0" borderId="0" xfId="389" applyNumberFormat="1" applyFont="1" applyAlignment="1" applyProtection="1">
      <alignment horizontal="center"/>
      <protection locked="0"/>
    </xf>
    <xf numFmtId="0" fontId="58" fillId="0" borderId="0" xfId="389" applyNumberFormat="1" applyFont="1"/>
    <xf numFmtId="173" fontId="58" fillId="0" borderId="0" xfId="389" applyNumberFormat="1" applyFont="1" applyAlignment="1">
      <alignment horizontal="center"/>
    </xf>
    <xf numFmtId="173" fontId="58" fillId="0" borderId="0" xfId="389" quotePrefix="1" applyNumberFormat="1" applyFont="1" applyAlignment="1">
      <alignment horizontal="center"/>
    </xf>
    <xf numFmtId="175" fontId="15" fillId="0" borderId="18" xfId="389" applyFont="1" applyBorder="1"/>
    <xf numFmtId="175" fontId="15" fillId="0" borderId="9" xfId="393" applyFont="1" applyBorder="1"/>
    <xf numFmtId="175" fontId="15" fillId="0" borderId="0" xfId="393" applyFont="1"/>
    <xf numFmtId="43" fontId="15" fillId="5" borderId="0" xfId="9" applyFont="1" applyFill="1" applyBorder="1" applyAlignment="1"/>
    <xf numFmtId="188" fontId="15" fillId="0" borderId="0" xfId="148" applyNumberFormat="1" applyFont="1" applyFill="1" applyBorder="1" applyAlignment="1"/>
    <xf numFmtId="168" fontId="15" fillId="0" borderId="0" xfId="9" applyNumberFormat="1" applyFont="1" applyFill="1" applyBorder="1" applyAlignment="1"/>
    <xf numFmtId="168" fontId="15" fillId="0" borderId="18" xfId="9" applyNumberFormat="1" applyFont="1" applyFill="1" applyBorder="1" applyAlignment="1"/>
    <xf numFmtId="180" fontId="15" fillId="0" borderId="0" xfId="9" applyNumberFormat="1" applyFont="1" applyFill="1" applyBorder="1" applyAlignment="1"/>
    <xf numFmtId="168" fontId="15" fillId="5" borderId="18" xfId="9" applyNumberFormat="1" applyFont="1" applyFill="1" applyBorder="1" applyAlignment="1"/>
    <xf numFmtId="168" fontId="15" fillId="0" borderId="18" xfId="161" applyNumberFormat="1" applyFont="1" applyFill="1" applyBorder="1" applyAlignment="1"/>
    <xf numFmtId="168" fontId="15" fillId="5" borderId="0" xfId="9" applyNumberFormat="1" applyFont="1" applyFill="1" applyBorder="1" applyAlignment="1"/>
    <xf numFmtId="180" fontId="15" fillId="5" borderId="0" xfId="9" applyNumberFormat="1" applyFont="1" applyFill="1" applyBorder="1" applyAlignment="1"/>
    <xf numFmtId="43" fontId="15" fillId="0" borderId="18" xfId="9" applyFont="1" applyFill="1" applyBorder="1" applyAlignment="1"/>
    <xf numFmtId="10" fontId="15" fillId="0" borderId="17" xfId="9" applyNumberFormat="1" applyFont="1" applyFill="1" applyBorder="1" applyAlignment="1"/>
    <xf numFmtId="168" fontId="15" fillId="0" borderId="17" xfId="9" applyNumberFormat="1" applyFont="1" applyFill="1" applyBorder="1" applyAlignment="1"/>
    <xf numFmtId="175" fontId="15" fillId="0" borderId="19" xfId="389" applyFont="1" applyBorder="1"/>
    <xf numFmtId="43" fontId="15" fillId="0" borderId="19" xfId="9" applyFont="1" applyFill="1" applyBorder="1" applyAlignment="1"/>
    <xf numFmtId="175" fontId="107" fillId="0" borderId="19" xfId="389" applyFont="1" applyBorder="1"/>
    <xf numFmtId="175" fontId="107" fillId="0" borderId="17" xfId="389" applyFont="1" applyBorder="1"/>
    <xf numFmtId="168" fontId="15" fillId="0" borderId="19" xfId="9" applyNumberFormat="1" applyFont="1" applyFill="1" applyBorder="1" applyAlignment="1"/>
    <xf numFmtId="168" fontId="15" fillId="0" borderId="0" xfId="9" applyNumberFormat="1" applyFont="1" applyFill="1" applyBorder="1" applyAlignment="1">
      <alignment horizontal="center"/>
    </xf>
    <xf numFmtId="167" fontId="15" fillId="0" borderId="0" xfId="389" applyNumberFormat="1" applyFont="1"/>
    <xf numFmtId="1" fontId="15" fillId="0" borderId="0" xfId="9" applyNumberFormat="1" applyFont="1" applyFill="1" applyBorder="1" applyAlignment="1">
      <alignment horizontal="center"/>
    </xf>
    <xf numFmtId="175" fontId="15" fillId="4" borderId="0" xfId="389" applyFont="1" applyFill="1"/>
    <xf numFmtId="168" fontId="15" fillId="0" borderId="0" xfId="161" applyNumberFormat="1" applyFont="1" applyFill="1" applyBorder="1" applyAlignment="1"/>
    <xf numFmtId="175" fontId="15" fillId="0" borderId="2" xfId="389" applyFont="1" applyBorder="1"/>
    <xf numFmtId="175" fontId="15" fillId="0" borderId="0" xfId="389" applyFont="1" applyAlignment="1">
      <alignment horizontal="center" vertical="top"/>
    </xf>
    <xf numFmtId="175" fontId="15" fillId="0" borderId="0" xfId="393" applyFont="1" applyAlignment="1">
      <alignment vertical="top" wrapText="1"/>
    </xf>
    <xf numFmtId="175" fontId="63" fillId="0" borderId="0" xfId="389" applyFont="1" applyAlignment="1">
      <alignment horizontal="center"/>
    </xf>
    <xf numFmtId="49" fontId="15" fillId="0" borderId="0" xfId="389" applyNumberFormat="1" applyFont="1" applyAlignment="1">
      <alignment horizontal="left"/>
    </xf>
    <xf numFmtId="49" fontId="103" fillId="0" borderId="0" xfId="389" applyNumberFormat="1" applyFont="1" applyAlignment="1">
      <alignment horizontal="center"/>
    </xf>
    <xf numFmtId="175" fontId="103" fillId="0" borderId="0" xfId="389" applyFont="1" applyAlignment="1">
      <alignment horizontal="center"/>
    </xf>
    <xf numFmtId="3" fontId="103" fillId="0" borderId="0" xfId="389" applyNumberFormat="1" applyFont="1"/>
    <xf numFmtId="10" fontId="103" fillId="0" borderId="0" xfId="389" applyNumberFormat="1" applyFont="1"/>
    <xf numFmtId="0" fontId="103" fillId="0" borderId="0" xfId="389" applyNumberFormat="1" applyFont="1" applyAlignment="1">
      <alignment horizontal="right"/>
    </xf>
    <xf numFmtId="49" fontId="103" fillId="0" borderId="0" xfId="389" applyNumberFormat="1" applyFont="1" applyAlignment="1">
      <alignment horizontal="left"/>
    </xf>
    <xf numFmtId="175" fontId="100" fillId="0" borderId="0" xfId="393" applyFont="1"/>
    <xf numFmtId="164" fontId="46" fillId="21" borderId="0" xfId="0" applyFont="1" applyFill="1" applyAlignment="1">
      <alignment horizontal="centerContinuous"/>
    </xf>
    <xf numFmtId="164" fontId="56" fillId="21" borderId="0" xfId="0" applyFont="1" applyFill="1" applyAlignment="1">
      <alignment horizontal="centerContinuous"/>
    </xf>
    <xf numFmtId="49" fontId="46" fillId="21" borderId="0" xfId="0" applyNumberFormat="1" applyFont="1" applyFill="1" applyAlignment="1">
      <alignment horizontal="center"/>
    </xf>
    <xf numFmtId="43" fontId="46" fillId="21" borderId="0" xfId="410" applyFont="1" applyFill="1" applyBorder="1" applyProtection="1"/>
    <xf numFmtId="43" fontId="38" fillId="21" borderId="0" xfId="410" applyFont="1" applyFill="1" applyProtection="1"/>
    <xf numFmtId="5" fontId="62" fillId="21" borderId="0" xfId="0" applyNumberFormat="1" applyFont="1" applyFill="1"/>
    <xf numFmtId="172" fontId="38" fillId="21" borderId="0" xfId="0" applyNumberFormat="1" applyFont="1" applyFill="1" applyAlignment="1">
      <alignment horizontal="right"/>
    </xf>
    <xf numFmtId="10" fontId="62" fillId="21" borderId="0" xfId="0" applyNumberFormat="1" applyFont="1" applyFill="1"/>
    <xf numFmtId="164" fontId="108" fillId="0" borderId="0" xfId="0" applyFont="1"/>
    <xf numFmtId="164" fontId="53" fillId="21" borderId="0" xfId="0" applyFont="1" applyFill="1" applyAlignment="1">
      <alignment horizontal="right"/>
    </xf>
    <xf numFmtId="164" fontId="46" fillId="21" borderId="0" xfId="0" quotePrefix="1" applyFont="1" applyFill="1" applyAlignment="1">
      <alignment horizontal="center"/>
    </xf>
    <xf numFmtId="10" fontId="15" fillId="21" borderId="0" xfId="148" applyNumberFormat="1" applyFont="1" applyFill="1"/>
    <xf numFmtId="10" fontId="45" fillId="0" borderId="0" xfId="148" applyNumberFormat="1" applyFont="1" applyFill="1" applyProtection="1"/>
    <xf numFmtId="164" fontId="59" fillId="21" borderId="0" xfId="0" applyFont="1" applyFill="1" applyAlignment="1">
      <alignment horizontal="left"/>
    </xf>
    <xf numFmtId="10" fontId="46" fillId="0" borderId="0" xfId="148" applyNumberFormat="1" applyFont="1" applyFill="1" applyAlignment="1" applyProtection="1">
      <alignment horizontal="center"/>
    </xf>
    <xf numFmtId="43" fontId="56" fillId="21" borderId="0" xfId="161" applyFont="1" applyFill="1"/>
    <xf numFmtId="168" fontId="46" fillId="0" borderId="0" xfId="161" applyNumberFormat="1" applyFont="1" applyFill="1" applyAlignment="1" applyProtection="1">
      <alignment horizontal="center"/>
    </xf>
    <xf numFmtId="10" fontId="46" fillId="21" borderId="0" xfId="148" applyNumberFormat="1" applyFont="1" applyFill="1" applyAlignment="1" applyProtection="1">
      <alignment horizontal="center"/>
    </xf>
    <xf numFmtId="168" fontId="46" fillId="21" borderId="0" xfId="161" applyNumberFormat="1" applyFont="1" applyFill="1" applyAlignment="1" applyProtection="1">
      <alignment horizontal="center"/>
    </xf>
    <xf numFmtId="164" fontId="15" fillId="21" borderId="0" xfId="0" applyFont="1" applyFill="1" applyAlignment="1">
      <alignment vertical="top"/>
    </xf>
    <xf numFmtId="164" fontId="15" fillId="21" borderId="0" xfId="0" applyFont="1" applyFill="1" applyAlignment="1">
      <alignment horizontal="left" vertical="top"/>
    </xf>
    <xf numFmtId="10" fontId="45" fillId="21" borderId="0" xfId="0" applyNumberFormat="1" applyFont="1" applyFill="1"/>
    <xf numFmtId="168" fontId="46" fillId="0" borderId="0" xfId="410" applyNumberFormat="1" applyFont="1" applyFill="1" applyAlignment="1" applyProtection="1">
      <alignment horizontal="center"/>
      <protection locked="0"/>
    </xf>
    <xf numFmtId="168" fontId="46" fillId="21" borderId="0" xfId="410" applyNumberFormat="1" applyFont="1" applyFill="1" applyAlignment="1" applyProtection="1">
      <alignment horizontal="center"/>
    </xf>
    <xf numFmtId="168" fontId="46" fillId="39" borderId="0" xfId="410" applyNumberFormat="1" applyFont="1" applyFill="1" applyAlignment="1" applyProtection="1">
      <alignment horizontal="center"/>
    </xf>
    <xf numFmtId="10" fontId="59" fillId="21" borderId="0" xfId="0" applyNumberFormat="1" applyFont="1" applyFill="1" applyAlignment="1">
      <alignment horizontal="center"/>
    </xf>
    <xf numFmtId="164" fontId="47" fillId="0" borderId="0" xfId="0" applyFont="1"/>
    <xf numFmtId="164" fontId="81" fillId="0" borderId="0" xfId="0" applyFont="1"/>
    <xf numFmtId="164" fontId="109" fillId="0" borderId="0" xfId="0" applyFont="1"/>
    <xf numFmtId="164" fontId="59" fillId="0" borderId="0" xfId="0" applyFont="1"/>
    <xf numFmtId="41" fontId="45" fillId="0" borderId="0" xfId="147" applyNumberFormat="1" applyFont="1" applyProtection="1"/>
    <xf numFmtId="41" fontId="45" fillId="0" borderId="0" xfId="0" applyNumberFormat="1" applyFont="1"/>
    <xf numFmtId="164" fontId="46" fillId="0" borderId="0" xfId="0" applyFont="1" applyAlignment="1">
      <alignment horizontal="left" indent="1"/>
    </xf>
    <xf numFmtId="168" fontId="45" fillId="0" borderId="0" xfId="161" applyNumberFormat="1" applyFont="1" applyProtection="1"/>
    <xf numFmtId="37" fontId="45" fillId="21" borderId="0" xfId="0" applyNumberFormat="1" applyFont="1" applyFill="1"/>
    <xf numFmtId="5" fontId="45" fillId="0" borderId="0" xfId="0" applyNumberFormat="1" applyFont="1"/>
    <xf numFmtId="164" fontId="46" fillId="0" borderId="0" xfId="0" applyFont="1" applyAlignment="1">
      <alignment horizontal="left"/>
    </xf>
    <xf numFmtId="41" fontId="46" fillId="0" borderId="0" xfId="0" applyNumberFormat="1" applyFont="1"/>
    <xf numFmtId="5" fontId="46" fillId="0" borderId="0" xfId="0" applyNumberFormat="1" applyFont="1"/>
    <xf numFmtId="168" fontId="63" fillId="21" borderId="0" xfId="9" applyNumberFormat="1" applyFont="1" applyFill="1" applyAlignment="1">
      <alignment horizontal="center"/>
    </xf>
    <xf numFmtId="164" fontId="98" fillId="21" borderId="0" xfId="0" applyFont="1" applyFill="1" applyAlignment="1">
      <alignment horizontal="center"/>
    </xf>
    <xf numFmtId="164" fontId="62" fillId="21" borderId="0" xfId="0" applyFont="1" applyFill="1" applyAlignment="1">
      <alignment horizontal="center" vertical="center"/>
    </xf>
    <xf numFmtId="168" fontId="15" fillId="21" borderId="0" xfId="9" applyNumberFormat="1" applyFont="1" applyFill="1" applyAlignment="1">
      <alignment horizontal="center"/>
    </xf>
    <xf numFmtId="168" fontId="15" fillId="21" borderId="17" xfId="9" applyNumberFormat="1" applyFont="1" applyFill="1" applyBorder="1" applyAlignment="1">
      <alignment horizontal="center"/>
    </xf>
    <xf numFmtId="168" fontId="15" fillId="21" borderId="0" xfId="9" applyNumberFormat="1" applyFont="1" applyFill="1" applyAlignment="1">
      <alignment horizontal="center" wrapText="1"/>
    </xf>
    <xf numFmtId="43" fontId="58" fillId="21" borderId="0" xfId="9" applyFont="1" applyFill="1" applyAlignment="1"/>
    <xf numFmtId="164" fontId="15" fillId="21" borderId="0" xfId="0" applyFont="1" applyFill="1" applyAlignment="1">
      <alignment wrapText="1"/>
    </xf>
    <xf numFmtId="164" fontId="15" fillId="21" borderId="0" xfId="0" applyFont="1" applyFill="1" applyAlignment="1">
      <alignment horizontal="center" wrapText="1"/>
    </xf>
    <xf numFmtId="49" fontId="15" fillId="21" borderId="0" xfId="9" applyNumberFormat="1" applyFont="1" applyFill="1"/>
    <xf numFmtId="10" fontId="15" fillId="21" borderId="0" xfId="148" applyNumberFormat="1" applyFont="1" applyFill="1" applyAlignment="1">
      <alignment horizontal="right"/>
    </xf>
    <xf numFmtId="166" fontId="15" fillId="21" borderId="0" xfId="148" applyNumberFormat="1" applyFont="1" applyFill="1" applyAlignment="1">
      <alignment horizontal="right"/>
    </xf>
    <xf numFmtId="43" fontId="15" fillId="21" borderId="0" xfId="9" applyFont="1" applyFill="1" applyAlignment="1">
      <alignment horizontal="right"/>
    </xf>
    <xf numFmtId="49" fontId="15" fillId="21" borderId="0" xfId="0" applyNumberFormat="1" applyFont="1" applyFill="1"/>
    <xf numFmtId="2" fontId="15" fillId="21" borderId="0" xfId="0" applyNumberFormat="1" applyFont="1" applyFill="1"/>
    <xf numFmtId="49" fontId="58" fillId="21" borderId="0" xfId="9" applyNumberFormat="1" applyFont="1" applyFill="1"/>
    <xf numFmtId="164" fontId="63" fillId="21" borderId="0" xfId="0" applyFont="1" applyFill="1" applyAlignment="1">
      <alignment horizontal="center"/>
    </xf>
    <xf numFmtId="164" fontId="98" fillId="21" borderId="0" xfId="0" applyFont="1" applyFill="1"/>
    <xf numFmtId="14" fontId="98" fillId="21" borderId="0" xfId="0" applyNumberFormat="1" applyFont="1" applyFill="1" applyAlignment="1">
      <alignment horizontal="right"/>
    </xf>
    <xf numFmtId="165" fontId="63" fillId="21" borderId="0" xfId="0" applyNumberFormat="1" applyFont="1" applyFill="1"/>
    <xf numFmtId="164" fontId="70" fillId="21" borderId="0" xfId="0" applyFont="1" applyFill="1" applyAlignment="1">
      <alignment horizontal="center"/>
    </xf>
    <xf numFmtId="164" fontId="58" fillId="21" borderId="0" xfId="0" applyFont="1" applyFill="1" applyAlignment="1">
      <alignment wrapText="1"/>
    </xf>
    <xf numFmtId="164" fontId="15" fillId="21" borderId="9" xfId="0" applyFont="1" applyFill="1" applyBorder="1"/>
    <xf numFmtId="41" fontId="15" fillId="21" borderId="9" xfId="147" applyNumberFormat="1" applyFont="1" applyFill="1" applyBorder="1" applyAlignment="1"/>
    <xf numFmtId="41" fontId="15" fillId="21" borderId="0" xfId="147" applyNumberFormat="1" applyFont="1" applyFill="1" applyBorder="1" applyAlignment="1"/>
    <xf numFmtId="41" fontId="15" fillId="21" borderId="10" xfId="147" applyNumberFormat="1" applyFont="1" applyFill="1" applyBorder="1" applyAlignment="1"/>
    <xf numFmtId="164" fontId="70" fillId="21" borderId="0" xfId="0" applyFont="1" applyFill="1"/>
    <xf numFmtId="41" fontId="70" fillId="21" borderId="9" xfId="147" applyNumberFormat="1" applyFont="1" applyFill="1" applyBorder="1" applyAlignment="1"/>
    <xf numFmtId="41" fontId="70" fillId="21" borderId="0" xfId="147" applyNumberFormat="1" applyFont="1" applyFill="1" applyBorder="1" applyAlignment="1"/>
    <xf numFmtId="41" fontId="70" fillId="21" borderId="10" xfId="147" applyNumberFormat="1" applyFont="1" applyFill="1" applyBorder="1" applyAlignment="1"/>
    <xf numFmtId="164" fontId="15" fillId="21" borderId="7" xfId="0" applyFont="1" applyFill="1" applyBorder="1"/>
    <xf numFmtId="41" fontId="15" fillId="21" borderId="7" xfId="147" applyNumberFormat="1" applyFont="1" applyFill="1" applyBorder="1" applyAlignment="1"/>
    <xf numFmtId="41" fontId="15" fillId="21" borderId="17" xfId="147" applyNumberFormat="1" applyFont="1" applyFill="1" applyBorder="1" applyAlignment="1"/>
    <xf numFmtId="41" fontId="15" fillId="21" borderId="8" xfId="147" applyNumberFormat="1" applyFont="1" applyFill="1" applyBorder="1" applyAlignment="1"/>
    <xf numFmtId="41" fontId="15" fillId="21" borderId="0" xfId="147" applyNumberFormat="1" applyFont="1" applyFill="1" applyAlignment="1"/>
    <xf numFmtId="41" fontId="96" fillId="21" borderId="9" xfId="147" applyNumberFormat="1" applyFont="1" applyFill="1" applyBorder="1" applyAlignment="1"/>
    <xf numFmtId="41" fontId="96" fillId="21" borderId="0" xfId="147" applyNumberFormat="1" applyFont="1" applyFill="1" applyBorder="1" applyAlignment="1"/>
    <xf numFmtId="41" fontId="96" fillId="21" borderId="10" xfId="147" applyNumberFormat="1" applyFont="1" applyFill="1" applyBorder="1" applyAlignment="1"/>
    <xf numFmtId="164" fontId="15" fillId="0" borderId="9" xfId="0" applyFont="1" applyBorder="1"/>
    <xf numFmtId="164" fontId="70" fillId="21" borderId="9" xfId="0" applyFont="1" applyFill="1" applyBorder="1"/>
    <xf numFmtId="41" fontId="15" fillId="21" borderId="9" xfId="0" applyNumberFormat="1" applyFont="1" applyFill="1" applyBorder="1"/>
    <xf numFmtId="164" fontId="58" fillId="39" borderId="0" xfId="0" applyFont="1" applyFill="1" applyAlignment="1">
      <alignment horizontal="center"/>
    </xf>
    <xf numFmtId="164" fontId="15" fillId="39" borderId="9" xfId="0" applyFont="1" applyFill="1" applyBorder="1"/>
    <xf numFmtId="41" fontId="15" fillId="39" borderId="9" xfId="147" applyNumberFormat="1" applyFont="1" applyFill="1" applyBorder="1" applyAlignment="1"/>
    <xf numFmtId="41" fontId="15" fillId="39" borderId="0" xfId="147" applyNumberFormat="1" applyFont="1" applyFill="1" applyBorder="1" applyAlignment="1"/>
    <xf numFmtId="41" fontId="15" fillId="39" borderId="10" xfId="147" applyNumberFormat="1" applyFont="1" applyFill="1" applyBorder="1" applyAlignment="1"/>
    <xf numFmtId="164" fontId="58" fillId="21" borderId="7" xfId="0" applyFont="1" applyFill="1" applyBorder="1"/>
    <xf numFmtId="164" fontId="58" fillId="21" borderId="17" xfId="0" applyFont="1" applyFill="1" applyBorder="1"/>
    <xf numFmtId="164" fontId="58" fillId="21" borderId="17" xfId="0" applyFont="1" applyFill="1" applyBorder="1" applyAlignment="1">
      <alignment horizontal="center"/>
    </xf>
    <xf numFmtId="41" fontId="96" fillId="39" borderId="9" xfId="147" applyNumberFormat="1" applyFont="1" applyFill="1" applyBorder="1" applyAlignment="1"/>
    <xf numFmtId="41" fontId="96" fillId="39" borderId="0" xfId="147" applyNumberFormat="1" applyFont="1" applyFill="1" applyBorder="1" applyAlignment="1"/>
    <xf numFmtId="41" fontId="96" fillId="39" borderId="10" xfId="147" applyNumberFormat="1" applyFont="1" applyFill="1" applyBorder="1" applyAlignment="1"/>
    <xf numFmtId="41" fontId="15" fillId="21" borderId="10" xfId="0" applyNumberFormat="1" applyFont="1" applyFill="1" applyBorder="1"/>
    <xf numFmtId="41" fontId="58" fillId="21" borderId="7" xfId="147" applyNumberFormat="1" applyFont="1" applyFill="1" applyBorder="1" applyAlignment="1"/>
    <xf numFmtId="41" fontId="58" fillId="21" borderId="17" xfId="147" applyNumberFormat="1" applyFont="1" applyFill="1" applyBorder="1" applyAlignment="1"/>
    <xf numFmtId="41" fontId="58" fillId="21" borderId="8" xfId="147" applyNumberFormat="1" applyFont="1" applyFill="1" applyBorder="1" applyAlignment="1"/>
    <xf numFmtId="170" fontId="15" fillId="21" borderId="0" xfId="147" applyNumberFormat="1" applyFont="1" applyFill="1" applyBorder="1" applyAlignment="1"/>
    <xf numFmtId="170" fontId="15" fillId="21" borderId="0" xfId="147" applyNumberFormat="1" applyFont="1" applyFill="1" applyAlignment="1"/>
    <xf numFmtId="164" fontId="15" fillId="39" borderId="0" xfId="0" applyFont="1" applyFill="1" applyAlignment="1">
      <alignment horizontal="center"/>
    </xf>
    <xf numFmtId="41" fontId="110" fillId="21" borderId="0" xfId="147" applyNumberFormat="1" applyFont="1" applyFill="1" applyBorder="1" applyAlignment="1"/>
    <xf numFmtId="43" fontId="45" fillId="0" borderId="0" xfId="161" applyFont="1" applyFill="1" applyBorder="1" applyProtection="1"/>
    <xf numFmtId="169" fontId="45" fillId="21" borderId="0" xfId="0" applyNumberFormat="1" applyFont="1" applyFill="1"/>
    <xf numFmtId="43" fontId="45" fillId="39" borderId="0" xfId="161" applyFont="1" applyFill="1" applyProtection="1"/>
    <xf numFmtId="168" fontId="46" fillId="21" borderId="0" xfId="161" applyNumberFormat="1" applyFont="1" applyFill="1" applyProtection="1"/>
    <xf numFmtId="168" fontId="46" fillId="21" borderId="1" xfId="161" applyNumberFormat="1" applyFont="1" applyFill="1" applyBorder="1" applyProtection="1"/>
    <xf numFmtId="168" fontId="62" fillId="21" borderId="0" xfId="161" applyNumberFormat="1" applyFont="1" applyFill="1" applyProtection="1"/>
    <xf numFmtId="5" fontId="38" fillId="21" borderId="0" xfId="0" applyNumberFormat="1" applyFont="1" applyFill="1"/>
    <xf numFmtId="14" fontId="46" fillId="21" borderId="0" xfId="0" applyNumberFormat="1" applyFont="1" applyFill="1" applyAlignment="1">
      <alignment horizontal="center"/>
    </xf>
    <xf numFmtId="49" fontId="45" fillId="21" borderId="0" xfId="0" applyNumberFormat="1" applyFont="1" applyFill="1" applyAlignment="1">
      <alignment horizontal="center"/>
    </xf>
    <xf numFmtId="49" fontId="59" fillId="21" borderId="0" xfId="0" applyNumberFormat="1" applyFont="1" applyFill="1" applyAlignment="1">
      <alignment horizontal="center"/>
    </xf>
    <xf numFmtId="49" fontId="59" fillId="21" borderId="0" xfId="0" applyNumberFormat="1" applyFont="1" applyFill="1" applyAlignment="1">
      <alignment horizontal="left"/>
    </xf>
    <xf numFmtId="174" fontId="15" fillId="0" borderId="0" xfId="326" applyNumberFormat="1" applyFont="1" applyFill="1" applyBorder="1">
      <alignment vertical="center"/>
    </xf>
    <xf numFmtId="49" fontId="45" fillId="39" borderId="0" xfId="0" applyNumberFormat="1" applyFont="1" applyFill="1" applyAlignment="1">
      <alignment horizontal="center"/>
    </xf>
    <xf numFmtId="164" fontId="45" fillId="21" borderId="0" xfId="0" quotePrefix="1" applyFont="1" applyFill="1"/>
    <xf numFmtId="49" fontId="45" fillId="0" borderId="0" xfId="0" applyNumberFormat="1" applyFont="1" applyAlignment="1">
      <alignment horizontal="center"/>
    </xf>
    <xf numFmtId="164" fontId="57" fillId="39" borderId="0" xfId="0" applyFont="1" applyFill="1"/>
    <xf numFmtId="49" fontId="57" fillId="39" borderId="0" xfId="0" applyNumberFormat="1" applyFont="1" applyFill="1" applyAlignment="1">
      <alignment horizontal="center"/>
    </xf>
    <xf numFmtId="49" fontId="56" fillId="21" borderId="0" xfId="0" applyNumberFormat="1" applyFont="1" applyFill="1" applyAlignment="1">
      <alignment horizontal="center"/>
    </xf>
    <xf numFmtId="5" fontId="45" fillId="21" borderId="0" xfId="0" applyNumberFormat="1" applyFont="1" applyFill="1"/>
    <xf numFmtId="5" fontId="45" fillId="39" borderId="0" xfId="0" applyNumberFormat="1" applyFont="1" applyFill="1"/>
    <xf numFmtId="5" fontId="46" fillId="21" borderId="0" xfId="0" applyNumberFormat="1" applyFont="1" applyFill="1"/>
    <xf numFmtId="5" fontId="46" fillId="21" borderId="0" xfId="0" applyNumberFormat="1" applyFont="1" applyFill="1" applyAlignment="1">
      <alignment horizontal="center"/>
    </xf>
    <xf numFmtId="168" fontId="46" fillId="21" borderId="13" xfId="161" applyNumberFormat="1" applyFont="1" applyFill="1" applyBorder="1" applyProtection="1"/>
    <xf numFmtId="164" fontId="45" fillId="4" borderId="0" xfId="0" applyFont="1" applyFill="1"/>
    <xf numFmtId="164" fontId="38" fillId="0" borderId="0" xfId="0" applyFont="1"/>
    <xf numFmtId="164" fontId="60" fillId="0" borderId="0" xfId="0" applyFont="1" applyAlignment="1">
      <alignment horizontal="left"/>
    </xf>
    <xf numFmtId="164" fontId="59" fillId="0" borderId="0" xfId="0" applyFont="1" applyAlignment="1">
      <alignment horizontal="left"/>
    </xf>
    <xf numFmtId="168" fontId="45" fillId="0" borderId="0" xfId="161" applyNumberFormat="1" applyFont="1"/>
    <xf numFmtId="168" fontId="45" fillId="0" borderId="12" xfId="161" applyNumberFormat="1" applyFont="1" applyBorder="1"/>
    <xf numFmtId="168" fontId="46" fillId="0" borderId="12" xfId="161" applyNumberFormat="1" applyFont="1" applyBorder="1" applyProtection="1"/>
    <xf numFmtId="168" fontId="46" fillId="0" borderId="25" xfId="161" applyNumberFormat="1" applyFont="1" applyBorder="1" applyProtection="1"/>
    <xf numFmtId="168" fontId="46" fillId="0" borderId="0" xfId="161" applyNumberFormat="1" applyFont="1" applyBorder="1" applyProtection="1"/>
    <xf numFmtId="168" fontId="46" fillId="0" borderId="0" xfId="161" applyNumberFormat="1" applyFont="1" applyBorder="1" applyAlignment="1" applyProtection="1">
      <alignment horizontal="right"/>
    </xf>
    <xf numFmtId="0" fontId="45" fillId="0" borderId="0" xfId="399" applyFont="1"/>
    <xf numFmtId="0" fontId="45" fillId="0" borderId="0" xfId="399" applyFont="1" applyAlignment="1" applyProtection="1">
      <alignment horizontal="center"/>
      <protection locked="0"/>
    </xf>
    <xf numFmtId="3" fontId="45" fillId="0" borderId="0" xfId="399" applyNumberFormat="1" applyFont="1"/>
    <xf numFmtId="0" fontId="45" fillId="21" borderId="0" xfId="399" applyFont="1" applyFill="1"/>
    <xf numFmtId="181" fontId="45" fillId="0" borderId="0" xfId="399" applyNumberFormat="1" applyFont="1"/>
    <xf numFmtId="0" fontId="46" fillId="0" borderId="0" xfId="399" applyFont="1"/>
    <xf numFmtId="168" fontId="46" fillId="0" borderId="13" xfId="161" applyNumberFormat="1" applyFont="1" applyBorder="1"/>
    <xf numFmtId="164" fontId="46" fillId="0" borderId="0" xfId="0" applyFont="1" applyAlignment="1">
      <alignment horizontal="center" vertical="center"/>
    </xf>
    <xf numFmtId="164" fontId="45" fillId="0" borderId="0" xfId="0" applyFont="1" applyAlignment="1">
      <alignment vertical="center" wrapText="1"/>
    </xf>
    <xf numFmtId="164" fontId="45" fillId="0" borderId="0" xfId="0" applyFont="1" applyAlignment="1">
      <alignment vertical="center"/>
    </xf>
    <xf numFmtId="168" fontId="45" fillId="0" borderId="0" xfId="161" applyNumberFormat="1" applyFont="1" applyAlignment="1">
      <alignment vertical="center"/>
    </xf>
    <xf numFmtId="3" fontId="45" fillId="0" borderId="0" xfId="399" applyNumberFormat="1" applyFont="1" applyAlignment="1">
      <alignment vertical="center"/>
    </xf>
    <xf numFmtId="43" fontId="45" fillId="39" borderId="0" xfId="161" applyFont="1" applyFill="1" applyAlignment="1">
      <alignment horizontal="left"/>
    </xf>
    <xf numFmtId="3" fontId="45" fillId="39" borderId="0" xfId="399" applyNumberFormat="1" applyFont="1" applyFill="1"/>
    <xf numFmtId="164" fontId="45" fillId="0" borderId="0" xfId="0" applyFont="1" applyAlignment="1">
      <alignment wrapText="1"/>
    </xf>
    <xf numFmtId="175" fontId="15" fillId="39" borderId="9" xfId="389" applyFont="1" applyFill="1" applyBorder="1"/>
    <xf numFmtId="168" fontId="15" fillId="0" borderId="10" xfId="9" applyNumberFormat="1" applyFont="1" applyFill="1" applyBorder="1" applyAlignment="1"/>
    <xf numFmtId="0" fontId="62" fillId="0" borderId="12" xfId="8" applyFont="1" applyBorder="1"/>
    <xf numFmtId="164" fontId="62" fillId="0" borderId="0" xfId="0" applyFont="1" applyAlignment="1">
      <alignment horizontal="left"/>
    </xf>
    <xf numFmtId="164" fontId="38" fillId="0" borderId="0" xfId="0" applyFont="1" applyAlignment="1">
      <alignment horizontal="left"/>
    </xf>
    <xf numFmtId="0" fontId="38" fillId="0" borderId="0" xfId="387" applyFont="1" applyAlignment="1">
      <alignment horizontal="left"/>
    </xf>
    <xf numFmtId="3" fontId="38" fillId="39" borderId="0" xfId="8" applyNumberFormat="1" applyFont="1" applyFill="1" applyAlignment="1">
      <alignment horizontal="left"/>
    </xf>
    <xf numFmtId="3" fontId="38" fillId="39" borderId="0" xfId="8" applyNumberFormat="1" applyFont="1" applyFill="1"/>
    <xf numFmtId="164" fontId="38" fillId="39" borderId="0" xfId="0" applyFont="1" applyFill="1"/>
    <xf numFmtId="0" fontId="46" fillId="21" borderId="0" xfId="387" applyFont="1" applyFill="1"/>
    <xf numFmtId="0" fontId="46" fillId="22" borderId="0" xfId="387" applyFont="1" applyFill="1"/>
    <xf numFmtId="0" fontId="45" fillId="21" borderId="0" xfId="420" applyFont="1" applyFill="1"/>
    <xf numFmtId="0" fontId="45" fillId="22" borderId="0" xfId="420" applyFont="1" applyFill="1"/>
    <xf numFmtId="0" fontId="46" fillId="22" borderId="0" xfId="420" applyFont="1" applyFill="1"/>
    <xf numFmtId="3" fontId="45" fillId="39" borderId="0" xfId="61" quotePrefix="1" applyNumberFormat="1" applyFont="1" applyFill="1" applyAlignment="1">
      <alignment horizontal="center"/>
    </xf>
    <xf numFmtId="164" fontId="15" fillId="39" borderId="0" xfId="0" applyFont="1" applyFill="1" applyAlignment="1">
      <alignment horizontal="left"/>
    </xf>
    <xf numFmtId="164" fontId="28" fillId="21" borderId="0" xfId="0" applyFont="1" applyFill="1"/>
    <xf numFmtId="0" fontId="45" fillId="39" borderId="0" xfId="5" applyFont="1" applyFill="1" applyAlignment="1">
      <alignment horizontal="left"/>
    </xf>
    <xf numFmtId="0" fontId="15" fillId="21" borderId="0" xfId="5" applyFont="1" applyFill="1"/>
    <xf numFmtId="0" fontId="49" fillId="39" borderId="0" xfId="513" applyFont="1" applyFill="1" applyAlignment="1">
      <alignment horizontal="left"/>
    </xf>
    <xf numFmtId="168" fontId="15" fillId="0" borderId="0" xfId="161" applyNumberFormat="1" applyFont="1" applyFill="1" applyAlignment="1"/>
    <xf numFmtId="9" fontId="15" fillId="21" borderId="0" xfId="148" applyFont="1" applyFill="1"/>
    <xf numFmtId="9" fontId="46" fillId="21" borderId="0" xfId="148" applyFont="1" applyFill="1"/>
    <xf numFmtId="10" fontId="45" fillId="21" borderId="0" xfId="148" applyNumberFormat="1" applyFont="1" applyFill="1" applyAlignment="1" applyProtection="1">
      <alignment horizontal="center"/>
    </xf>
    <xf numFmtId="10" fontId="45" fillId="21" borderId="0" xfId="148" applyNumberFormat="1" applyFont="1" applyFill="1" applyBorder="1" applyAlignment="1" applyProtection="1">
      <alignment horizontal="center"/>
    </xf>
    <xf numFmtId="49" fontId="46" fillId="21" borderId="0" xfId="0" quotePrefix="1" applyNumberFormat="1" applyFont="1" applyFill="1" applyAlignment="1">
      <alignment horizontal="center"/>
    </xf>
    <xf numFmtId="10" fontId="46" fillId="21" borderId="0" xfId="148" applyNumberFormat="1" applyFont="1" applyFill="1"/>
    <xf numFmtId="10" fontId="46" fillId="39" borderId="0" xfId="148" applyNumberFormat="1" applyFont="1" applyFill="1"/>
    <xf numFmtId="10" fontId="46" fillId="21" borderId="0" xfId="148" applyNumberFormat="1" applyFont="1" applyFill="1" applyAlignment="1">
      <alignment horizontal="center" wrapText="1"/>
    </xf>
    <xf numFmtId="10" fontId="46" fillId="39" borderId="0" xfId="148" applyNumberFormat="1" applyFont="1" applyFill="1" applyBorder="1"/>
    <xf numFmtId="10" fontId="46" fillId="39" borderId="2" xfId="148" quotePrefix="1" applyNumberFormat="1" applyFont="1" applyFill="1" applyBorder="1" applyAlignment="1">
      <alignment horizontal="center"/>
    </xf>
    <xf numFmtId="0" fontId="46" fillId="39" borderId="0" xfId="0" applyNumberFormat="1" applyFont="1" applyFill="1" applyAlignment="1">
      <alignment horizontal="left"/>
    </xf>
    <xf numFmtId="173" fontId="45" fillId="21" borderId="0" xfId="61" applyNumberFormat="1" applyFont="1" applyFill="1"/>
    <xf numFmtId="43" fontId="45" fillId="21" borderId="0" xfId="61" applyNumberFormat="1" applyFont="1" applyFill="1"/>
    <xf numFmtId="164" fontId="46" fillId="21" borderId="17" xfId="0" applyFont="1" applyFill="1" applyBorder="1" applyAlignment="1">
      <alignment horizontal="center" wrapText="1"/>
    </xf>
    <xf numFmtId="168" fontId="45" fillId="39" borderId="17" xfId="161" quotePrefix="1" applyNumberFormat="1" applyFont="1" applyFill="1" applyBorder="1" applyAlignment="1">
      <alignment horizontal="center" wrapText="1"/>
    </xf>
    <xf numFmtId="164" fontId="46" fillId="21" borderId="17" xfId="0" applyFont="1" applyFill="1" applyBorder="1"/>
    <xf numFmtId="168" fontId="45" fillId="39" borderId="17" xfId="194" quotePrefix="1" applyNumberFormat="1" applyFont="1" applyFill="1" applyBorder="1" applyAlignment="1">
      <alignment horizontal="center"/>
    </xf>
    <xf numFmtId="43" fontId="45" fillId="21" borderId="17" xfId="161" applyFont="1" applyFill="1" applyBorder="1"/>
    <xf numFmtId="3" fontId="45" fillId="21" borderId="17" xfId="9" applyNumberFormat="1" applyFont="1" applyFill="1" applyBorder="1"/>
    <xf numFmtId="3" fontId="45" fillId="21" borderId="17" xfId="8" applyNumberFormat="1" applyFont="1" applyFill="1" applyBorder="1"/>
    <xf numFmtId="43" fontId="45" fillId="21" borderId="17" xfId="161" applyFont="1" applyFill="1" applyBorder="1" applyAlignment="1">
      <alignment horizontal="right"/>
    </xf>
    <xf numFmtId="3" fontId="45" fillId="39" borderId="17" xfId="61" quotePrefix="1" applyNumberFormat="1" applyFont="1" applyFill="1" applyBorder="1" applyAlignment="1">
      <alignment horizontal="center"/>
    </xf>
    <xf numFmtId="164" fontId="46" fillId="21" borderId="17" xfId="0" applyFont="1" applyFill="1" applyBorder="1" applyAlignment="1">
      <alignment horizontal="left"/>
    </xf>
    <xf numFmtId="14" fontId="50" fillId="39" borderId="17" xfId="0" applyNumberFormat="1" applyFont="1" applyFill="1" applyBorder="1" applyAlignment="1">
      <alignment horizontal="center"/>
    </xf>
    <xf numFmtId="14" fontId="50" fillId="21" borderId="17" xfId="0" applyNumberFormat="1" applyFont="1" applyFill="1" applyBorder="1" applyAlignment="1">
      <alignment horizontal="center"/>
    </xf>
    <xf numFmtId="0" fontId="58" fillId="21" borderId="17" xfId="8" applyFont="1" applyFill="1" applyBorder="1" applyAlignment="1">
      <alignment horizontal="center"/>
    </xf>
    <xf numFmtId="0" fontId="46" fillId="21" borderId="17" xfId="144" applyFont="1" applyFill="1" applyBorder="1" applyAlignment="1">
      <alignment horizontal="center"/>
    </xf>
    <xf numFmtId="43" fontId="46" fillId="21" borderId="17" xfId="161" applyFont="1" applyFill="1" applyBorder="1" applyAlignment="1">
      <alignment horizontal="center"/>
    </xf>
    <xf numFmtId="0" fontId="46" fillId="39" borderId="17" xfId="162" applyFont="1" applyFill="1" applyBorder="1" applyAlignment="1">
      <alignment horizontal="center"/>
    </xf>
    <xf numFmtId="0" fontId="46" fillId="21" borderId="17" xfId="162" applyFont="1" applyFill="1" applyBorder="1" applyAlignment="1">
      <alignment horizontal="center" wrapText="1"/>
    </xf>
    <xf numFmtId="164" fontId="46" fillId="39" borderId="0" xfId="0" applyFont="1" applyFill="1"/>
    <xf numFmtId="10" fontId="45" fillId="42" borderId="0" xfId="148" applyNumberFormat="1" applyFont="1" applyFill="1" applyProtection="1"/>
    <xf numFmtId="10" fontId="45" fillId="42" borderId="11" xfId="148" applyNumberFormat="1" applyFont="1" applyFill="1" applyBorder="1" applyProtection="1"/>
    <xf numFmtId="10" fontId="46" fillId="42" borderId="0" xfId="148" applyNumberFormat="1" applyFont="1" applyFill="1" applyBorder="1" applyProtection="1"/>
    <xf numFmtId="10" fontId="60" fillId="42" borderId="0" xfId="0" applyNumberFormat="1" applyFont="1" applyFill="1"/>
    <xf numFmtId="10" fontId="45" fillId="42" borderId="2" xfId="148" applyNumberFormat="1" applyFont="1" applyFill="1" applyBorder="1" applyProtection="1"/>
    <xf numFmtId="164" fontId="52" fillId="0" borderId="0" xfId="0" applyFont="1"/>
    <xf numFmtId="164" fontId="111" fillId="0" borderId="0" xfId="0" applyFont="1"/>
    <xf numFmtId="164" fontId="112" fillId="0" borderId="0" xfId="0" applyFont="1"/>
    <xf numFmtId="0" fontId="15" fillId="39" borderId="20" xfId="404" quotePrefix="1" applyNumberFormat="1" applyFont="1" applyFill="1" applyAlignment="1">
      <alignment vertical="center"/>
    </xf>
    <xf numFmtId="0" fontId="15" fillId="39" borderId="16" xfId="378" quotePrefix="1" applyNumberFormat="1" applyFont="1" applyFill="1" applyAlignment="1" applyProtection="1">
      <alignment horizontal="center" vertical="center"/>
      <protection locked="0"/>
    </xf>
    <xf numFmtId="0" fontId="15" fillId="39" borderId="20" xfId="404" quotePrefix="1" applyNumberFormat="1" applyFont="1" applyFill="1" applyAlignment="1" applyProtection="1">
      <alignment horizontal="center" vertical="center"/>
      <protection locked="0"/>
    </xf>
    <xf numFmtId="168" fontId="15" fillId="39" borderId="16" xfId="354" quotePrefix="1" applyNumberFormat="1" applyFont="1" applyFill="1" applyProtection="1">
      <alignment horizontal="right" vertical="center"/>
    </xf>
    <xf numFmtId="168" fontId="45" fillId="0" borderId="0" xfId="194" applyNumberFormat="1" applyFont="1" applyFill="1"/>
    <xf numFmtId="0" fontId="24" fillId="0" borderId="0" xfId="8" applyFont="1"/>
    <xf numFmtId="0" fontId="28" fillId="39" borderId="0" xfId="8" applyFill="1" applyProtection="1">
      <protection locked="0"/>
    </xf>
    <xf numFmtId="1" fontId="45" fillId="39" borderId="0" xfId="61" applyNumberFormat="1" applyFont="1" applyFill="1"/>
    <xf numFmtId="1" fontId="45" fillId="39" borderId="0" xfId="61" quotePrefix="1" applyNumberFormat="1" applyFont="1" applyFill="1" applyAlignment="1">
      <alignment horizontal="center"/>
    </xf>
    <xf numFmtId="1" fontId="45" fillId="39" borderId="0" xfId="61" applyNumberFormat="1" applyFont="1" applyFill="1" applyAlignment="1">
      <alignment horizontal="right"/>
    </xf>
    <xf numFmtId="1" fontId="45" fillId="39" borderId="0" xfId="61" quotePrefix="1" applyNumberFormat="1" applyFont="1" applyFill="1" applyAlignment="1">
      <alignment horizontal="right"/>
    </xf>
    <xf numFmtId="1" fontId="46" fillId="39" borderId="0" xfId="61" applyNumberFormat="1" applyFont="1" applyFill="1"/>
    <xf numFmtId="1" fontId="45" fillId="21" borderId="0" xfId="61" applyNumberFormat="1" applyFont="1" applyFill="1"/>
    <xf numFmtId="0" fontId="45" fillId="39" borderId="0" xfId="0" applyNumberFormat="1" applyFont="1" applyFill="1" applyAlignment="1">
      <alignment wrapText="1"/>
    </xf>
    <xf numFmtId="0" fontId="2" fillId="21" borderId="0" xfId="386" applyFont="1" applyFill="1" applyAlignment="1">
      <alignment horizontal="left"/>
    </xf>
    <xf numFmtId="168" fontId="45" fillId="0" borderId="0" xfId="161" applyNumberFormat="1" applyFont="1" applyAlignment="1" applyProtection="1">
      <alignment horizontal="right"/>
    </xf>
    <xf numFmtId="168" fontId="46" fillId="0" borderId="0" xfId="161" applyNumberFormat="1" applyFont="1" applyAlignment="1" applyProtection="1">
      <alignment horizontal="right"/>
    </xf>
    <xf numFmtId="168" fontId="15" fillId="0" borderId="0" xfId="161" applyNumberFormat="1" applyFont="1" applyAlignment="1">
      <alignment horizontal="right"/>
    </xf>
    <xf numFmtId="168" fontId="58" fillId="0" borderId="0" xfId="161" applyNumberFormat="1" applyFont="1" applyAlignment="1">
      <alignment horizontal="right"/>
    </xf>
    <xf numFmtId="168" fontId="60" fillId="0" borderId="0" xfId="161" applyNumberFormat="1" applyFont="1" applyAlignment="1" applyProtection="1">
      <alignment horizontal="right"/>
    </xf>
    <xf numFmtId="168" fontId="59" fillId="0" borderId="0" xfId="161" applyNumberFormat="1" applyFont="1" applyAlignment="1" applyProtection="1">
      <alignment horizontal="right"/>
    </xf>
    <xf numFmtId="3" fontId="46" fillId="39" borderId="0" xfId="8" applyNumberFormat="1" applyFont="1" applyFill="1" applyAlignment="1">
      <alignment horizontal="center"/>
    </xf>
    <xf numFmtId="10" fontId="46" fillId="21" borderId="11" xfId="148" applyNumberFormat="1" applyFont="1" applyFill="1" applyBorder="1" applyAlignment="1">
      <alignment horizontal="center"/>
    </xf>
    <xf numFmtId="10" fontId="46" fillId="0" borderId="0" xfId="148" applyNumberFormat="1" applyFont="1" applyAlignment="1" applyProtection="1">
      <alignment horizontal="center"/>
    </xf>
    <xf numFmtId="10" fontId="46" fillId="0" borderId="24" xfId="148" applyNumberFormat="1" applyFont="1" applyBorder="1" applyAlignment="1" applyProtection="1">
      <alignment horizontal="center"/>
    </xf>
    <xf numFmtId="2" fontId="45" fillId="21" borderId="0" xfId="148" applyNumberFormat="1" applyFont="1" applyFill="1" applyBorder="1" applyAlignment="1">
      <alignment horizontal="center"/>
    </xf>
    <xf numFmtId="10" fontId="45" fillId="0" borderId="0" xfId="148" applyNumberFormat="1" applyFont="1" applyProtection="1"/>
    <xf numFmtId="10" fontId="59" fillId="21" borderId="0" xfId="148" applyNumberFormat="1" applyFont="1" applyFill="1" applyAlignment="1" applyProtection="1">
      <alignment horizontal="center"/>
    </xf>
    <xf numFmtId="10" fontId="15" fillId="39" borderId="0" xfId="148" applyNumberFormat="1" applyFont="1" applyFill="1" applyAlignment="1"/>
    <xf numFmtId="0" fontId="15" fillId="39" borderId="0" xfId="9" applyNumberFormat="1" applyFont="1" applyFill="1" applyAlignment="1"/>
    <xf numFmtId="10" fontId="15" fillId="0" borderId="0" xfId="148" applyNumberFormat="1" applyFont="1" applyAlignment="1"/>
    <xf numFmtId="10" fontId="15" fillId="0" borderId="17" xfId="148" applyNumberFormat="1" applyFont="1" applyBorder="1" applyAlignment="1"/>
    <xf numFmtId="10" fontId="15" fillId="39" borderId="0" xfId="148" applyNumberFormat="1" applyFont="1" applyFill="1" applyBorder="1"/>
    <xf numFmtId="10" fontId="83" fillId="21" borderId="0" xfId="148" applyNumberFormat="1" applyFont="1" applyFill="1" applyAlignment="1" applyProtection="1">
      <alignment horizontal="center"/>
    </xf>
    <xf numFmtId="168" fontId="45" fillId="0" borderId="0" xfId="399" applyNumberFormat="1" applyFont="1" applyAlignment="1">
      <alignment horizontal="left"/>
    </xf>
    <xf numFmtId="10" fontId="46" fillId="0" borderId="0" xfId="148" applyNumberFormat="1" applyFont="1" applyProtection="1"/>
    <xf numFmtId="10" fontId="45" fillId="0" borderId="0" xfId="148" applyNumberFormat="1" applyFont="1" applyAlignment="1"/>
    <xf numFmtId="10" fontId="45" fillId="0" borderId="0" xfId="148" applyNumberFormat="1" applyFont="1" applyFill="1" applyAlignment="1"/>
    <xf numFmtId="10" fontId="45" fillId="0" borderId="0" xfId="148" applyNumberFormat="1" applyFont="1" applyFill="1"/>
    <xf numFmtId="10" fontId="45" fillId="0" borderId="0" xfId="148" applyNumberFormat="1" applyFont="1" applyFill="1" applyAlignment="1">
      <alignment horizontal="center"/>
    </xf>
    <xf numFmtId="168" fontId="27" fillId="0" borderId="22" xfId="386" quotePrefix="1" applyNumberFormat="1" applyFont="1" applyBorder="1" applyAlignment="1">
      <alignment horizontal="center"/>
    </xf>
    <xf numFmtId="3" fontId="22" fillId="39" borderId="0" xfId="8" applyNumberFormat="1" applyFont="1" applyFill="1" applyAlignment="1" applyProtection="1">
      <alignment horizontal="left"/>
      <protection locked="0"/>
    </xf>
    <xf numFmtId="0" fontId="24" fillId="39" borderId="0" xfId="842" applyFont="1" applyFill="1" applyProtection="1">
      <protection locked="0"/>
    </xf>
    <xf numFmtId="3" fontId="22" fillId="39" borderId="0" xfId="8" applyNumberFormat="1" applyFont="1" applyFill="1" applyProtection="1">
      <protection locked="0"/>
    </xf>
    <xf numFmtId="3" fontId="22" fillId="0" borderId="0" xfId="8" applyNumberFormat="1" applyFont="1" applyAlignment="1">
      <alignment horizontal="right"/>
    </xf>
    <xf numFmtId="164" fontId="19" fillId="21" borderId="0" xfId="0" applyFont="1" applyFill="1" applyAlignment="1" applyProtection="1">
      <alignment horizontal="center" vertical="center"/>
      <protection locked="0"/>
    </xf>
    <xf numFmtId="164" fontId="46" fillId="0" borderId="0" xfId="0" applyFont="1" applyAlignment="1">
      <alignment horizontal="center"/>
    </xf>
    <xf numFmtId="164" fontId="46" fillId="39" borderId="0" xfId="0" applyFont="1" applyFill="1" applyAlignment="1">
      <alignment horizontal="center"/>
    </xf>
    <xf numFmtId="164" fontId="73" fillId="21" borderId="0" xfId="0" applyFont="1" applyFill="1" applyAlignment="1">
      <alignment horizontal="center"/>
    </xf>
    <xf numFmtId="164" fontId="73" fillId="39" borderId="0" xfId="0" applyFont="1" applyFill="1" applyAlignment="1">
      <alignment horizontal="center"/>
    </xf>
    <xf numFmtId="164" fontId="46" fillId="21" borderId="0" xfId="0" applyFont="1" applyFill="1" applyAlignment="1">
      <alignment horizontal="center"/>
    </xf>
    <xf numFmtId="164" fontId="62" fillId="21" borderId="0" xfId="0" applyFont="1" applyFill="1" applyAlignment="1">
      <alignment horizontal="center"/>
    </xf>
    <xf numFmtId="164" fontId="15" fillId="21" borderId="17" xfId="0" applyFont="1" applyFill="1" applyBorder="1" applyAlignment="1">
      <alignment horizontal="center"/>
    </xf>
    <xf numFmtId="0" fontId="46" fillId="0" borderId="0" xfId="389" applyNumberFormat="1" applyFont="1" applyAlignment="1" applyProtection="1">
      <alignment horizontal="center"/>
      <protection locked="0"/>
    </xf>
    <xf numFmtId="0" fontId="46" fillId="0" borderId="0" xfId="363" applyFont="1" applyAlignment="1">
      <alignment horizontal="center"/>
    </xf>
    <xf numFmtId="175" fontId="15" fillId="0" borderId="0" xfId="389" applyFont="1" applyAlignment="1">
      <alignment horizontal="left"/>
    </xf>
    <xf numFmtId="175" fontId="15" fillId="0" borderId="0" xfId="389" applyFont="1" applyAlignment="1">
      <alignment horizontal="left" vertical="center" wrapText="1"/>
    </xf>
    <xf numFmtId="175" fontId="103" fillId="0" borderId="0" xfId="389" applyFont="1" applyAlignment="1">
      <alignment horizontal="left"/>
    </xf>
    <xf numFmtId="3" fontId="46" fillId="0" borderId="0" xfId="389" applyNumberFormat="1" applyFont="1" applyAlignment="1">
      <alignment horizontal="center"/>
    </xf>
    <xf numFmtId="175" fontId="15" fillId="0" borderId="9" xfId="389" applyFont="1" applyBorder="1" applyAlignment="1">
      <alignment horizontal="center"/>
    </xf>
    <xf numFmtId="175" fontId="15" fillId="0" borderId="0" xfId="389" applyFont="1" applyAlignment="1">
      <alignment horizontal="center"/>
    </xf>
    <xf numFmtId="175" fontId="15" fillId="0" borderId="10" xfId="389" applyFont="1" applyBorder="1" applyAlignment="1">
      <alignment horizontal="center"/>
    </xf>
    <xf numFmtId="164" fontId="73" fillId="21" borderId="0" xfId="193" applyFont="1" applyFill="1" applyAlignment="1">
      <alignment horizontal="center"/>
    </xf>
    <xf numFmtId="164" fontId="73" fillId="0" borderId="0" xfId="0" applyFont="1" applyAlignment="1">
      <alignment horizontal="center"/>
    </xf>
    <xf numFmtId="164" fontId="46" fillId="21" borderId="17" xfId="0" applyFont="1" applyFill="1" applyBorder="1" applyAlignment="1">
      <alignment horizontal="center"/>
    </xf>
    <xf numFmtId="0" fontId="46" fillId="21" borderId="0" xfId="6" applyFont="1" applyFill="1" applyAlignment="1">
      <alignment horizontal="center"/>
    </xf>
    <xf numFmtId="169" fontId="58" fillId="21" borderId="0" xfId="0" applyNumberFormat="1" applyFont="1" applyFill="1" applyAlignment="1">
      <alignment horizontal="center"/>
    </xf>
    <xf numFmtId="169" fontId="48" fillId="21" borderId="0" xfId="0" applyNumberFormat="1" applyFont="1" applyFill="1" applyAlignment="1">
      <alignment horizontal="center"/>
    </xf>
    <xf numFmtId="41" fontId="46" fillId="0" borderId="29" xfId="0" applyNumberFormat="1" applyFont="1" applyBorder="1"/>
    <xf numFmtId="10" fontId="46" fillId="21" borderId="29" xfId="148" applyNumberFormat="1" applyFont="1" applyFill="1" applyBorder="1" applyAlignment="1" applyProtection="1">
      <alignment horizontal="center"/>
    </xf>
    <xf numFmtId="175" fontId="58" fillId="0" borderId="30" xfId="389" applyFont="1" applyBorder="1" applyAlignment="1">
      <alignment horizontal="center" wrapText="1"/>
    </xf>
    <xf numFmtId="175" fontId="58" fillId="0" borderId="31" xfId="389" applyFont="1" applyBorder="1"/>
    <xf numFmtId="175" fontId="58" fillId="0" borderId="31" xfId="389" applyFont="1" applyBorder="1" applyAlignment="1">
      <alignment horizontal="center" wrapText="1"/>
    </xf>
    <xf numFmtId="0" fontId="58" fillId="0" borderId="31" xfId="389" applyNumberFormat="1" applyFont="1" applyBorder="1" applyAlignment="1">
      <alignment horizontal="center" wrapText="1"/>
    </xf>
    <xf numFmtId="0" fontId="15" fillId="0" borderId="30" xfId="389" applyNumberFormat="1" applyFont="1" applyBorder="1"/>
    <xf numFmtId="0" fontId="15" fillId="0" borderId="31" xfId="389" applyNumberFormat="1" applyFont="1" applyBorder="1"/>
    <xf numFmtId="175" fontId="15" fillId="0" borderId="31" xfId="389" applyFont="1" applyBorder="1"/>
    <xf numFmtId="3" fontId="15" fillId="0" borderId="31" xfId="389" applyNumberFormat="1" applyFont="1" applyBorder="1"/>
    <xf numFmtId="175" fontId="15" fillId="0" borderId="30" xfId="389" quotePrefix="1" applyFont="1" applyBorder="1" applyAlignment="1">
      <alignment horizontal="center"/>
    </xf>
    <xf numFmtId="175" fontId="15" fillId="0" borderId="30" xfId="389" applyFont="1" applyBorder="1"/>
    <xf numFmtId="175" fontId="15" fillId="0" borderId="32" xfId="389" applyFont="1" applyBorder="1"/>
    <xf numFmtId="10" fontId="15" fillId="0" borderId="31" xfId="148" applyNumberFormat="1" applyFont="1" applyBorder="1" applyAlignment="1"/>
    <xf numFmtId="0" fontId="2" fillId="21" borderId="0" xfId="386" applyFont="1" applyFill="1"/>
    <xf numFmtId="0" fontId="2" fillId="39" borderId="0" xfId="386" applyFont="1" applyFill="1" applyAlignment="1">
      <alignment horizontal="left"/>
    </xf>
    <xf numFmtId="168" fontId="2" fillId="39" borderId="22" xfId="386" applyNumberFormat="1" applyFont="1" applyFill="1" applyBorder="1" applyAlignment="1">
      <alignment horizontal="center"/>
    </xf>
    <xf numFmtId="168" fontId="2" fillId="21" borderId="22" xfId="386" quotePrefix="1" applyNumberFormat="1" applyFont="1" applyFill="1" applyBorder="1" applyAlignment="1">
      <alignment horizontal="center"/>
    </xf>
    <xf numFmtId="168" fontId="2" fillId="21" borderId="19" xfId="386" applyNumberFormat="1" applyFont="1" applyFill="1" applyBorder="1"/>
    <xf numFmtId="168" fontId="2" fillId="21" borderId="18" xfId="386" applyNumberFormat="1" applyFont="1" applyFill="1" applyBorder="1"/>
    <xf numFmtId="168" fontId="2" fillId="39" borderId="19" xfId="386" applyNumberFormat="1" applyFont="1" applyFill="1" applyBorder="1"/>
    <xf numFmtId="0" fontId="2" fillId="21" borderId="0" xfId="386" applyFont="1" applyFill="1" applyAlignment="1">
      <alignment horizontal="right"/>
    </xf>
    <xf numFmtId="168" fontId="2" fillId="21" borderId="0" xfId="386" applyNumberFormat="1" applyFont="1" applyFill="1"/>
    <xf numFmtId="168" fontId="2" fillId="21" borderId="0" xfId="161" applyNumberFormat="1" applyFont="1" applyFill="1"/>
    <xf numFmtId="168" fontId="2" fillId="0" borderId="0" xfId="161" applyNumberFormat="1" applyFont="1" applyFill="1"/>
    <xf numFmtId="0" fontId="2" fillId="0" borderId="0" xfId="386" applyFont="1"/>
    <xf numFmtId="0" fontId="2" fillId="21" borderId="0" xfId="386" applyFont="1" applyFill="1" applyAlignment="1">
      <alignment horizontal="center"/>
    </xf>
    <xf numFmtId="168" fontId="2" fillId="21" borderId="0" xfId="161" applyNumberFormat="1" applyFont="1" applyFill="1" applyAlignment="1">
      <alignment horizontal="center"/>
    </xf>
    <xf numFmtId="168" fontId="2" fillId="0" borderId="0" xfId="161" applyNumberFormat="1" applyFont="1" applyFill="1" applyAlignment="1">
      <alignment horizontal="center"/>
    </xf>
    <xf numFmtId="168" fontId="2" fillId="0" borderId="0" xfId="161" quotePrefix="1" applyNumberFormat="1" applyFont="1" applyFill="1" applyAlignment="1">
      <alignment horizontal="center"/>
    </xf>
    <xf numFmtId="168" fontId="2" fillId="39" borderId="0" xfId="161" quotePrefix="1" applyNumberFormat="1" applyFont="1" applyFill="1" applyAlignment="1">
      <alignment horizontal="center"/>
    </xf>
    <xf numFmtId="0" fontId="2" fillId="0" borderId="0" xfId="386" applyFont="1" applyAlignment="1">
      <alignment horizontal="center"/>
    </xf>
    <xf numFmtId="0" fontId="2" fillId="21" borderId="0" xfId="400" applyFont="1" applyFill="1"/>
    <xf numFmtId="0" fontId="2" fillId="39" borderId="0" xfId="386" applyFont="1" applyFill="1" applyAlignment="1">
      <alignment horizontal="center"/>
    </xf>
    <xf numFmtId="168" fontId="2" fillId="0" borderId="0" xfId="386" applyNumberFormat="1" applyFont="1"/>
    <xf numFmtId="168" fontId="2" fillId="0" borderId="0" xfId="161" applyNumberFormat="1" applyFont="1" applyFill="1" applyBorder="1"/>
    <xf numFmtId="164" fontId="2" fillId="0" borderId="0" xfId="0" applyFont="1" applyAlignment="1">
      <alignment horizontal="left"/>
    </xf>
    <xf numFmtId="3" fontId="2" fillId="0" borderId="0" xfId="8" applyNumberFormat="1" applyFont="1"/>
    <xf numFmtId="3" fontId="2" fillId="0" borderId="0" xfId="8" applyNumberFormat="1" applyFont="1" applyAlignment="1">
      <alignment horizontal="left"/>
    </xf>
    <xf numFmtId="0" fontId="2" fillId="21" borderId="0" xfId="513" applyFont="1" applyFill="1" applyAlignment="1">
      <alignment horizontal="left"/>
    </xf>
    <xf numFmtId="184" fontId="2" fillId="21" borderId="0" xfId="513" applyNumberFormat="1" applyFont="1" applyFill="1"/>
    <xf numFmtId="0" fontId="2" fillId="21" borderId="0" xfId="513" applyFont="1" applyFill="1"/>
    <xf numFmtId="43" fontId="2" fillId="21" borderId="0" xfId="410" applyFont="1" applyFill="1" applyBorder="1"/>
    <xf numFmtId="164" fontId="98" fillId="21" borderId="35" xfId="0" applyFont="1" applyFill="1" applyBorder="1"/>
    <xf numFmtId="164" fontId="63" fillId="21" borderId="35" xfId="0" applyFont="1" applyFill="1" applyBorder="1"/>
    <xf numFmtId="164" fontId="15" fillId="21" borderId="38" xfId="0" applyFont="1" applyFill="1" applyBorder="1"/>
    <xf numFmtId="164" fontId="15" fillId="21" borderId="35" xfId="0" applyFont="1" applyFill="1" applyBorder="1"/>
    <xf numFmtId="164" fontId="15" fillId="21" borderId="35" xfId="0" applyFont="1" applyFill="1" applyBorder="1" applyAlignment="1">
      <alignment horizontal="center"/>
    </xf>
    <xf numFmtId="41" fontId="15" fillId="21" borderId="38" xfId="147" applyNumberFormat="1" applyFont="1" applyFill="1" applyBorder="1" applyAlignment="1"/>
    <xf numFmtId="41" fontId="15" fillId="21" borderId="35" xfId="147" applyNumberFormat="1" applyFont="1" applyFill="1" applyBorder="1" applyAlignment="1"/>
    <xf numFmtId="41" fontId="15" fillId="21" borderId="39" xfId="147" applyNumberFormat="1" applyFont="1" applyFill="1" applyBorder="1" applyAlignment="1"/>
    <xf numFmtId="0" fontId="15" fillId="21" borderId="35" xfId="0" applyNumberFormat="1" applyFont="1" applyFill="1" applyBorder="1"/>
    <xf numFmtId="164" fontId="45" fillId="0" borderId="40" xfId="0" applyFont="1" applyBorder="1"/>
    <xf numFmtId="164" fontId="45" fillId="39" borderId="40" xfId="0" applyFont="1" applyFill="1" applyBorder="1"/>
    <xf numFmtId="0" fontId="58" fillId="0" borderId="41" xfId="389" applyNumberFormat="1" applyFont="1" applyBorder="1" applyAlignment="1">
      <alignment horizontal="center" wrapText="1"/>
    </xf>
    <xf numFmtId="175" fontId="58" fillId="0" borderId="40" xfId="389" applyFont="1" applyBorder="1" applyAlignment="1">
      <alignment horizontal="center" wrapText="1"/>
    </xf>
    <xf numFmtId="3" fontId="58" fillId="0" borderId="40" xfId="389" applyNumberFormat="1" applyFont="1" applyBorder="1" applyAlignment="1">
      <alignment horizontal="center" wrapText="1"/>
    </xf>
    <xf numFmtId="3" fontId="58" fillId="0" borderId="42" xfId="389" applyNumberFormat="1" applyFont="1" applyBorder="1" applyAlignment="1">
      <alignment horizontal="center" wrapText="1"/>
    </xf>
    <xf numFmtId="175" fontId="58" fillId="0" borderId="43" xfId="389" applyFont="1" applyBorder="1" applyAlignment="1">
      <alignment horizontal="center" wrapText="1"/>
    </xf>
    <xf numFmtId="0" fontId="15" fillId="0" borderId="42" xfId="389" applyNumberFormat="1" applyFont="1" applyBorder="1"/>
    <xf numFmtId="0" fontId="15" fillId="0" borderId="41" xfId="389" applyNumberFormat="1" applyFont="1" applyBorder="1"/>
    <xf numFmtId="0" fontId="15" fillId="0" borderId="41" xfId="389" applyNumberFormat="1" applyFont="1" applyBorder="1" applyAlignment="1">
      <alignment wrapText="1"/>
    </xf>
    <xf numFmtId="0" fontId="15" fillId="0" borderId="41" xfId="389" applyNumberFormat="1" applyFont="1" applyBorder="1" applyAlignment="1">
      <alignment horizontal="center" wrapText="1"/>
    </xf>
    <xf numFmtId="175" fontId="15" fillId="0" borderId="41" xfId="389" applyFont="1" applyBorder="1" applyAlignment="1">
      <alignment wrapText="1"/>
    </xf>
    <xf numFmtId="0" fontId="15" fillId="0" borderId="40" xfId="389" applyNumberFormat="1" applyFont="1" applyBorder="1" applyAlignment="1">
      <alignment horizontal="center" wrapText="1"/>
    </xf>
    <xf numFmtId="0" fontId="15" fillId="0" borderId="42" xfId="389" applyNumberFormat="1" applyFont="1" applyBorder="1" applyAlignment="1">
      <alignment horizontal="center" wrapText="1"/>
    </xf>
    <xf numFmtId="175" fontId="15" fillId="0" borderId="40" xfId="389" applyFont="1" applyBorder="1" applyAlignment="1">
      <alignment horizontal="center"/>
    </xf>
    <xf numFmtId="3" fontId="15" fillId="0" borderId="40" xfId="389" applyNumberFormat="1" applyFont="1" applyBorder="1" applyAlignment="1">
      <alignment horizontal="center" wrapText="1"/>
    </xf>
    <xf numFmtId="3" fontId="15" fillId="0" borderId="41" xfId="389" applyNumberFormat="1" applyFont="1" applyBorder="1" applyAlignment="1">
      <alignment horizontal="center" wrapText="1"/>
    </xf>
    <xf numFmtId="0" fontId="15" fillId="0" borderId="43" xfId="389" applyNumberFormat="1" applyFont="1" applyBorder="1"/>
    <xf numFmtId="3" fontId="15" fillId="0" borderId="43" xfId="389" applyNumberFormat="1" applyFont="1" applyBorder="1"/>
    <xf numFmtId="168" fontId="15" fillId="0" borderId="43" xfId="9" applyNumberFormat="1" applyFont="1" applyBorder="1" applyAlignment="1">
      <alignment horizontal="center"/>
    </xf>
    <xf numFmtId="175" fontId="15" fillId="0" borderId="43" xfId="389" applyFont="1" applyBorder="1" applyAlignment="1">
      <alignment horizontal="center"/>
    </xf>
    <xf numFmtId="164" fontId="56" fillId="0" borderId="42" xfId="0" applyFont="1" applyBorder="1"/>
    <xf numFmtId="0" fontId="2" fillId="0" borderId="40" xfId="386" applyFont="1" applyBorder="1"/>
    <xf numFmtId="0" fontId="27" fillId="0" borderId="43" xfId="386" applyFont="1" applyBorder="1" applyAlignment="1">
      <alignment horizontal="center"/>
    </xf>
    <xf numFmtId="0" fontId="27" fillId="0" borderId="40" xfId="386" applyFont="1" applyBorder="1" applyAlignment="1">
      <alignment horizontal="center"/>
    </xf>
    <xf numFmtId="0" fontId="15" fillId="21" borderId="44" xfId="401" quotePrefix="1" applyNumberFormat="1" applyFont="1" applyFill="1" applyBorder="1" applyProtection="1">
      <alignment horizontal="left" vertical="center" indent="1"/>
      <protection locked="0"/>
    </xf>
    <xf numFmtId="0" fontId="2" fillId="0" borderId="45" xfId="386" applyFont="1" applyBorder="1"/>
    <xf numFmtId="164" fontId="56" fillId="21" borderId="45" xfId="0" applyFont="1" applyFill="1" applyBorder="1"/>
    <xf numFmtId="0" fontId="58" fillId="21" borderId="42" xfId="408" applyFont="1" applyFill="1" applyBorder="1" applyAlignment="1">
      <alignment horizontal="left"/>
    </xf>
    <xf numFmtId="168" fontId="2" fillId="39" borderId="40" xfId="386" applyNumberFormat="1" applyFont="1" applyFill="1" applyBorder="1"/>
    <xf numFmtId="168" fontId="2" fillId="21" borderId="40" xfId="386" applyNumberFormat="1" applyFont="1" applyFill="1" applyBorder="1"/>
    <xf numFmtId="168" fontId="27" fillId="21" borderId="40" xfId="386" applyNumberFormat="1" applyFont="1" applyFill="1" applyBorder="1"/>
    <xf numFmtId="168" fontId="2" fillId="21" borderId="46" xfId="386" applyNumberFormat="1" applyFont="1" applyFill="1" applyBorder="1"/>
    <xf numFmtId="0" fontId="58" fillId="39" borderId="42" xfId="408" applyFont="1" applyFill="1" applyBorder="1" applyAlignment="1">
      <alignment horizontal="left"/>
    </xf>
    <xf numFmtId="168" fontId="2" fillId="0" borderId="40" xfId="386" applyNumberFormat="1" applyFont="1" applyBorder="1"/>
    <xf numFmtId="168" fontId="54" fillId="0" borderId="40" xfId="386" applyNumberFormat="1" applyFont="1" applyBorder="1" applyAlignment="1">
      <alignment horizontal="center"/>
    </xf>
    <xf numFmtId="0" fontId="58" fillId="21" borderId="42" xfId="409" applyNumberFormat="1" applyFont="1" applyFill="1" applyBorder="1">
      <alignment horizontal="left" vertical="center" indent="1"/>
    </xf>
    <xf numFmtId="168" fontId="27" fillId="0" borderId="40" xfId="386" applyNumberFormat="1" applyFont="1" applyBorder="1"/>
    <xf numFmtId="168" fontId="15" fillId="21" borderId="47" xfId="161" quotePrefix="1" applyNumberFormat="1" applyFont="1" applyFill="1" applyBorder="1" applyAlignment="1" applyProtection="1">
      <alignment horizontal="left" vertical="center" indent="1"/>
      <protection locked="0"/>
    </xf>
    <xf numFmtId="168" fontId="15" fillId="21" borderId="47" xfId="161" applyNumberFormat="1" applyFont="1" applyFill="1" applyBorder="1" applyAlignment="1" applyProtection="1">
      <alignment horizontal="left" vertical="center" indent="1"/>
      <protection locked="0"/>
    </xf>
    <xf numFmtId="168" fontId="15" fillId="0" borderId="47" xfId="161" quotePrefix="1" applyNumberFormat="1" applyFont="1" applyFill="1" applyBorder="1" applyAlignment="1" applyProtection="1">
      <alignment horizontal="left" vertical="center" indent="1"/>
      <protection locked="0"/>
    </xf>
    <xf numFmtId="168" fontId="15" fillId="0" borderId="47" xfId="161" applyNumberFormat="1" applyFont="1" applyFill="1" applyBorder="1" applyAlignment="1">
      <alignment horizontal="left" vertical="center" indent="1"/>
    </xf>
    <xf numFmtId="168" fontId="15" fillId="0" borderId="47" xfId="161" quotePrefix="1" applyNumberFormat="1" applyFont="1" applyFill="1" applyBorder="1" applyAlignment="1" applyProtection="1">
      <alignment horizontal="center" vertical="center"/>
      <protection locked="0"/>
    </xf>
    <xf numFmtId="168" fontId="15" fillId="0" borderId="47" xfId="161" quotePrefix="1" applyNumberFormat="1" applyFont="1" applyFill="1" applyBorder="1" applyAlignment="1">
      <alignment horizontal="center" vertical="center"/>
    </xf>
    <xf numFmtId="168" fontId="15" fillId="39" borderId="47" xfId="161" quotePrefix="1" applyNumberFormat="1" applyFont="1" applyFill="1" applyBorder="1" applyAlignment="1">
      <alignment horizontal="center" vertical="center"/>
    </xf>
    <xf numFmtId="168" fontId="58" fillId="0" borderId="47" xfId="161" quotePrefix="1" applyNumberFormat="1" applyFont="1" applyFill="1" applyBorder="1" applyAlignment="1">
      <alignment horizontal="center" vertical="center"/>
    </xf>
    <xf numFmtId="168" fontId="15" fillId="0" borderId="47" xfId="161" applyNumberFormat="1" applyFont="1" applyFill="1" applyBorder="1" applyAlignment="1">
      <alignment horizontal="center" vertical="center"/>
    </xf>
    <xf numFmtId="168" fontId="15" fillId="21" borderId="47" xfId="161" quotePrefix="1" applyNumberFormat="1" applyFont="1" applyFill="1" applyBorder="1" applyAlignment="1" applyProtection="1">
      <alignment horizontal="center" vertical="center"/>
      <protection locked="0"/>
    </xf>
    <xf numFmtId="0" fontId="15" fillId="21" borderId="42" xfId="407" applyFont="1" applyFill="1" applyBorder="1" applyAlignment="1">
      <alignment horizontal="left"/>
    </xf>
    <xf numFmtId="0" fontId="15" fillId="21" borderId="42" xfId="408" applyFont="1" applyFill="1" applyBorder="1" applyAlignment="1">
      <alignment horizontal="left"/>
    </xf>
    <xf numFmtId="0" fontId="58" fillId="21" borderId="48" xfId="408" applyFont="1" applyFill="1" applyBorder="1" applyAlignment="1">
      <alignment horizontal="left"/>
    </xf>
    <xf numFmtId="164" fontId="46" fillId="0" borderId="49" xfId="0" applyFont="1" applyBorder="1" applyAlignment="1">
      <alignment horizontal="center"/>
    </xf>
    <xf numFmtId="43" fontId="38" fillId="21" borderId="50" xfId="161" quotePrefix="1" applyFont="1" applyFill="1" applyBorder="1" applyAlignment="1"/>
    <xf numFmtId="43" fontId="46" fillId="0" borderId="34" xfId="410" applyFont="1" applyFill="1" applyBorder="1" applyAlignment="1">
      <alignment horizontal="center" wrapText="1"/>
    </xf>
    <xf numFmtId="0" fontId="45" fillId="0" borderId="51" xfId="420" applyFont="1" applyBorder="1" applyAlignment="1">
      <alignment horizontal="center"/>
    </xf>
    <xf numFmtId="0" fontId="45" fillId="0" borderId="51" xfId="420" applyFont="1" applyBorder="1"/>
    <xf numFmtId="0" fontId="46" fillId="0" borderId="51" xfId="420" applyFont="1" applyBorder="1"/>
    <xf numFmtId="168" fontId="45" fillId="0" borderId="51" xfId="410" applyNumberFormat="1" applyFont="1" applyFill="1" applyBorder="1"/>
    <xf numFmtId="3" fontId="82" fillId="0" borderId="51" xfId="8" applyNumberFormat="1" applyFont="1" applyBorder="1" applyAlignment="1">
      <alignment horizontal="left"/>
    </xf>
    <xf numFmtId="0" fontId="46" fillId="0" borderId="51" xfId="387" applyFont="1" applyBorder="1"/>
    <xf numFmtId="0" fontId="46" fillId="0" borderId="51" xfId="420" applyFont="1" applyBorder="1" applyAlignment="1">
      <alignment horizontal="center"/>
    </xf>
    <xf numFmtId="168" fontId="46" fillId="0" borderId="51" xfId="410" applyNumberFormat="1" applyFont="1" applyFill="1" applyBorder="1"/>
    <xf numFmtId="0" fontId="46" fillId="0" borderId="51" xfId="387" applyFont="1" applyBorder="1" applyAlignment="1">
      <alignment wrapText="1"/>
    </xf>
    <xf numFmtId="0" fontId="52" fillId="22" borderId="51" xfId="420" applyFont="1" applyFill="1" applyBorder="1"/>
    <xf numFmtId="0" fontId="53" fillId="22" borderId="51" xfId="420" applyFont="1" applyFill="1" applyBorder="1"/>
    <xf numFmtId="0" fontId="46" fillId="39" borderId="50" xfId="8" applyFont="1" applyFill="1" applyBorder="1" applyAlignment="1">
      <alignment horizontal="left"/>
    </xf>
    <xf numFmtId="0" fontId="46" fillId="39" borderId="50" xfId="8" applyFont="1" applyFill="1" applyBorder="1" applyAlignment="1">
      <alignment horizontal="center"/>
    </xf>
    <xf numFmtId="0" fontId="46" fillId="41" borderId="51" xfId="842" applyFont="1" applyFill="1" applyBorder="1" applyAlignment="1">
      <alignment horizontal="center"/>
    </xf>
    <xf numFmtId="0" fontId="45" fillId="0" borderId="51" xfId="842" applyFont="1" applyBorder="1"/>
    <xf numFmtId="0" fontId="46" fillId="0" borderId="51" xfId="387" applyFont="1" applyBorder="1" applyAlignment="1">
      <alignment horizontal="right"/>
    </xf>
    <xf numFmtId="168" fontId="58" fillId="39" borderId="42" xfId="161" applyNumberFormat="1" applyFont="1" applyFill="1" applyBorder="1" applyAlignment="1">
      <alignment horizontal="center"/>
    </xf>
    <xf numFmtId="168" fontId="58" fillId="39" borderId="41" xfId="161" applyNumberFormat="1" applyFont="1" applyFill="1" applyBorder="1" applyAlignment="1">
      <alignment horizontal="center"/>
    </xf>
    <xf numFmtId="168" fontId="58" fillId="39" borderId="50" xfId="161" applyNumberFormat="1" applyFont="1" applyFill="1" applyBorder="1" applyAlignment="1">
      <alignment horizontal="center"/>
    </xf>
    <xf numFmtId="168" fontId="15" fillId="21" borderId="40" xfId="161" applyNumberFormat="1" applyFont="1" applyFill="1" applyBorder="1" applyAlignment="1">
      <alignment horizontal="center"/>
    </xf>
    <xf numFmtId="168" fontId="15" fillId="21" borderId="41" xfId="161" applyNumberFormat="1" applyFont="1" applyFill="1" applyBorder="1"/>
    <xf numFmtId="168" fontId="45" fillId="39" borderId="0" xfId="410" applyNumberFormat="1" applyFont="1" applyFill="1" applyBorder="1" applyProtection="1">
      <protection locked="0"/>
    </xf>
    <xf numFmtId="3" fontId="45" fillId="39" borderId="0" xfId="61" applyNumberFormat="1" applyFont="1" applyFill="1" applyAlignment="1">
      <alignment horizontal="right"/>
    </xf>
    <xf numFmtId="0" fontId="45" fillId="39" borderId="0" xfId="61" applyFont="1" applyFill="1" applyAlignment="1">
      <alignment horizontal="right"/>
    </xf>
    <xf numFmtId="10" fontId="50" fillId="21" borderId="4" xfId="148" applyNumberFormat="1" applyFont="1" applyFill="1" applyBorder="1"/>
    <xf numFmtId="41" fontId="22" fillId="39" borderId="0" xfId="364" applyNumberFormat="1" applyFont="1" applyFill="1" applyProtection="1">
      <protection locked="0"/>
    </xf>
    <xf numFmtId="0" fontId="58" fillId="39" borderId="41" xfId="161" applyNumberFormat="1" applyFont="1" applyFill="1" applyBorder="1" applyAlignment="1">
      <alignment horizontal="center"/>
    </xf>
    <xf numFmtId="0" fontId="58" fillId="39" borderId="42" xfId="161" applyNumberFormat="1" applyFont="1" applyFill="1" applyBorder="1" applyAlignment="1">
      <alignment horizontal="center"/>
    </xf>
    <xf numFmtId="0" fontId="58" fillId="39" borderId="40" xfId="161" applyNumberFormat="1" applyFont="1" applyFill="1" applyBorder="1" applyAlignment="1">
      <alignment horizontal="center"/>
    </xf>
    <xf numFmtId="164" fontId="24" fillId="44" borderId="0" xfId="0" applyFont="1" applyFill="1"/>
    <xf numFmtId="164" fontId="45" fillId="39" borderId="0" xfId="0" applyFont="1" applyFill="1" applyAlignment="1">
      <alignment horizontal="left" wrapText="1"/>
    </xf>
    <xf numFmtId="43" fontId="15" fillId="0" borderId="0" xfId="9" applyFont="1" applyFill="1" applyAlignment="1"/>
    <xf numFmtId="43" fontId="15" fillId="21" borderId="0" xfId="196" applyNumberFormat="1" applyFont="1" applyFill="1"/>
    <xf numFmtId="44" fontId="15" fillId="21" borderId="0" xfId="147" applyFont="1" applyFill="1"/>
    <xf numFmtId="10" fontId="15" fillId="21" borderId="0" xfId="161" applyNumberFormat="1" applyFont="1" applyFill="1"/>
    <xf numFmtId="189" fontId="15" fillId="21" borderId="0" xfId="148" applyNumberFormat="1" applyFont="1" applyFill="1"/>
    <xf numFmtId="10" fontId="113" fillId="43" borderId="0" xfId="148" applyNumberFormat="1" applyFont="1" applyFill="1" applyAlignment="1">
      <alignment horizontal="center"/>
    </xf>
    <xf numFmtId="10" fontId="46" fillId="0" borderId="0" xfId="148" applyNumberFormat="1" applyFont="1" applyFill="1" applyBorder="1" applyAlignment="1"/>
    <xf numFmtId="9" fontId="15" fillId="0" borderId="0" xfId="148" applyFont="1"/>
    <xf numFmtId="170" fontId="45" fillId="4" borderId="0" xfId="147" applyNumberFormat="1" applyFont="1" applyFill="1"/>
    <xf numFmtId="177" fontId="45" fillId="21" borderId="0" xfId="161" applyNumberFormat="1" applyFont="1" applyFill="1" applyProtection="1"/>
    <xf numFmtId="168" fontId="15" fillId="39" borderId="0" xfId="161" applyNumberFormat="1" applyFont="1" applyFill="1" applyBorder="1"/>
    <xf numFmtId="1" fontId="15" fillId="39" borderId="0" xfId="161" applyNumberFormat="1" applyFont="1" applyFill="1" applyBorder="1"/>
    <xf numFmtId="168" fontId="45" fillId="39" borderId="0" xfId="161" applyNumberFormat="1" applyFont="1" applyFill="1" applyProtection="1"/>
    <xf numFmtId="168" fontId="45" fillId="39" borderId="40" xfId="161" applyNumberFormat="1" applyFont="1" applyFill="1" applyBorder="1" applyProtection="1"/>
    <xf numFmtId="10" fontId="46" fillId="21" borderId="0" xfId="161" applyNumberFormat="1" applyFont="1" applyFill="1" applyAlignment="1" applyProtection="1">
      <alignment horizontal="center"/>
    </xf>
    <xf numFmtId="10" fontId="83" fillId="21" borderId="0" xfId="161" applyNumberFormat="1" applyFont="1" applyFill="1" applyAlignment="1" applyProtection="1">
      <alignment horizontal="center"/>
    </xf>
    <xf numFmtId="168" fontId="45" fillId="0" borderId="0" xfId="161" applyNumberFormat="1" applyFont="1" applyFill="1" applyProtection="1"/>
    <xf numFmtId="168" fontId="45" fillId="39" borderId="0" xfId="161" applyNumberFormat="1" applyFont="1" applyFill="1" applyBorder="1" applyProtection="1"/>
    <xf numFmtId="168" fontId="45" fillId="39" borderId="17" xfId="161" applyNumberFormat="1" applyFont="1" applyFill="1" applyBorder="1" applyProtection="1"/>
    <xf numFmtId="168" fontId="46" fillId="21" borderId="0" xfId="161" applyNumberFormat="1" applyFont="1" applyFill="1" applyAlignment="1" applyProtection="1">
      <alignment horizontal="right"/>
    </xf>
    <xf numFmtId="168" fontId="45" fillId="21" borderId="0" xfId="161" applyNumberFormat="1" applyFont="1" applyFill="1" applyBorder="1" applyProtection="1"/>
    <xf numFmtId="168" fontId="45" fillId="39" borderId="12" xfId="161" applyNumberFormat="1" applyFont="1" applyFill="1" applyBorder="1" applyProtection="1"/>
    <xf numFmtId="168" fontId="45" fillId="0" borderId="0" xfId="161" applyNumberFormat="1" applyFont="1" applyFill="1" applyBorder="1" applyProtection="1"/>
    <xf numFmtId="168" fontId="46" fillId="21" borderId="29" xfId="161" applyNumberFormat="1" applyFont="1" applyFill="1" applyBorder="1" applyProtection="1"/>
    <xf numFmtId="41" fontId="45" fillId="0" borderId="0" xfId="147" applyNumberFormat="1" applyFont="1" applyFill="1" applyProtection="1"/>
    <xf numFmtId="168" fontId="15" fillId="0" borderId="0" xfId="391" applyNumberFormat="1" applyFont="1"/>
    <xf numFmtId="0" fontId="15" fillId="21" borderId="0" xfId="72" applyFont="1" applyFill="1" applyAlignment="1">
      <alignment horizontal="center"/>
    </xf>
    <xf numFmtId="168" fontId="15" fillId="39" borderId="47" xfId="410" quotePrefix="1" applyNumberFormat="1" applyFont="1" applyFill="1" applyBorder="1" applyAlignment="1">
      <alignment horizontal="center" vertical="center"/>
    </xf>
    <xf numFmtId="168" fontId="1" fillId="39" borderId="0" xfId="161" quotePrefix="1" applyNumberFormat="1" applyFont="1" applyFill="1" applyAlignment="1">
      <alignment horizontal="center"/>
    </xf>
    <xf numFmtId="9" fontId="46" fillId="21" borderId="0" xfId="148" applyFont="1" applyFill="1" applyAlignment="1" applyProtection="1">
      <alignment horizontal="center"/>
    </xf>
    <xf numFmtId="168" fontId="45" fillId="39" borderId="0" xfId="9" applyNumberFormat="1" applyFont="1" applyFill="1" applyBorder="1"/>
    <xf numFmtId="164" fontId="45" fillId="39" borderId="0" xfId="0" applyFont="1" applyFill="1" applyAlignment="1">
      <alignment horizontal="right" wrapText="1"/>
    </xf>
    <xf numFmtId="164" fontId="15" fillId="21" borderId="0" xfId="0" applyFont="1" applyFill="1" applyAlignment="1">
      <alignment vertical="center"/>
    </xf>
    <xf numFmtId="168" fontId="45" fillId="21" borderId="2" xfId="161" applyNumberFormat="1" applyFont="1" applyFill="1" applyBorder="1"/>
    <xf numFmtId="168" fontId="45" fillId="39" borderId="0" xfId="161" applyNumberFormat="1" applyFont="1" applyFill="1" applyAlignment="1">
      <alignment wrapText="1"/>
    </xf>
    <xf numFmtId="164" fontId="56" fillId="21" borderId="18" xfId="0" applyFont="1" applyFill="1" applyBorder="1"/>
    <xf numFmtId="43" fontId="15" fillId="39" borderId="9" xfId="9" applyFont="1" applyFill="1" applyBorder="1"/>
    <xf numFmtId="164" fontId="45" fillId="39" borderId="0" xfId="193" quotePrefix="1" applyFont="1" applyFill="1" applyAlignment="1">
      <alignment horizontal="left"/>
    </xf>
    <xf numFmtId="164" fontId="19" fillId="21" borderId="0" xfId="0" applyFont="1" applyFill="1" applyAlignment="1" applyProtection="1">
      <alignment horizontal="center" vertical="center"/>
      <protection locked="0"/>
    </xf>
    <xf numFmtId="164" fontId="46" fillId="0" borderId="0" xfId="0" applyFont="1" applyAlignment="1">
      <alignment horizontal="center"/>
    </xf>
    <xf numFmtId="164" fontId="46" fillId="39" borderId="0" xfId="0" applyFont="1" applyFill="1" applyAlignment="1">
      <alignment horizontal="center"/>
    </xf>
    <xf numFmtId="164" fontId="45" fillId="0" borderId="0" xfId="0" applyFont="1" applyAlignment="1">
      <alignment horizontal="left" wrapText="1"/>
    </xf>
    <xf numFmtId="164" fontId="73" fillId="21" borderId="0" xfId="0" applyFont="1" applyFill="1" applyAlignment="1">
      <alignment horizontal="center"/>
    </xf>
    <xf numFmtId="164" fontId="73" fillId="39" borderId="0" xfId="0" applyFont="1" applyFill="1" applyAlignment="1">
      <alignment horizontal="center"/>
    </xf>
    <xf numFmtId="164" fontId="15" fillId="21" borderId="17" xfId="0" applyFont="1" applyFill="1" applyBorder="1" applyAlignment="1">
      <alignment horizontal="center" wrapText="1"/>
    </xf>
    <xf numFmtId="164" fontId="98" fillId="39" borderId="37" xfId="0" applyFont="1" applyFill="1" applyBorder="1" applyAlignment="1">
      <alignment horizontal="center"/>
    </xf>
    <xf numFmtId="164" fontId="98" fillId="39" borderId="36" xfId="0" applyFont="1" applyFill="1" applyBorder="1" applyAlignment="1">
      <alignment horizontal="center"/>
    </xf>
    <xf numFmtId="164" fontId="98" fillId="39" borderId="33" xfId="0" applyFont="1" applyFill="1" applyBorder="1" applyAlignment="1">
      <alignment horizontal="center"/>
    </xf>
    <xf numFmtId="164" fontId="46" fillId="21" borderId="0" xfId="0" applyFont="1" applyFill="1" applyAlignment="1">
      <alignment horizontal="center"/>
    </xf>
    <xf numFmtId="164" fontId="62" fillId="21" borderId="0" xfId="0" applyFont="1" applyFill="1" applyAlignment="1">
      <alignment horizontal="center"/>
    </xf>
    <xf numFmtId="164" fontId="15" fillId="21" borderId="17" xfId="0" applyFont="1" applyFill="1" applyBorder="1" applyAlignment="1">
      <alignment horizontal="center"/>
    </xf>
    <xf numFmtId="175" fontId="103" fillId="0" borderId="0" xfId="389" applyFont="1" applyAlignment="1">
      <alignment horizontal="left"/>
    </xf>
    <xf numFmtId="175" fontId="103" fillId="0" borderId="0" xfId="389" applyFont="1" applyAlignment="1">
      <alignment horizontal="left" vertical="top" wrapText="1"/>
    </xf>
    <xf numFmtId="175" fontId="103" fillId="0" borderId="0" xfId="389" applyFont="1" applyAlignment="1">
      <alignment horizontal="left" wrapText="1"/>
    </xf>
    <xf numFmtId="175" fontId="15" fillId="0" borderId="0" xfId="389" applyFont="1" applyAlignment="1">
      <alignment horizontal="left"/>
    </xf>
    <xf numFmtId="175" fontId="15" fillId="0" borderId="0" xfId="389" applyFont="1" applyAlignment="1">
      <alignment horizontal="left" vertical="top" wrapText="1"/>
    </xf>
    <xf numFmtId="175" fontId="15" fillId="0" borderId="0" xfId="389" applyFont="1" applyAlignment="1">
      <alignment horizontal="left" vertical="center" wrapText="1"/>
    </xf>
    <xf numFmtId="175" fontId="46" fillId="0" borderId="0" xfId="389" applyFont="1" applyAlignment="1">
      <alignment horizontal="center"/>
    </xf>
    <xf numFmtId="0" fontId="46" fillId="0" borderId="0" xfId="389" applyNumberFormat="1" applyFont="1" applyAlignment="1">
      <alignment horizontal="center"/>
    </xf>
    <xf numFmtId="0" fontId="46" fillId="0" borderId="0" xfId="389" applyNumberFormat="1" applyFont="1" applyAlignment="1" applyProtection="1">
      <alignment horizontal="center"/>
      <protection locked="0"/>
    </xf>
    <xf numFmtId="0" fontId="46" fillId="0" borderId="0" xfId="363" applyFont="1" applyAlignment="1">
      <alignment horizontal="center"/>
    </xf>
    <xf numFmtId="0" fontId="46" fillId="39" borderId="0" xfId="389" applyNumberFormat="1" applyFont="1" applyFill="1" applyAlignment="1">
      <alignment horizontal="center"/>
    </xf>
    <xf numFmtId="3" fontId="46" fillId="0" borderId="0" xfId="389" applyNumberFormat="1" applyFont="1" applyAlignment="1">
      <alignment horizontal="center"/>
    </xf>
    <xf numFmtId="0" fontId="46" fillId="0" borderId="0" xfId="394" applyNumberFormat="1" applyFont="1" applyAlignment="1">
      <alignment horizontal="center"/>
    </xf>
    <xf numFmtId="175" fontId="46" fillId="39" borderId="0" xfId="389" applyFont="1" applyFill="1" applyAlignment="1">
      <alignment horizontal="center"/>
    </xf>
    <xf numFmtId="164" fontId="15" fillId="0" borderId="0" xfId="0" applyFont="1" applyAlignment="1">
      <alignment horizontal="left" vertical="top" wrapText="1"/>
    </xf>
    <xf numFmtId="175" fontId="100" fillId="0" borderId="0" xfId="389" applyFont="1" applyAlignment="1">
      <alignment horizontal="left" vertical="top" wrapText="1"/>
    </xf>
    <xf numFmtId="175" fontId="15" fillId="39" borderId="9" xfId="389" applyFont="1" applyFill="1" applyBorder="1" applyAlignment="1">
      <alignment horizontal="center"/>
    </xf>
    <xf numFmtId="175" fontId="15" fillId="39" borderId="0" xfId="389" applyFont="1" applyFill="1" applyAlignment="1">
      <alignment horizontal="center"/>
    </xf>
    <xf numFmtId="175" fontId="15" fillId="39" borderId="10" xfId="389" applyFont="1" applyFill="1" applyBorder="1" applyAlignment="1">
      <alignment horizontal="center"/>
    </xf>
    <xf numFmtId="175" fontId="15" fillId="39" borderId="7" xfId="389" applyFont="1" applyFill="1" applyBorder="1" applyAlignment="1">
      <alignment horizontal="center"/>
    </xf>
    <xf numFmtId="175" fontId="15" fillId="39" borderId="17" xfId="389" applyFont="1" applyFill="1" applyBorder="1" applyAlignment="1">
      <alignment horizontal="center"/>
    </xf>
    <xf numFmtId="175" fontId="15" fillId="39" borderId="8" xfId="389" applyFont="1" applyFill="1" applyBorder="1" applyAlignment="1">
      <alignment horizontal="center"/>
    </xf>
    <xf numFmtId="175" fontId="15" fillId="0" borderId="30" xfId="389" applyFont="1" applyBorder="1" applyAlignment="1">
      <alignment horizontal="center"/>
    </xf>
    <xf numFmtId="175" fontId="15" fillId="0" borderId="31" xfId="389" applyFont="1" applyBorder="1" applyAlignment="1">
      <alignment horizontal="center"/>
    </xf>
    <xf numFmtId="175" fontId="15" fillId="0" borderId="32" xfId="389" applyFont="1" applyBorder="1" applyAlignment="1">
      <alignment horizontal="center"/>
    </xf>
    <xf numFmtId="175" fontId="15" fillId="0" borderId="9" xfId="389" applyFont="1" applyBorder="1" applyAlignment="1">
      <alignment horizontal="center"/>
    </xf>
    <xf numFmtId="175" fontId="15" fillId="0" borderId="0" xfId="389" applyFont="1" applyAlignment="1">
      <alignment horizontal="center"/>
    </xf>
    <xf numFmtId="175" fontId="15" fillId="0" borderId="10" xfId="389" applyFont="1" applyBorder="1" applyAlignment="1">
      <alignment horizontal="center"/>
    </xf>
    <xf numFmtId="43" fontId="15" fillId="39" borderId="9" xfId="9" applyFont="1" applyFill="1" applyBorder="1" applyAlignment="1">
      <alignment horizontal="center"/>
    </xf>
    <xf numFmtId="43" fontId="15" fillId="39" borderId="0" xfId="9" applyFont="1" applyFill="1" applyBorder="1" applyAlignment="1">
      <alignment horizontal="center"/>
    </xf>
    <xf numFmtId="43" fontId="15" fillId="39" borderId="10" xfId="9" applyFont="1" applyFill="1" applyBorder="1" applyAlignment="1">
      <alignment horizontal="center"/>
    </xf>
    <xf numFmtId="164" fontId="73" fillId="21" borderId="0" xfId="193" applyFont="1" applyFill="1" applyAlignment="1">
      <alignment horizontal="center"/>
    </xf>
    <xf numFmtId="164" fontId="73" fillId="39" borderId="0" xfId="193" applyFont="1" applyFill="1" applyAlignment="1">
      <alignment horizontal="center"/>
    </xf>
    <xf numFmtId="164" fontId="73" fillId="0" borderId="0" xfId="0" applyFont="1" applyAlignment="1">
      <alignment horizontal="center"/>
    </xf>
    <xf numFmtId="164" fontId="62" fillId="39" borderId="0" xfId="0" applyFont="1" applyFill="1" applyAlignment="1">
      <alignment horizontal="center"/>
    </xf>
    <xf numFmtId="43" fontId="46" fillId="39" borderId="42" xfId="410" quotePrefix="1" applyFont="1" applyFill="1" applyBorder="1" applyAlignment="1">
      <alignment horizontal="center"/>
    </xf>
    <xf numFmtId="43" fontId="46" fillId="39" borderId="41" xfId="410" quotePrefix="1" applyFont="1" applyFill="1" applyBorder="1" applyAlignment="1">
      <alignment horizontal="center"/>
    </xf>
    <xf numFmtId="43" fontId="46" fillId="39" borderId="50" xfId="410" quotePrefix="1" applyFont="1" applyFill="1" applyBorder="1" applyAlignment="1">
      <alignment horizontal="center"/>
    </xf>
    <xf numFmtId="49" fontId="62" fillId="39" borderId="42" xfId="5" applyNumberFormat="1" applyFont="1" applyFill="1" applyBorder="1" applyAlignment="1">
      <alignment horizontal="center"/>
    </xf>
    <xf numFmtId="49" fontId="62" fillId="39" borderId="41" xfId="5" applyNumberFormat="1" applyFont="1" applyFill="1" applyBorder="1" applyAlignment="1">
      <alignment horizontal="center"/>
    </xf>
    <xf numFmtId="49" fontId="62" fillId="39" borderId="50" xfId="5" applyNumberFormat="1" applyFont="1" applyFill="1" applyBorder="1" applyAlignment="1">
      <alignment horizontal="center"/>
    </xf>
    <xf numFmtId="0" fontId="46" fillId="39" borderId="42" xfId="8" applyFont="1" applyFill="1" applyBorder="1" applyAlignment="1">
      <alignment horizontal="center"/>
    </xf>
    <xf numFmtId="0" fontId="46" fillId="39" borderId="41" xfId="8" applyFont="1" applyFill="1" applyBorder="1" applyAlignment="1">
      <alignment horizontal="center"/>
    </xf>
    <xf numFmtId="0" fontId="46" fillId="39" borderId="17" xfId="61" applyFont="1" applyFill="1" applyBorder="1" applyAlignment="1">
      <alignment horizontal="center"/>
    </xf>
    <xf numFmtId="0" fontId="46" fillId="39" borderId="50" xfId="8" applyFont="1" applyFill="1" applyBorder="1" applyAlignment="1">
      <alignment horizontal="center"/>
    </xf>
    <xf numFmtId="0" fontId="46" fillId="21" borderId="31" xfId="192" applyFont="1" applyFill="1" applyBorder="1" applyAlignment="1">
      <alignment wrapText="1"/>
    </xf>
    <xf numFmtId="164" fontId="56" fillId="0" borderId="31" xfId="0" applyFont="1" applyBorder="1" applyAlignment="1">
      <alignment wrapText="1"/>
    </xf>
    <xf numFmtId="164" fontId="56" fillId="0" borderId="0" xfId="0" applyFont="1" applyAlignment="1">
      <alignment wrapText="1"/>
    </xf>
    <xf numFmtId="49" fontId="46" fillId="39" borderId="42" xfId="5" applyNumberFormat="1" applyFont="1" applyFill="1" applyBorder="1" applyAlignment="1">
      <alignment horizontal="center"/>
    </xf>
    <xf numFmtId="49" fontId="46" fillId="39" borderId="41" xfId="5" applyNumberFormat="1" applyFont="1" applyFill="1" applyBorder="1" applyAlignment="1">
      <alignment horizontal="center"/>
    </xf>
    <xf numFmtId="49" fontId="46" fillId="39" borderId="50" xfId="5" applyNumberFormat="1" applyFont="1" applyFill="1" applyBorder="1" applyAlignment="1">
      <alignment horizontal="center"/>
    </xf>
    <xf numFmtId="164" fontId="73" fillId="39" borderId="0" xfId="193" applyFont="1" applyFill="1" applyAlignment="1" applyProtection="1">
      <alignment horizontal="center"/>
      <protection locked="0"/>
    </xf>
    <xf numFmtId="0" fontId="15" fillId="21" borderId="31" xfId="6" quotePrefix="1" applyFont="1" applyFill="1" applyBorder="1" applyAlignment="1">
      <alignment horizontal="center"/>
    </xf>
    <xf numFmtId="0" fontId="15" fillId="21" borderId="31" xfId="6" applyFont="1" applyFill="1" applyBorder="1" applyAlignment="1">
      <alignment horizontal="center"/>
    </xf>
    <xf numFmtId="164" fontId="46" fillId="21" borderId="17" xfId="0" applyFont="1" applyFill="1" applyBorder="1" applyAlignment="1">
      <alignment horizontal="center"/>
    </xf>
    <xf numFmtId="164" fontId="77" fillId="21" borderId="0" xfId="0" applyFont="1" applyFill="1" applyAlignment="1">
      <alignment horizontal="center" wrapText="1"/>
    </xf>
    <xf numFmtId="0" fontId="46" fillId="21" borderId="0" xfId="6" applyFont="1" applyFill="1" applyAlignment="1">
      <alignment horizontal="center"/>
    </xf>
    <xf numFmtId="1" fontId="58" fillId="39" borderId="42" xfId="0" applyNumberFormat="1" applyFont="1" applyFill="1" applyBorder="1" applyAlignment="1">
      <alignment horizontal="center"/>
    </xf>
    <xf numFmtId="1" fontId="58" fillId="39" borderId="41" xfId="0" applyNumberFormat="1" applyFont="1" applyFill="1" applyBorder="1" applyAlignment="1">
      <alignment horizontal="center"/>
    </xf>
    <xf numFmtId="1" fontId="58" fillId="39" borderId="50" xfId="0" applyNumberFormat="1" applyFont="1" applyFill="1" applyBorder="1" applyAlignment="1">
      <alignment horizontal="center"/>
    </xf>
    <xf numFmtId="0" fontId="58" fillId="39" borderId="42" xfId="161" applyNumberFormat="1" applyFont="1" applyFill="1" applyBorder="1" applyAlignment="1">
      <alignment horizontal="center"/>
    </xf>
    <xf numFmtId="0" fontId="58" fillId="39" borderId="41" xfId="161" applyNumberFormat="1" applyFont="1" applyFill="1" applyBorder="1" applyAlignment="1">
      <alignment horizontal="center"/>
    </xf>
    <xf numFmtId="0" fontId="58" fillId="39" borderId="50" xfId="161" applyNumberFormat="1" applyFont="1" applyFill="1" applyBorder="1" applyAlignment="1">
      <alignment horizontal="center"/>
    </xf>
    <xf numFmtId="0" fontId="58" fillId="39" borderId="33" xfId="161" applyNumberFormat="1" applyFont="1" applyFill="1" applyBorder="1" applyAlignment="1">
      <alignment horizontal="center"/>
    </xf>
    <xf numFmtId="169" fontId="58" fillId="21" borderId="0" xfId="0" applyNumberFormat="1" applyFont="1" applyFill="1" applyAlignment="1">
      <alignment horizontal="center"/>
    </xf>
    <xf numFmtId="169" fontId="48" fillId="21" borderId="0" xfId="0" applyNumberFormat="1" applyFont="1" applyFill="1" applyAlignment="1">
      <alignment horizontal="center"/>
    </xf>
    <xf numFmtId="169" fontId="48" fillId="39" borderId="0" xfId="0" applyNumberFormat="1" applyFont="1" applyFill="1" applyAlignment="1">
      <alignment horizontal="center"/>
    </xf>
  </cellXfs>
  <cellStyles count="934">
    <cellStyle name="Bottom bold border" xfId="514" xr:uid="{00000000-0005-0000-0000-000000000000}"/>
    <cellStyle name="Bottom single border" xfId="515" xr:uid="{00000000-0005-0000-0000-000001000000}"/>
    <cellStyle name="Comma" xfId="161" builtinId="3"/>
    <cellStyle name="Comma 10" xfId="383" xr:uid="{00000000-0005-0000-0000-000003000000}"/>
    <cellStyle name="Comma 10 2" xfId="827" xr:uid="{5FBFCE07-D0AE-4E0E-A9C2-879F64DE6F9C}"/>
    <cellStyle name="Comma 11" xfId="385" xr:uid="{00000000-0005-0000-0000-000004000000}"/>
    <cellStyle name="Comma 11 2" xfId="829" xr:uid="{2AEEE622-A7F1-4745-B636-608DB99EBCF7}"/>
    <cellStyle name="Comma 12" xfId="388" xr:uid="{00000000-0005-0000-0000-000005000000}"/>
    <cellStyle name="Comma 12 2" xfId="832" xr:uid="{0DF4F4BE-C2BD-46A4-92EB-E2EF8BC63842}"/>
    <cellStyle name="Comma 13" xfId="391" xr:uid="{00000000-0005-0000-0000-000006000000}"/>
    <cellStyle name="Comma 14" xfId="410" xr:uid="{00000000-0005-0000-0000-000007000000}"/>
    <cellStyle name="Comma 15" xfId="428" xr:uid="{00000000-0005-0000-0000-000008000000}"/>
    <cellStyle name="Comma 15 2" xfId="847" xr:uid="{91DF76CD-4180-46D0-8B39-3C2FEB8F8D95}"/>
    <cellStyle name="Comma 2" xfId="1" xr:uid="{00000000-0005-0000-0000-000009000000}"/>
    <cellStyle name="Comma 2 2" xfId="9" xr:uid="{00000000-0005-0000-0000-00000A000000}"/>
    <cellStyle name="Comma 2 2 2" xfId="11" xr:uid="{00000000-0005-0000-0000-00000B000000}"/>
    <cellStyle name="Comma 2 2 3" xfId="12" xr:uid="{00000000-0005-0000-0000-00000C000000}"/>
    <cellStyle name="Comma 2 2 4" xfId="13" xr:uid="{00000000-0005-0000-0000-00000D000000}"/>
    <cellStyle name="Comma 2 2 4 2" xfId="154" xr:uid="{00000000-0005-0000-0000-00000E000000}"/>
    <cellStyle name="Comma 2 2 5" xfId="429" xr:uid="{00000000-0005-0000-0000-00000F000000}"/>
    <cellStyle name="Comma 2 2 5 2" xfId="848" xr:uid="{8B39AB61-D098-4DA8-8A82-876F409F6ACB}"/>
    <cellStyle name="Comma 2 3" xfId="155" xr:uid="{00000000-0005-0000-0000-000010000000}"/>
    <cellStyle name="Comma 3" xfId="14" xr:uid="{00000000-0005-0000-0000-000011000000}"/>
    <cellStyle name="Comma 3 2" xfId="424" xr:uid="{00000000-0005-0000-0000-000012000000}"/>
    <cellStyle name="Comma 4" xfId="10" xr:uid="{00000000-0005-0000-0000-000013000000}"/>
    <cellStyle name="Comma 4 2" xfId="15" xr:uid="{00000000-0005-0000-0000-000014000000}"/>
    <cellStyle name="Comma 5" xfId="16" xr:uid="{00000000-0005-0000-0000-000015000000}"/>
    <cellStyle name="Comma 6" xfId="145" xr:uid="{00000000-0005-0000-0000-000016000000}"/>
    <cellStyle name="Comma 7" xfId="149" xr:uid="{00000000-0005-0000-0000-000017000000}"/>
    <cellStyle name="Comma 7 2" xfId="358" xr:uid="{00000000-0005-0000-0000-000018000000}"/>
    <cellStyle name="Comma 7 2 2" xfId="806" xr:uid="{DB490DA1-15A2-42E1-9F4D-9DC279A3292F}"/>
    <cellStyle name="Comma 7 3" xfId="636" xr:uid="{F5F29636-CCAE-4D56-B6FA-5841D75C4170}"/>
    <cellStyle name="Comma 8" xfId="160" xr:uid="{00000000-0005-0000-0000-000019000000}"/>
    <cellStyle name="Comma 8 2" xfId="365" xr:uid="{00000000-0005-0000-0000-00001A000000}"/>
    <cellStyle name="Comma 8 2 2" xfId="811" xr:uid="{2C9A83C2-009D-4E52-B0F9-C33EBAD7B9CA}"/>
    <cellStyle name="Comma 8 3" xfId="642" xr:uid="{DCA75EE3-CBD3-45DF-8513-15C290734EBD}"/>
    <cellStyle name="Comma 9" xfId="194" xr:uid="{00000000-0005-0000-0000-00001B000000}"/>
    <cellStyle name="Currency" xfId="147" builtinId="4"/>
    <cellStyle name="Currency 2" xfId="2" xr:uid="{00000000-0005-0000-0000-00001D000000}"/>
    <cellStyle name="Currency 2 2" xfId="245" xr:uid="{00000000-0005-0000-0000-00001E000000}"/>
    <cellStyle name="Currency 3" xfId="152" xr:uid="{00000000-0005-0000-0000-00001F000000}"/>
    <cellStyle name="Currency 3 2" xfId="361" xr:uid="{00000000-0005-0000-0000-000020000000}"/>
    <cellStyle name="Currency 3 2 2" xfId="809" xr:uid="{691AA227-73CF-4A99-83DB-21510763D1A7}"/>
    <cellStyle name="Currency 3 3" xfId="397" xr:uid="{00000000-0005-0000-0000-000021000000}"/>
    <cellStyle name="Currency 3 4" xfId="639" xr:uid="{398C27E1-83AD-47A8-B969-D2EDB764C07E}"/>
    <cellStyle name="Currency 4" xfId="163" xr:uid="{00000000-0005-0000-0000-000022000000}"/>
    <cellStyle name="Currency 4 2" xfId="364" xr:uid="{00000000-0005-0000-0000-000023000000}"/>
    <cellStyle name="Currency 5" xfId="411" xr:uid="{00000000-0005-0000-0000-000024000000}"/>
    <cellStyle name="Hyperlink" xfId="197" builtinId="8"/>
    <cellStyle name="No Border" xfId="516" xr:uid="{00000000-0005-0000-0000-000026000000}"/>
    <cellStyle name="Normal" xfId="0" builtinId="0"/>
    <cellStyle name="Normal 10" xfId="17" xr:uid="{00000000-0005-0000-0000-000028000000}"/>
    <cellStyle name="Normal 10 2" xfId="195" xr:uid="{00000000-0005-0000-0000-000029000000}"/>
    <cellStyle name="Normal 10 2 2" xfId="237" xr:uid="{00000000-0005-0000-0000-00002A000000}"/>
    <cellStyle name="Normal 10 2 2 2" xfId="407" xr:uid="{00000000-0005-0000-0000-00002B000000}"/>
    <cellStyle name="Normal 10 2 2 3" xfId="408" xr:uid="{00000000-0005-0000-0000-00002C000000}"/>
    <cellStyle name="Normal 10 2 3" xfId="379" xr:uid="{00000000-0005-0000-0000-00002D000000}"/>
    <cellStyle name="Normal 10 2 3 2" xfId="825" xr:uid="{5DC35D81-BF91-426A-9A55-C4A920711CF7}"/>
    <cellStyle name="Normal 10 2 4" xfId="657" xr:uid="{B403F513-DAC9-455E-9054-450DD9C4D23A}"/>
    <cellStyle name="Normal 10 3" xfId="233" xr:uid="{00000000-0005-0000-0000-00002E000000}"/>
    <cellStyle name="Normal 10 3 2" xfId="690" xr:uid="{0F904A01-9B3D-4166-89CC-C59436454485}"/>
    <cellStyle name="Normal 10 4" xfId="395" xr:uid="{00000000-0005-0000-0000-00002F000000}"/>
    <cellStyle name="Normal 10 4 2" xfId="833" xr:uid="{380192BE-00C4-4A63-BA0A-7C6ADEC72095}"/>
    <cellStyle name="Normal 10 5" xfId="430" xr:uid="{00000000-0005-0000-0000-000030000000}"/>
    <cellStyle name="Normal 10 5 2" xfId="849" xr:uid="{555B827C-EB26-4421-B349-0E9773B32241}"/>
    <cellStyle name="Normal 10 6" xfId="520" xr:uid="{B5E2C2AC-59E4-4217-B245-E8184369B15A}"/>
    <cellStyle name="Normal 100" xfId="18" xr:uid="{00000000-0005-0000-0000-000031000000}"/>
    <cellStyle name="Normal 100 2" xfId="247" xr:uid="{00000000-0005-0000-0000-000032000000}"/>
    <cellStyle name="Normal 100 2 2" xfId="695" xr:uid="{34948671-6D01-49B5-96E9-31CCCBB1E23C}"/>
    <cellStyle name="Normal 100 3" xfId="431" xr:uid="{00000000-0005-0000-0000-000033000000}"/>
    <cellStyle name="Normal 100 3 2" xfId="850" xr:uid="{7E63B829-93FF-4D23-A2E9-A3D14FB418F9}"/>
    <cellStyle name="Normal 100 4" xfId="521" xr:uid="{16015695-62CD-4CAD-9D85-3DD62BE147EE}"/>
    <cellStyle name="Normal 101" xfId="19" xr:uid="{00000000-0005-0000-0000-000034000000}"/>
    <cellStyle name="Normal 101 2" xfId="248" xr:uid="{00000000-0005-0000-0000-000035000000}"/>
    <cellStyle name="Normal 101 2 2" xfId="696" xr:uid="{E295EEFA-E35A-45EF-8887-553E29F0F57B}"/>
    <cellStyle name="Normal 101 3" xfId="432" xr:uid="{00000000-0005-0000-0000-000036000000}"/>
    <cellStyle name="Normal 101 3 2" xfId="851" xr:uid="{C52E0C30-D5DC-4753-87F4-C7D1F5070555}"/>
    <cellStyle name="Normal 101 4" xfId="522" xr:uid="{0AD7851D-4BFD-4C52-B2A6-A39E56045342}"/>
    <cellStyle name="Normal 103" xfId="20" xr:uid="{00000000-0005-0000-0000-000037000000}"/>
    <cellStyle name="Normal 103 2" xfId="249" xr:uid="{00000000-0005-0000-0000-000038000000}"/>
    <cellStyle name="Normal 103 2 2" xfId="697" xr:uid="{347BB6DB-5BA7-4ED5-B0E6-352F4B6C323A}"/>
    <cellStyle name="Normal 103 3" xfId="433" xr:uid="{00000000-0005-0000-0000-000039000000}"/>
    <cellStyle name="Normal 103 3 2" xfId="852" xr:uid="{921F7A3F-9E5F-460C-B97B-1EC9CBB5CA2F}"/>
    <cellStyle name="Normal 103 4" xfId="523" xr:uid="{4CD3FA3C-886A-44C0-99B5-4BB53A146F05}"/>
    <cellStyle name="Normal 107" xfId="21" xr:uid="{00000000-0005-0000-0000-00003A000000}"/>
    <cellStyle name="Normal 107 2" xfId="250" xr:uid="{00000000-0005-0000-0000-00003B000000}"/>
    <cellStyle name="Normal 107 2 2" xfId="698" xr:uid="{8780B6D8-224C-49B3-8C41-DBFD3D77BF8A}"/>
    <cellStyle name="Normal 107 3" xfId="434" xr:uid="{00000000-0005-0000-0000-00003C000000}"/>
    <cellStyle name="Normal 107 3 2" xfId="853" xr:uid="{231C8122-B0E4-4D76-868F-9FFE1F4F4F07}"/>
    <cellStyle name="Normal 107 4" xfId="524" xr:uid="{4C1CAD60-8C1B-4FEF-A6C7-F0F7CCBCA697}"/>
    <cellStyle name="Normal 108" xfId="22" xr:uid="{00000000-0005-0000-0000-00003D000000}"/>
    <cellStyle name="Normal 108 2" xfId="251" xr:uid="{00000000-0005-0000-0000-00003E000000}"/>
    <cellStyle name="Normal 108 2 2" xfId="699" xr:uid="{00EB4510-9B1B-44F2-B54A-966FB1F66C81}"/>
    <cellStyle name="Normal 108 3" xfId="435" xr:uid="{00000000-0005-0000-0000-00003F000000}"/>
    <cellStyle name="Normal 108 3 2" xfId="854" xr:uid="{5DCEA701-5DBF-4FEB-86B0-94FE29CBF8DF}"/>
    <cellStyle name="Normal 108 4" xfId="525" xr:uid="{4642AE2C-78F7-40D5-9B20-FAFB6A10D178}"/>
    <cellStyle name="Normal 11" xfId="23" xr:uid="{00000000-0005-0000-0000-000040000000}"/>
    <cellStyle name="Normal 11 2" xfId="238" xr:uid="{00000000-0005-0000-0000-000041000000}"/>
    <cellStyle name="Normal 11 3" xfId="252" xr:uid="{00000000-0005-0000-0000-000042000000}"/>
    <cellStyle name="Normal 11 3 2" xfId="700" xr:uid="{06D2DDEB-2471-4388-9748-566AA37BF1C5}"/>
    <cellStyle name="Normal 11 4" xfId="436" xr:uid="{00000000-0005-0000-0000-000043000000}"/>
    <cellStyle name="Normal 11 4 2" xfId="855" xr:uid="{B887C407-C049-42A2-9A5D-B82DDC020DBD}"/>
    <cellStyle name="Normal 11 5" xfId="526" xr:uid="{E4A7FE97-8DE3-4F3E-8A7B-E9A3EAE7038C}"/>
    <cellStyle name="Normal 110" xfId="24" xr:uid="{00000000-0005-0000-0000-000044000000}"/>
    <cellStyle name="Normal 110 2" xfId="253" xr:uid="{00000000-0005-0000-0000-000045000000}"/>
    <cellStyle name="Normal 110 2 2" xfId="701" xr:uid="{C7E6BC0C-9A06-45B5-9772-D81D9BB9F176}"/>
    <cellStyle name="Normal 110 3" xfId="437" xr:uid="{00000000-0005-0000-0000-000046000000}"/>
    <cellStyle name="Normal 110 3 2" xfId="856" xr:uid="{165F73EE-F14B-4D14-8183-D2996316CE68}"/>
    <cellStyle name="Normal 110 4" xfId="527" xr:uid="{0EB702FD-6FE8-4988-8A42-9B371964E7F1}"/>
    <cellStyle name="Normal 112" xfId="25" xr:uid="{00000000-0005-0000-0000-000047000000}"/>
    <cellStyle name="Normal 112 2" xfId="254" xr:uid="{00000000-0005-0000-0000-000048000000}"/>
    <cellStyle name="Normal 112 2 2" xfId="702" xr:uid="{DF755B11-39BB-49B5-A4D8-EB61D23943EF}"/>
    <cellStyle name="Normal 112 3" xfId="438" xr:uid="{00000000-0005-0000-0000-000049000000}"/>
    <cellStyle name="Normal 112 3 2" xfId="857" xr:uid="{3134C868-40E8-4BBF-A965-011E7A8B64BA}"/>
    <cellStyle name="Normal 112 4" xfId="528" xr:uid="{71D94154-A9E7-464D-B20C-6C234B97053E}"/>
    <cellStyle name="Normal 114" xfId="26" xr:uid="{00000000-0005-0000-0000-00004A000000}"/>
    <cellStyle name="Normal 114 2" xfId="255" xr:uid="{00000000-0005-0000-0000-00004B000000}"/>
    <cellStyle name="Normal 114 2 2" xfId="703" xr:uid="{52F64BF8-2811-428C-86DB-728C6EC9BB0B}"/>
    <cellStyle name="Normal 114 3" xfId="439" xr:uid="{00000000-0005-0000-0000-00004C000000}"/>
    <cellStyle name="Normal 114 3 2" xfId="858" xr:uid="{05A3DB97-73E6-4C48-82B1-93434822D294}"/>
    <cellStyle name="Normal 114 4" xfId="529" xr:uid="{B48D71DB-4A4C-493A-B9FA-F0B256B07B42}"/>
    <cellStyle name="Normal 117" xfId="27" xr:uid="{00000000-0005-0000-0000-00004D000000}"/>
    <cellStyle name="Normal 117 2" xfId="256" xr:uid="{00000000-0005-0000-0000-00004E000000}"/>
    <cellStyle name="Normal 117 2 2" xfId="704" xr:uid="{C2765CD0-CC6F-490A-A710-70F9D963CDAF}"/>
    <cellStyle name="Normal 117 3" xfId="440" xr:uid="{00000000-0005-0000-0000-00004F000000}"/>
    <cellStyle name="Normal 117 3 2" xfId="859" xr:uid="{780CCE12-C1F5-4E20-BAFF-F1E84FEBF12B}"/>
    <cellStyle name="Normal 117 4" xfId="530" xr:uid="{5F4FE52F-BD87-4F74-8587-49A530168270}"/>
    <cellStyle name="Normal 118" xfId="28" xr:uid="{00000000-0005-0000-0000-000050000000}"/>
    <cellStyle name="Normal 118 2" xfId="257" xr:uid="{00000000-0005-0000-0000-000051000000}"/>
    <cellStyle name="Normal 118 2 2" xfId="705" xr:uid="{2F4F9CB4-C94B-4828-8717-B73FDBC7A9D4}"/>
    <cellStyle name="Normal 118 3" xfId="441" xr:uid="{00000000-0005-0000-0000-000052000000}"/>
    <cellStyle name="Normal 118 3 2" xfId="860" xr:uid="{DCE743DB-D111-4FF5-A475-99E834A84470}"/>
    <cellStyle name="Normal 118 4" xfId="531" xr:uid="{8D963238-CD9D-4F10-BC76-5C971582A9E2}"/>
    <cellStyle name="Normal 119" xfId="29" xr:uid="{00000000-0005-0000-0000-000053000000}"/>
    <cellStyle name="Normal 119 2" xfId="258" xr:uid="{00000000-0005-0000-0000-000054000000}"/>
    <cellStyle name="Normal 119 2 2" xfId="706" xr:uid="{0C0F1751-81DA-4878-8C39-88C8AA4A1FE9}"/>
    <cellStyle name="Normal 119 3" xfId="442" xr:uid="{00000000-0005-0000-0000-000055000000}"/>
    <cellStyle name="Normal 119 3 2" xfId="861" xr:uid="{0BD9B129-78B8-4350-98CC-E4B3B179AC65}"/>
    <cellStyle name="Normal 119 4" xfId="532" xr:uid="{E9831A3B-B5FE-4529-BFD0-1E1D352F051D}"/>
    <cellStyle name="Normal 12" xfId="30" xr:uid="{00000000-0005-0000-0000-000056000000}"/>
    <cellStyle name="Normal 12 2" xfId="239" xr:uid="{00000000-0005-0000-0000-000057000000}"/>
    <cellStyle name="Normal 12 3" xfId="259" xr:uid="{00000000-0005-0000-0000-000058000000}"/>
    <cellStyle name="Normal 12 3 2" xfId="707" xr:uid="{DECB2F29-2077-42FA-B0D1-0AD3A90FB631}"/>
    <cellStyle name="Normal 12 4" xfId="443" xr:uid="{00000000-0005-0000-0000-000059000000}"/>
    <cellStyle name="Normal 12 4 2" xfId="862" xr:uid="{22C9D722-8A57-46CF-A8FB-64AE47F2797B}"/>
    <cellStyle name="Normal 12 5" xfId="533" xr:uid="{C5DD74D4-F4A6-4B09-B784-E0B8B65B54B4}"/>
    <cellStyle name="Normal 120" xfId="31" xr:uid="{00000000-0005-0000-0000-00005A000000}"/>
    <cellStyle name="Normal 120 2" xfId="260" xr:uid="{00000000-0005-0000-0000-00005B000000}"/>
    <cellStyle name="Normal 120 2 2" xfId="708" xr:uid="{92DF6C5E-A994-4F1C-9D84-34096289B6F1}"/>
    <cellStyle name="Normal 120 3" xfId="444" xr:uid="{00000000-0005-0000-0000-00005C000000}"/>
    <cellStyle name="Normal 120 3 2" xfId="863" xr:uid="{869DA680-628E-423F-981C-08010C8DC8C4}"/>
    <cellStyle name="Normal 120 4" xfId="534" xr:uid="{B3A4EE75-28D8-4C1B-85B8-FCE87411BBAD}"/>
    <cellStyle name="Normal 121" xfId="32" xr:uid="{00000000-0005-0000-0000-00005D000000}"/>
    <cellStyle name="Normal 121 2" xfId="261" xr:uid="{00000000-0005-0000-0000-00005E000000}"/>
    <cellStyle name="Normal 121 2 2" xfId="709" xr:uid="{869983B0-368A-4BB4-B187-F9F6F6E19359}"/>
    <cellStyle name="Normal 121 3" xfId="445" xr:uid="{00000000-0005-0000-0000-00005F000000}"/>
    <cellStyle name="Normal 121 3 2" xfId="864" xr:uid="{94C8CA9D-99D2-48C6-A311-80B144C8431C}"/>
    <cellStyle name="Normal 121 4" xfId="535" xr:uid="{58792DD7-2899-425A-A300-6A711540D69D}"/>
    <cellStyle name="Normal 122" xfId="33" xr:uid="{00000000-0005-0000-0000-000060000000}"/>
    <cellStyle name="Normal 122 2" xfId="262" xr:uid="{00000000-0005-0000-0000-000061000000}"/>
    <cellStyle name="Normal 122 2 2" xfId="710" xr:uid="{C1686FB9-F09A-4232-B8F1-4674BB1BD8EF}"/>
    <cellStyle name="Normal 122 3" xfId="446" xr:uid="{00000000-0005-0000-0000-000062000000}"/>
    <cellStyle name="Normal 122 3 2" xfId="865" xr:uid="{980D43CB-00AA-4312-9E28-25D2689E8A36}"/>
    <cellStyle name="Normal 122 4" xfId="536" xr:uid="{CF6348EF-78FB-4A98-86E0-0AF12123FA50}"/>
    <cellStyle name="Normal 123" xfId="34" xr:uid="{00000000-0005-0000-0000-000063000000}"/>
    <cellStyle name="Normal 123 2" xfId="263" xr:uid="{00000000-0005-0000-0000-000064000000}"/>
    <cellStyle name="Normal 123 2 2" xfId="711" xr:uid="{283D2982-1938-4CCD-8562-FBA8F16DB0D7}"/>
    <cellStyle name="Normal 123 3" xfId="447" xr:uid="{00000000-0005-0000-0000-000065000000}"/>
    <cellStyle name="Normal 123 3 2" xfId="866" xr:uid="{FACE8E37-3215-4CA5-A6D6-927AC2E86430}"/>
    <cellStyle name="Normal 123 4" xfId="537" xr:uid="{EAB3AB1A-3F27-4439-A943-8AB565EEC3E7}"/>
    <cellStyle name="Normal 124" xfId="35" xr:uid="{00000000-0005-0000-0000-000066000000}"/>
    <cellStyle name="Normal 124 2" xfId="264" xr:uid="{00000000-0005-0000-0000-000067000000}"/>
    <cellStyle name="Normal 124 2 2" xfId="712" xr:uid="{D121A03A-4EB1-448F-884E-34D0C0ABA3A3}"/>
    <cellStyle name="Normal 124 3" xfId="448" xr:uid="{00000000-0005-0000-0000-000068000000}"/>
    <cellStyle name="Normal 124 3 2" xfId="867" xr:uid="{81CD5BA9-FB6A-4F21-B92F-F0A948EBA5E6}"/>
    <cellStyle name="Normal 124 4" xfId="538" xr:uid="{6683C21E-E55A-4DF8-91DB-A702A4AFE146}"/>
    <cellStyle name="Normal 13" xfId="36" xr:uid="{00000000-0005-0000-0000-000069000000}"/>
    <cellStyle name="Normal 13 2" xfId="240" xr:uid="{00000000-0005-0000-0000-00006A000000}"/>
    <cellStyle name="Normal 13 3" xfId="265" xr:uid="{00000000-0005-0000-0000-00006B000000}"/>
    <cellStyle name="Normal 13 3 2" xfId="713" xr:uid="{14EED4AA-B911-47E3-B447-337919F63B32}"/>
    <cellStyle name="Normal 13 4" xfId="449" xr:uid="{00000000-0005-0000-0000-00006C000000}"/>
    <cellStyle name="Normal 13 4 2" xfId="868" xr:uid="{56C45D22-7104-4EFC-B27D-354848B829D0}"/>
    <cellStyle name="Normal 13 5" xfId="539" xr:uid="{6AE481C3-838B-4310-A5D0-372F96370BE0}"/>
    <cellStyle name="Normal 14" xfId="151" xr:uid="{00000000-0005-0000-0000-00006D000000}"/>
    <cellStyle name="Normal 14 2" xfId="360" xr:uid="{00000000-0005-0000-0000-00006E000000}"/>
    <cellStyle name="Normal 14 2 2" xfId="808" xr:uid="{3C6FD8C0-7EBF-4F9F-9618-C47D50A77A1C}"/>
    <cellStyle name="Normal 14 3" xfId="638" xr:uid="{5D3881F6-0D2B-4F2A-A1E4-70BFA4421504}"/>
    <cellStyle name="Normal 15" xfId="162" xr:uid="{00000000-0005-0000-0000-00006F000000}"/>
    <cellStyle name="Normal 15 2" xfId="363" xr:uid="{00000000-0005-0000-0000-000070000000}"/>
    <cellStyle name="Normal 16" xfId="192" xr:uid="{00000000-0005-0000-0000-000071000000}"/>
    <cellStyle name="Normal 16 2" xfId="380" xr:uid="{00000000-0005-0000-0000-000072000000}"/>
    <cellStyle name="Normal 17" xfId="37" xr:uid="{00000000-0005-0000-0000-000073000000}"/>
    <cellStyle name="Normal 17 2" xfId="266" xr:uid="{00000000-0005-0000-0000-000074000000}"/>
    <cellStyle name="Normal 17 2 2" xfId="714" xr:uid="{15F2CD83-7EC0-4FBD-89C8-1F5F84691C9F}"/>
    <cellStyle name="Normal 17 3" xfId="450" xr:uid="{00000000-0005-0000-0000-000075000000}"/>
    <cellStyle name="Normal 17 3 2" xfId="869" xr:uid="{DF1F6D58-19A6-4719-93EA-14DB2807B5F7}"/>
    <cellStyle name="Normal 17 4" xfId="540" xr:uid="{BA7ADCF3-C306-48CA-AA6F-41C7CBF4E0D3}"/>
    <cellStyle name="Normal 18" xfId="38" xr:uid="{00000000-0005-0000-0000-000076000000}"/>
    <cellStyle name="Normal 18 2" xfId="267" xr:uid="{00000000-0005-0000-0000-000077000000}"/>
    <cellStyle name="Normal 18 2 2" xfId="715" xr:uid="{89C0BEC6-BD6F-4C15-92B6-C0CEEBC2027A}"/>
    <cellStyle name="Normal 18 3" xfId="451" xr:uid="{00000000-0005-0000-0000-000078000000}"/>
    <cellStyle name="Normal 18 3 2" xfId="870" xr:uid="{50BD0A68-143D-4D1D-A880-61A5B281C842}"/>
    <cellStyle name="Normal 18 4" xfId="541" xr:uid="{394BA819-D266-4D90-89A1-818B7B012F39}"/>
    <cellStyle name="Normal 19" xfId="193" xr:uid="{00000000-0005-0000-0000-000079000000}"/>
    <cellStyle name="Normal 2" xfId="3" xr:uid="{00000000-0005-0000-0000-00007A000000}"/>
    <cellStyle name="Normal 2 2" xfId="8" xr:uid="{00000000-0005-0000-0000-00007B000000}"/>
    <cellStyle name="Normal 2 2 2" xfId="39" xr:uid="{00000000-0005-0000-0000-00007C000000}"/>
    <cellStyle name="Normal 2 2 3" xfId="40" xr:uid="{00000000-0005-0000-0000-00007D000000}"/>
    <cellStyle name="Normal 2 2 4" xfId="453" xr:uid="{00000000-0005-0000-0000-00007E000000}"/>
    <cellStyle name="Normal 2 2 4 2" xfId="872" xr:uid="{D0B446FC-571D-4CD8-BAC8-13E0F2947FD7}"/>
    <cellStyle name="Normal 2 3" xfId="41" xr:uid="{00000000-0005-0000-0000-00007F000000}"/>
    <cellStyle name="Normal 2 4" xfId="156" xr:uid="{00000000-0005-0000-0000-000080000000}"/>
    <cellStyle name="Normal 2 4 2" xfId="366" xr:uid="{00000000-0005-0000-0000-000081000000}"/>
    <cellStyle name="Normal 2 4 2 2" xfId="812" xr:uid="{89210659-CCA6-4E40-9B7B-9AEBEB3FF26E}"/>
    <cellStyle name="Normal 2 4 3" xfId="641" xr:uid="{1F3C0846-104C-4B2A-ABFD-86EB8E0710CB}"/>
    <cellStyle name="Normal 2 5" xfId="246" xr:uid="{00000000-0005-0000-0000-000082000000}"/>
    <cellStyle name="Normal 2 5 2" xfId="694" xr:uid="{DD831C9D-16FC-4B9C-8696-6EF44D86E0C8}"/>
    <cellStyle name="Normal 2 6" xfId="425" xr:uid="{00000000-0005-0000-0000-000083000000}"/>
    <cellStyle name="Normal 2 6 2" xfId="844" xr:uid="{2C2C956F-53A6-488C-87AB-254998E328BE}"/>
    <cellStyle name="Normal 2 7" xfId="452" xr:uid="{00000000-0005-0000-0000-000084000000}"/>
    <cellStyle name="Normal 2 7 2" xfId="871" xr:uid="{B123445E-83A8-4A57-A356-79B3A3E76B4B}"/>
    <cellStyle name="Normal 2 8" xfId="519" xr:uid="{8361C6BA-1F94-4703-BDE2-129FA0EC6851}"/>
    <cellStyle name="Normal 20" xfId="196" xr:uid="{00000000-0005-0000-0000-000085000000}"/>
    <cellStyle name="Normal 20 2" xfId="381" xr:uid="{00000000-0005-0000-0000-000086000000}"/>
    <cellStyle name="Normal 21" xfId="42" xr:uid="{00000000-0005-0000-0000-000087000000}"/>
    <cellStyle name="Normal 21 2" xfId="268" xr:uid="{00000000-0005-0000-0000-000088000000}"/>
    <cellStyle name="Normal 21 2 2" xfId="716" xr:uid="{10BC3FB2-EFDB-4416-8ED2-51AC0963C2DC}"/>
    <cellStyle name="Normal 21 3" xfId="454" xr:uid="{00000000-0005-0000-0000-000089000000}"/>
    <cellStyle name="Normal 21 3 2" xfId="873" xr:uid="{7495F2D3-EC7E-4368-B203-860299ACF4A0}"/>
    <cellStyle name="Normal 21 4" xfId="542" xr:uid="{F83EDAE4-539D-48FE-B48C-8DD7B28B2B4B}"/>
    <cellStyle name="Normal 22" xfId="198" xr:uid="{00000000-0005-0000-0000-00008A000000}"/>
    <cellStyle name="Normal 22 2" xfId="658" xr:uid="{7006BF14-27B2-4352-869E-077EC7063A71}"/>
    <cellStyle name="Normal 23" xfId="43" xr:uid="{00000000-0005-0000-0000-00008B000000}"/>
    <cellStyle name="Normal 23 2" xfId="269" xr:uid="{00000000-0005-0000-0000-00008C000000}"/>
    <cellStyle name="Normal 23 2 2" xfId="717" xr:uid="{91F35BF6-9135-4388-9437-C7829089CA1A}"/>
    <cellStyle name="Normal 23 3" xfId="455" xr:uid="{00000000-0005-0000-0000-00008D000000}"/>
    <cellStyle name="Normal 23 3 2" xfId="874" xr:uid="{F0F38A1F-1547-45D9-AA99-7D0E895D6FBB}"/>
    <cellStyle name="Normal 23 4" xfId="543" xr:uid="{888B5C55-B26F-4345-9C8A-EEF73E76EFB6}"/>
    <cellStyle name="Normal 24" xfId="44" xr:uid="{00000000-0005-0000-0000-00008E000000}"/>
    <cellStyle name="Normal 24 2" xfId="270" xr:uid="{00000000-0005-0000-0000-00008F000000}"/>
    <cellStyle name="Normal 24 2 2" xfId="718" xr:uid="{AEFBB55F-2EFE-4AD8-B0D7-FE436A713F1E}"/>
    <cellStyle name="Normal 24 3" xfId="456" xr:uid="{00000000-0005-0000-0000-000090000000}"/>
    <cellStyle name="Normal 24 3 2" xfId="875" xr:uid="{F387B2C6-DFAD-479F-92D2-6E06C0310575}"/>
    <cellStyle name="Normal 24 4" xfId="544" xr:uid="{9E5A552B-FC98-4FC6-A74F-27B17B357B10}"/>
    <cellStyle name="Normal 25" xfId="45" xr:uid="{00000000-0005-0000-0000-000091000000}"/>
    <cellStyle name="Normal 25 2" xfId="271" xr:uid="{00000000-0005-0000-0000-000092000000}"/>
    <cellStyle name="Normal 25 2 2" xfId="719" xr:uid="{013B1755-ADB5-40AF-8E78-088D3488D95D}"/>
    <cellStyle name="Normal 25 3" xfId="457" xr:uid="{00000000-0005-0000-0000-000093000000}"/>
    <cellStyle name="Normal 25 3 2" xfId="876" xr:uid="{63F95940-6BD2-4483-8DB4-47FAD5502428}"/>
    <cellStyle name="Normal 25 4" xfId="545" xr:uid="{9B325C5F-A14B-4F19-9461-3CAB526E8509}"/>
    <cellStyle name="Normal 26" xfId="46" xr:uid="{00000000-0005-0000-0000-000094000000}"/>
    <cellStyle name="Normal 26 2" xfId="272" xr:uid="{00000000-0005-0000-0000-000095000000}"/>
    <cellStyle name="Normal 26 2 2" xfId="720" xr:uid="{4600AA26-A1BD-4C91-80B0-4542C82A3AC7}"/>
    <cellStyle name="Normal 26 3" xfId="458" xr:uid="{00000000-0005-0000-0000-000096000000}"/>
    <cellStyle name="Normal 26 3 2" xfId="877" xr:uid="{D57BD68E-24B7-4667-873A-D9C4A72443DC}"/>
    <cellStyle name="Normal 26 4" xfId="546" xr:uid="{B5B88946-3928-48B4-B97B-8058C12A1AB9}"/>
    <cellStyle name="Normal 27" xfId="241" xr:uid="{00000000-0005-0000-0000-000097000000}"/>
    <cellStyle name="Normal 28" xfId="47" xr:uid="{00000000-0005-0000-0000-000098000000}"/>
    <cellStyle name="Normal 28 2" xfId="273" xr:uid="{00000000-0005-0000-0000-000099000000}"/>
    <cellStyle name="Normal 28 2 2" xfId="721" xr:uid="{297F489C-B5B4-46D5-B3F6-9082E8518B7B}"/>
    <cellStyle name="Normal 28 3" xfId="459" xr:uid="{00000000-0005-0000-0000-00009A000000}"/>
    <cellStyle name="Normal 28 3 2" xfId="878" xr:uid="{F3E8EB3B-36BC-4636-B66A-971E6A340F34}"/>
    <cellStyle name="Normal 28 4" xfId="547" xr:uid="{CBE1E5BD-7B0E-4965-917B-AB20F63A9994}"/>
    <cellStyle name="Normal 29" xfId="48" xr:uid="{00000000-0005-0000-0000-00009B000000}"/>
    <cellStyle name="Normal 29 2" xfId="274" xr:uid="{00000000-0005-0000-0000-00009C000000}"/>
    <cellStyle name="Normal 29 2 2" xfId="722" xr:uid="{CC96566A-DA0C-4266-8CF0-1FD7551B7CD9}"/>
    <cellStyle name="Normal 29 3" xfId="460" xr:uid="{00000000-0005-0000-0000-00009D000000}"/>
    <cellStyle name="Normal 29 3 2" xfId="879" xr:uid="{E92D1CE2-123A-4194-B90A-8241338B40FD}"/>
    <cellStyle name="Normal 29 4" xfId="548" xr:uid="{36423BAB-685B-4B57-B181-9410C5DA4715}"/>
    <cellStyle name="Normal 3" xfId="4" xr:uid="{00000000-0005-0000-0000-00009E000000}"/>
    <cellStyle name="Normal 3 2" xfId="49" xr:uid="{00000000-0005-0000-0000-00009F000000}"/>
    <cellStyle name="Normal 3 2 2" xfId="275" xr:uid="{00000000-0005-0000-0000-0000A0000000}"/>
    <cellStyle name="Normal 3 2 2 2" xfId="723" xr:uid="{8E481E61-96E5-40A0-A83A-831F4F9F0622}"/>
    <cellStyle name="Normal 3 2 3" xfId="461" xr:uid="{00000000-0005-0000-0000-0000A1000000}"/>
    <cellStyle name="Normal 3 2 3 2" xfId="880" xr:uid="{3DB282CD-AEDF-4B51-9181-3DD3010BEE04}"/>
    <cellStyle name="Normal 3 2 4" xfId="549" xr:uid="{FFB4D1FF-9782-416D-80FD-0B28B73CB743}"/>
    <cellStyle name="Normal 3 3" xfId="50" xr:uid="{00000000-0005-0000-0000-0000A2000000}"/>
    <cellStyle name="Normal 3 4" xfId="157" xr:uid="{00000000-0005-0000-0000-0000A3000000}"/>
    <cellStyle name="Normal 3 5" xfId="426" xr:uid="{00000000-0005-0000-0000-0000A4000000}"/>
    <cellStyle name="Normal 3 5 2" xfId="845" xr:uid="{A9144D0B-DEFB-45D8-8308-406ECBD66881}"/>
    <cellStyle name="Normal 3_Attach O, GG, Support -New Method 2-14-11" xfId="390" xr:uid="{00000000-0005-0000-0000-0000A5000000}"/>
    <cellStyle name="Normal 30" xfId="51" xr:uid="{00000000-0005-0000-0000-0000A6000000}"/>
    <cellStyle name="Normal 30 2" xfId="276" xr:uid="{00000000-0005-0000-0000-0000A7000000}"/>
    <cellStyle name="Normal 30 2 2" xfId="724" xr:uid="{A4BFC1FE-6542-4836-B02E-BE613B4E5DF8}"/>
    <cellStyle name="Normal 30 3" xfId="462" xr:uid="{00000000-0005-0000-0000-0000A8000000}"/>
    <cellStyle name="Normal 30 3 2" xfId="881" xr:uid="{84F84BE5-8CF2-4658-9992-965936DB912B}"/>
    <cellStyle name="Normal 30 4" xfId="550" xr:uid="{3ECB711C-427C-40C6-938A-F84F5AF77725}"/>
    <cellStyle name="Normal 31" xfId="52" xr:uid="{00000000-0005-0000-0000-0000A9000000}"/>
    <cellStyle name="Normal 31 2" xfId="277" xr:uid="{00000000-0005-0000-0000-0000AA000000}"/>
    <cellStyle name="Normal 31 2 2" xfId="725" xr:uid="{7D256F27-C4D3-48AA-B4AB-A207B41FBC80}"/>
    <cellStyle name="Normal 31 3" xfId="463" xr:uid="{00000000-0005-0000-0000-0000AB000000}"/>
    <cellStyle name="Normal 31 3 2" xfId="882" xr:uid="{73EE9AA5-0CE6-4EB2-80B3-AB0F0A84C61B}"/>
    <cellStyle name="Normal 31 4" xfId="551" xr:uid="{47AEEC81-BF3D-4208-B0D5-9FF2BAB41E31}"/>
    <cellStyle name="Normal 32" xfId="53" xr:uid="{00000000-0005-0000-0000-0000AC000000}"/>
    <cellStyle name="Normal 32 2" xfId="278" xr:uid="{00000000-0005-0000-0000-0000AD000000}"/>
    <cellStyle name="Normal 32 2 2" xfId="726" xr:uid="{3C126E3E-3831-4237-8217-B1327DE02841}"/>
    <cellStyle name="Normal 32 3" xfId="464" xr:uid="{00000000-0005-0000-0000-0000AE000000}"/>
    <cellStyle name="Normal 32 3 2" xfId="883" xr:uid="{88DD21CF-AA96-4B56-B9B4-9E6B7070B143}"/>
    <cellStyle name="Normal 32 4" xfId="552" xr:uid="{F225C0D5-8BC0-4E82-AC1F-2E148C08C7D6}"/>
    <cellStyle name="Normal 33" xfId="54" xr:uid="{00000000-0005-0000-0000-0000AF000000}"/>
    <cellStyle name="Normal 33 2" xfId="279" xr:uid="{00000000-0005-0000-0000-0000B0000000}"/>
    <cellStyle name="Normal 33 2 2" xfId="727" xr:uid="{ED585DB7-9A04-48F3-A7BD-FE01C2490085}"/>
    <cellStyle name="Normal 33 3" xfId="465" xr:uid="{00000000-0005-0000-0000-0000B1000000}"/>
    <cellStyle name="Normal 33 3 2" xfId="884" xr:uid="{051B2097-560D-4223-824A-3F420DB4147B}"/>
    <cellStyle name="Normal 33 4" xfId="553" xr:uid="{98938D70-7C97-443A-A226-6D17AB95CACD}"/>
    <cellStyle name="Normal 34" xfId="55" xr:uid="{00000000-0005-0000-0000-0000B2000000}"/>
    <cellStyle name="Normal 34 2" xfId="280" xr:uid="{00000000-0005-0000-0000-0000B3000000}"/>
    <cellStyle name="Normal 34 2 2" xfId="728" xr:uid="{3B5C5F07-013A-4E78-A667-027AB9131B84}"/>
    <cellStyle name="Normal 34 3" xfId="466" xr:uid="{00000000-0005-0000-0000-0000B4000000}"/>
    <cellStyle name="Normal 34 3 2" xfId="885" xr:uid="{C4667FF2-31DB-4949-933D-13FF4708B6CF}"/>
    <cellStyle name="Normal 34 4" xfId="554" xr:uid="{B5380955-E891-4CA9-AC66-60A4F0F34BE7}"/>
    <cellStyle name="Normal 35" xfId="56" xr:uid="{00000000-0005-0000-0000-0000B5000000}"/>
    <cellStyle name="Normal 35 2" xfId="281" xr:uid="{00000000-0005-0000-0000-0000B6000000}"/>
    <cellStyle name="Normal 35 2 2" xfId="729" xr:uid="{6F349468-D50F-4AA4-81A9-E30E2B02E7AA}"/>
    <cellStyle name="Normal 35 3" xfId="467" xr:uid="{00000000-0005-0000-0000-0000B7000000}"/>
    <cellStyle name="Normal 35 3 2" xfId="886" xr:uid="{C72C281A-1055-4D85-A191-B3E956574F27}"/>
    <cellStyle name="Normal 35 4" xfId="555" xr:uid="{20374DF3-D5A2-4777-AF59-47FFED88DFB0}"/>
    <cellStyle name="Normal 36" xfId="57" xr:uid="{00000000-0005-0000-0000-0000B8000000}"/>
    <cellStyle name="Normal 36 2" xfId="282" xr:uid="{00000000-0005-0000-0000-0000B9000000}"/>
    <cellStyle name="Normal 36 2 2" xfId="730" xr:uid="{1DD1AAB7-2220-4914-9C6C-56E12D376E46}"/>
    <cellStyle name="Normal 36 3" xfId="468" xr:uid="{00000000-0005-0000-0000-0000BA000000}"/>
    <cellStyle name="Normal 36 3 2" xfId="887" xr:uid="{232BCBE4-50C9-4566-8BA7-DCD53DA18B2B}"/>
    <cellStyle name="Normal 36 4" xfId="556" xr:uid="{32FA2605-566E-41D9-83CF-FCFBD9D2CC4E}"/>
    <cellStyle name="Normal 37" xfId="58" xr:uid="{00000000-0005-0000-0000-0000BB000000}"/>
    <cellStyle name="Normal 37 2" xfId="283" xr:uid="{00000000-0005-0000-0000-0000BC000000}"/>
    <cellStyle name="Normal 37 2 2" xfId="731" xr:uid="{92AF228D-FD56-4D62-BF99-EF8F344A12D1}"/>
    <cellStyle name="Normal 37 3" xfId="469" xr:uid="{00000000-0005-0000-0000-0000BD000000}"/>
    <cellStyle name="Normal 37 3 2" xfId="888" xr:uid="{E9138681-42E2-457C-B776-0727302BBECB}"/>
    <cellStyle name="Normal 37 4" xfId="557" xr:uid="{0008281E-9911-4E2D-BDB0-09644DDF065D}"/>
    <cellStyle name="Normal 38" xfId="59" xr:uid="{00000000-0005-0000-0000-0000BE000000}"/>
    <cellStyle name="Normal 38 2" xfId="284" xr:uid="{00000000-0005-0000-0000-0000BF000000}"/>
    <cellStyle name="Normal 38 2 2" xfId="732" xr:uid="{8E61455E-1094-44DF-9DC7-7E18D4ECDDE1}"/>
    <cellStyle name="Normal 38 3" xfId="470" xr:uid="{00000000-0005-0000-0000-0000C0000000}"/>
    <cellStyle name="Normal 38 3 2" xfId="889" xr:uid="{535BEE67-114F-4C83-B41C-1AAFAF9220FD}"/>
    <cellStyle name="Normal 38 4" xfId="558" xr:uid="{0E1625F8-4063-4866-A75C-002F0FBE226A}"/>
    <cellStyle name="Normal 39" xfId="60" xr:uid="{00000000-0005-0000-0000-0000C1000000}"/>
    <cellStyle name="Normal 39 2" xfId="285" xr:uid="{00000000-0005-0000-0000-0000C2000000}"/>
    <cellStyle name="Normal 39 2 2" xfId="733" xr:uid="{8B801FBB-3E8D-4E1C-A7D8-B93F468D6D3B}"/>
    <cellStyle name="Normal 39 3" xfId="471" xr:uid="{00000000-0005-0000-0000-0000C3000000}"/>
    <cellStyle name="Normal 39 3 2" xfId="890" xr:uid="{37DE183D-B4CB-41EF-91F9-A1997BE63C8F}"/>
    <cellStyle name="Normal 39 4" xfId="559" xr:uid="{F22BFB99-137D-439C-B9C8-09142F77E7BA}"/>
    <cellStyle name="Normal 4" xfId="61" xr:uid="{00000000-0005-0000-0000-0000C4000000}"/>
    <cellStyle name="Normal 4 2" xfId="421" xr:uid="{00000000-0005-0000-0000-0000C5000000}"/>
    <cellStyle name="Normal 4 3" xfId="518" xr:uid="{00000000-0005-0000-0000-0000C6000000}"/>
    <cellStyle name="Normal 40" xfId="62" xr:uid="{00000000-0005-0000-0000-0000C7000000}"/>
    <cellStyle name="Normal 40 2" xfId="286" xr:uid="{00000000-0005-0000-0000-0000C8000000}"/>
    <cellStyle name="Normal 40 2 2" xfId="734" xr:uid="{6D19D07C-ABF2-4E4F-9C38-ABC57018ACAB}"/>
    <cellStyle name="Normal 40 3" xfId="472" xr:uid="{00000000-0005-0000-0000-0000C9000000}"/>
    <cellStyle name="Normal 40 3 2" xfId="891" xr:uid="{2BAAEE44-FEAE-4F90-AA6C-109D42687B64}"/>
    <cellStyle name="Normal 40 4" xfId="560" xr:uid="{14CE4B59-4E7B-4157-A1E1-3CB9FF78B17A}"/>
    <cellStyle name="Normal 41" xfId="63" xr:uid="{00000000-0005-0000-0000-0000CA000000}"/>
    <cellStyle name="Normal 41 2" xfId="287" xr:uid="{00000000-0005-0000-0000-0000CB000000}"/>
    <cellStyle name="Normal 41 2 2" xfId="735" xr:uid="{5C9288E9-2539-4F0A-A708-0B39B433AF92}"/>
    <cellStyle name="Normal 41 3" xfId="473" xr:uid="{00000000-0005-0000-0000-0000CC000000}"/>
    <cellStyle name="Normal 41 3 2" xfId="892" xr:uid="{5012D80F-5BE2-4805-A553-906D254910D4}"/>
    <cellStyle name="Normal 41 4" xfId="561" xr:uid="{5B255258-7F7E-44E4-9811-E47E4ABF0694}"/>
    <cellStyle name="Normal 42" xfId="64" xr:uid="{00000000-0005-0000-0000-0000CD000000}"/>
    <cellStyle name="Normal 42 2" xfId="288" xr:uid="{00000000-0005-0000-0000-0000CE000000}"/>
    <cellStyle name="Normal 42 2 2" xfId="736" xr:uid="{89F6A7B9-B368-4B65-A9D9-05BCDCD19B51}"/>
    <cellStyle name="Normal 42 3" xfId="474" xr:uid="{00000000-0005-0000-0000-0000CF000000}"/>
    <cellStyle name="Normal 42 3 2" xfId="893" xr:uid="{E3F051BB-7484-42BF-AE38-03EA142CD902}"/>
    <cellStyle name="Normal 42 4" xfId="562" xr:uid="{046B2BBD-C3FB-4D5B-AE2C-36DE589E7D77}"/>
    <cellStyle name="Normal 43" xfId="65" xr:uid="{00000000-0005-0000-0000-0000D0000000}"/>
    <cellStyle name="Normal 43 2" xfId="289" xr:uid="{00000000-0005-0000-0000-0000D1000000}"/>
    <cellStyle name="Normal 43 2 2" xfId="737" xr:uid="{7E5B6861-B5E8-4223-8D39-AE0995358321}"/>
    <cellStyle name="Normal 43 3" xfId="475" xr:uid="{00000000-0005-0000-0000-0000D2000000}"/>
    <cellStyle name="Normal 43 3 2" xfId="894" xr:uid="{E935A2FC-F546-4A62-A49B-46052639227F}"/>
    <cellStyle name="Normal 43 4" xfId="563" xr:uid="{C5C38B81-B831-41DC-AA4B-9988DF9E58E5}"/>
    <cellStyle name="Normal 44" xfId="66" xr:uid="{00000000-0005-0000-0000-0000D3000000}"/>
    <cellStyle name="Normal 44 2" xfId="290" xr:uid="{00000000-0005-0000-0000-0000D4000000}"/>
    <cellStyle name="Normal 44 2 2" xfId="738" xr:uid="{BCCA924D-4AE9-4131-AB84-67C4E17C5ADD}"/>
    <cellStyle name="Normal 44 3" xfId="476" xr:uid="{00000000-0005-0000-0000-0000D5000000}"/>
    <cellStyle name="Normal 44 3 2" xfId="895" xr:uid="{5C95C9D0-2FFA-464B-9117-42646563549D}"/>
    <cellStyle name="Normal 44 4" xfId="564" xr:uid="{C7CF6397-C6D5-4617-9BAE-F3C8DAA6E45D}"/>
    <cellStyle name="Normal 45" xfId="382" xr:uid="{00000000-0005-0000-0000-0000D6000000}"/>
    <cellStyle name="Normal 45 2" xfId="826" xr:uid="{D390A6B3-0D3C-4222-8FDA-84F7592858D3}"/>
    <cellStyle name="Normal 46" xfId="67" xr:uid="{00000000-0005-0000-0000-0000D7000000}"/>
    <cellStyle name="Normal 46 2" xfId="291" xr:uid="{00000000-0005-0000-0000-0000D8000000}"/>
    <cellStyle name="Normal 46 2 2" xfId="739" xr:uid="{FB109731-3838-4F23-8429-8C18F7C49294}"/>
    <cellStyle name="Normal 46 3" xfId="477" xr:uid="{00000000-0005-0000-0000-0000D9000000}"/>
    <cellStyle name="Normal 46 3 2" xfId="896" xr:uid="{267AB3CE-8469-43AA-9C88-E41A1EC8F56E}"/>
    <cellStyle name="Normal 46 4" xfId="565" xr:uid="{3BB531B2-D600-4173-A928-96288D7F459F}"/>
    <cellStyle name="Normal 47" xfId="68" xr:uid="{00000000-0005-0000-0000-0000DA000000}"/>
    <cellStyle name="Normal 47 2" xfId="292" xr:uid="{00000000-0005-0000-0000-0000DB000000}"/>
    <cellStyle name="Normal 47 2 2" xfId="740" xr:uid="{C8372347-CCEC-4B79-B4F5-8C555A39179B}"/>
    <cellStyle name="Normal 47 3" xfId="478" xr:uid="{00000000-0005-0000-0000-0000DC000000}"/>
    <cellStyle name="Normal 47 3 2" xfId="897" xr:uid="{266CE283-77E7-4F0D-AE4E-406E47EFEA0C}"/>
    <cellStyle name="Normal 47 4" xfId="566" xr:uid="{B475E0FA-B656-4E85-8030-34AA50CB42EC}"/>
    <cellStyle name="Normal 48" xfId="69" xr:uid="{00000000-0005-0000-0000-0000DD000000}"/>
    <cellStyle name="Normal 48 2" xfId="293" xr:uid="{00000000-0005-0000-0000-0000DE000000}"/>
    <cellStyle name="Normal 48 2 2" xfId="741" xr:uid="{4E4F1E16-8AE5-45E6-A9AA-DDD728AB1413}"/>
    <cellStyle name="Normal 48 3" xfId="479" xr:uid="{00000000-0005-0000-0000-0000DF000000}"/>
    <cellStyle name="Normal 48 3 2" xfId="898" xr:uid="{30BBBF68-8253-4CB2-B568-43917A1C5B32}"/>
    <cellStyle name="Normal 48 4" xfId="567" xr:uid="{E81D5F94-8033-45F2-8470-2DA6C48C691D}"/>
    <cellStyle name="Normal 49" xfId="70" xr:uid="{00000000-0005-0000-0000-0000E0000000}"/>
    <cellStyle name="Normal 49 2" xfId="294" xr:uid="{00000000-0005-0000-0000-0000E1000000}"/>
    <cellStyle name="Normal 49 2 2" xfId="742" xr:uid="{D2548E51-E953-4102-BCA2-9B34626AB514}"/>
    <cellStyle name="Normal 49 3" xfId="480" xr:uid="{00000000-0005-0000-0000-0000E2000000}"/>
    <cellStyle name="Normal 49 3 2" xfId="899" xr:uid="{983D3799-F303-480E-8783-2931E1DBF22B}"/>
    <cellStyle name="Normal 49 4" xfId="568" xr:uid="{B8F2DB1D-AAF6-463B-B052-73B74AE6DD94}"/>
    <cellStyle name="Normal 5" xfId="71" xr:uid="{00000000-0005-0000-0000-0000E3000000}"/>
    <cellStyle name="Normal 5 2" xfId="72" xr:uid="{00000000-0005-0000-0000-0000E4000000}"/>
    <cellStyle name="Normal 5 3" xfId="73" xr:uid="{00000000-0005-0000-0000-0000E5000000}"/>
    <cellStyle name="Normal 5 3 2" xfId="158" xr:uid="{00000000-0005-0000-0000-0000E6000000}"/>
    <cellStyle name="Normal 5 4" xfId="295" xr:uid="{00000000-0005-0000-0000-0000E7000000}"/>
    <cellStyle name="Normal 5 4 2" xfId="743" xr:uid="{E7131C37-E64C-4C92-8D23-205DD99F8355}"/>
    <cellStyle name="Normal 5 5" xfId="481" xr:uid="{00000000-0005-0000-0000-0000E8000000}"/>
    <cellStyle name="Normal 5 5 2" xfId="900" xr:uid="{A8A58711-44AF-4294-89FB-BFC04FF43EC6}"/>
    <cellStyle name="Normal 5 6" xfId="569" xr:uid="{F55DFB8B-4B19-4851-AAA3-6F08109D90C4}"/>
    <cellStyle name="Normal 50" xfId="74" xr:uid="{00000000-0005-0000-0000-0000E9000000}"/>
    <cellStyle name="Normal 50 2" xfId="296" xr:uid="{00000000-0005-0000-0000-0000EA000000}"/>
    <cellStyle name="Normal 50 2 2" xfId="744" xr:uid="{486C4E1E-7565-4D9D-8B32-0B11EB78B8E7}"/>
    <cellStyle name="Normal 50 3" xfId="482" xr:uid="{00000000-0005-0000-0000-0000EB000000}"/>
    <cellStyle name="Normal 50 3 2" xfId="901" xr:uid="{E3018756-0033-49A2-B7A0-9586D4F2C07B}"/>
    <cellStyle name="Normal 50 4" xfId="570" xr:uid="{F3D58D51-B61D-4B0D-AD77-74A3CED97C6E}"/>
    <cellStyle name="Normal 51" xfId="75" xr:uid="{00000000-0005-0000-0000-0000EC000000}"/>
    <cellStyle name="Normal 51 2" xfId="297" xr:uid="{00000000-0005-0000-0000-0000ED000000}"/>
    <cellStyle name="Normal 51 2 2" xfId="745" xr:uid="{F256A172-2D9E-448F-90F3-FAA174BCEB52}"/>
    <cellStyle name="Normal 51 3" xfId="483" xr:uid="{00000000-0005-0000-0000-0000EE000000}"/>
    <cellStyle name="Normal 51 3 2" xfId="902" xr:uid="{2472D567-12C9-4D08-A45F-B0EC08BD36E7}"/>
    <cellStyle name="Normal 51 4" xfId="571" xr:uid="{6FAD831B-43A8-4E57-ABF3-EFAD790B10AE}"/>
    <cellStyle name="Normal 52" xfId="76" xr:uid="{00000000-0005-0000-0000-0000EF000000}"/>
    <cellStyle name="Normal 52 2" xfId="298" xr:uid="{00000000-0005-0000-0000-0000F0000000}"/>
    <cellStyle name="Normal 52 2 2" xfId="746" xr:uid="{498745E1-E82D-48FE-AFBB-5770FACB6929}"/>
    <cellStyle name="Normal 52 3" xfId="484" xr:uid="{00000000-0005-0000-0000-0000F1000000}"/>
    <cellStyle name="Normal 52 3 2" xfId="903" xr:uid="{529061E1-E350-483F-93B5-70C72C27B9EB}"/>
    <cellStyle name="Normal 52 4" xfId="572" xr:uid="{69315553-D226-42FF-A043-3D80E8D75B27}"/>
    <cellStyle name="Normal 53" xfId="384" xr:uid="{00000000-0005-0000-0000-0000F2000000}"/>
    <cellStyle name="Normal 53 2" xfId="828" xr:uid="{CE41AC74-0BC8-49F2-9480-A450FCDE9181}"/>
    <cellStyle name="Normal 54" xfId="77" xr:uid="{00000000-0005-0000-0000-0000F3000000}"/>
    <cellStyle name="Normal 54 2" xfId="299" xr:uid="{00000000-0005-0000-0000-0000F4000000}"/>
    <cellStyle name="Normal 54 2 2" xfId="747" xr:uid="{D12654DB-1244-4914-9080-35C091CA75D9}"/>
    <cellStyle name="Normal 54 3" xfId="485" xr:uid="{00000000-0005-0000-0000-0000F5000000}"/>
    <cellStyle name="Normal 54 3 2" xfId="904" xr:uid="{DE1AF8FF-1ECF-4752-8A5C-805C3FF4D189}"/>
    <cellStyle name="Normal 54 4" xfId="573" xr:uid="{93C9AA70-9D0E-4E51-859A-8CE8105EA9BA}"/>
    <cellStyle name="Normal 55" xfId="386" xr:uid="{00000000-0005-0000-0000-0000F6000000}"/>
    <cellStyle name="Normal 55 2" xfId="830" xr:uid="{4DBA683A-A348-4FDE-9DA8-BB58CD78026E}"/>
    <cellStyle name="Normal 56" xfId="78" xr:uid="{00000000-0005-0000-0000-0000F7000000}"/>
    <cellStyle name="Normal 56 2" xfId="300" xr:uid="{00000000-0005-0000-0000-0000F8000000}"/>
    <cellStyle name="Normal 56 2 2" xfId="748" xr:uid="{05FBC441-F9E7-4357-8B68-790C6239CD50}"/>
    <cellStyle name="Normal 56 3" xfId="486" xr:uid="{00000000-0005-0000-0000-0000F9000000}"/>
    <cellStyle name="Normal 56 3 2" xfId="905" xr:uid="{A4F055A9-1F66-44D6-9EB4-E281B38160DF}"/>
    <cellStyle name="Normal 56 4" xfId="574" xr:uid="{D9AB4A35-6446-4491-A50E-EF536C5B2492}"/>
    <cellStyle name="Normal 57" xfId="79" xr:uid="{00000000-0005-0000-0000-0000FA000000}"/>
    <cellStyle name="Normal 57 2" xfId="301" xr:uid="{00000000-0005-0000-0000-0000FB000000}"/>
    <cellStyle name="Normal 57 2 2" xfId="749" xr:uid="{3649BD74-BCE3-4C23-8337-6B9D07EA8C5D}"/>
    <cellStyle name="Normal 57 3" xfId="487" xr:uid="{00000000-0005-0000-0000-0000FC000000}"/>
    <cellStyle name="Normal 57 3 2" xfId="906" xr:uid="{57A70829-A30B-4C32-B26B-CE0EAA3BBD47}"/>
    <cellStyle name="Normal 57 4" xfId="575" xr:uid="{AEABF55E-4C96-4D15-9CB3-412BF16E94B9}"/>
    <cellStyle name="Normal 58" xfId="80" xr:uid="{00000000-0005-0000-0000-0000FD000000}"/>
    <cellStyle name="Normal 58 2" xfId="302" xr:uid="{00000000-0005-0000-0000-0000FE000000}"/>
    <cellStyle name="Normal 58 2 2" xfId="750" xr:uid="{D7B76E9F-2A93-4090-A386-0A6BC8DC82F4}"/>
    <cellStyle name="Normal 58 3" xfId="488" xr:uid="{00000000-0005-0000-0000-0000FF000000}"/>
    <cellStyle name="Normal 58 3 2" xfId="907" xr:uid="{7F60FDC3-B9D9-4161-8D7B-A1CB30445884}"/>
    <cellStyle name="Normal 58 4" xfId="576" xr:uid="{DD15988B-1CD1-46F5-BDE2-4CAB672C6032}"/>
    <cellStyle name="Normal 59" xfId="387" xr:uid="{00000000-0005-0000-0000-000000010000}"/>
    <cellStyle name="Normal 59 2" xfId="831" xr:uid="{8938EC1C-FE6C-47A1-9410-B4A3DD099EE3}"/>
    <cellStyle name="Normal 6" xfId="81" xr:uid="{00000000-0005-0000-0000-000001010000}"/>
    <cellStyle name="Normal 6 2" xfId="242" xr:uid="{00000000-0005-0000-0000-000002010000}"/>
    <cellStyle name="Normal 6 3" xfId="303" xr:uid="{00000000-0005-0000-0000-000003010000}"/>
    <cellStyle name="Normal 6 3 2" xfId="751" xr:uid="{DD47A932-1558-49BA-8BA4-90C75A689D5F}"/>
    <cellStyle name="Normal 6 4" xfId="489" xr:uid="{00000000-0005-0000-0000-000004010000}"/>
    <cellStyle name="Normal 6 4 2" xfId="908" xr:uid="{7A32C2F4-8323-49ED-8AD0-8C99E59D87B2}"/>
    <cellStyle name="Normal 6 5" xfId="577" xr:uid="{094BB68E-DE5A-4C04-B4EE-060532156EB9}"/>
    <cellStyle name="Normal 60" xfId="82" xr:uid="{00000000-0005-0000-0000-000005010000}"/>
    <cellStyle name="Normal 60 2" xfId="304" xr:uid="{00000000-0005-0000-0000-000006010000}"/>
    <cellStyle name="Normal 60 2 2" xfId="752" xr:uid="{2DCE1844-B1A2-43A5-833D-21DF243B0247}"/>
    <cellStyle name="Normal 60 3" xfId="490" xr:uid="{00000000-0005-0000-0000-000007010000}"/>
    <cellStyle name="Normal 60 3 2" xfId="909" xr:uid="{E7B6CA18-9C4F-4F78-91CB-E6E3C8E06D49}"/>
    <cellStyle name="Normal 60 4" xfId="578" xr:uid="{F80EFE81-D59D-4CFD-BC82-A043F018BDBC}"/>
    <cellStyle name="Normal 61" xfId="83" xr:uid="{00000000-0005-0000-0000-000008010000}"/>
    <cellStyle name="Normal 61 2" xfId="305" xr:uid="{00000000-0005-0000-0000-000009010000}"/>
    <cellStyle name="Normal 61 2 2" xfId="753" xr:uid="{58555A19-DB7C-4AE1-8E76-DD04BD2EF57B}"/>
    <cellStyle name="Normal 61 3" xfId="491" xr:uid="{00000000-0005-0000-0000-00000A010000}"/>
    <cellStyle name="Normal 61 3 2" xfId="910" xr:uid="{19F72986-A677-499F-BF8F-48CA50AA5C22}"/>
    <cellStyle name="Normal 61 4" xfId="579" xr:uid="{D373FDE7-5736-4D9D-AD14-883EC7293331}"/>
    <cellStyle name="Normal 62" xfId="84" xr:uid="{00000000-0005-0000-0000-00000B010000}"/>
    <cellStyle name="Normal 62 2" xfId="306" xr:uid="{00000000-0005-0000-0000-00000C010000}"/>
    <cellStyle name="Normal 62 2 2" xfId="754" xr:uid="{60FEFF48-6B38-4690-A5E0-F99F18E880C1}"/>
    <cellStyle name="Normal 62 3" xfId="492" xr:uid="{00000000-0005-0000-0000-00000D010000}"/>
    <cellStyle name="Normal 62 3 2" xfId="911" xr:uid="{B8E1A36D-2185-425B-918F-5647101B949F}"/>
    <cellStyle name="Normal 62 4" xfId="580" xr:uid="{C54F200D-DD2D-467B-BB0A-F723C5FF684D}"/>
    <cellStyle name="Normal 63" xfId="400" xr:uid="{00000000-0005-0000-0000-00000E010000}"/>
    <cellStyle name="Normal 63 2" xfId="412" xr:uid="{00000000-0005-0000-0000-00000F010000}"/>
    <cellStyle name="Normal 63 3" xfId="834" xr:uid="{ADA4D1D2-131F-4843-B245-EE2D27A4FB59}"/>
    <cellStyle name="Normal 64" xfId="85" xr:uid="{00000000-0005-0000-0000-000010010000}"/>
    <cellStyle name="Normal 64 2" xfId="307" xr:uid="{00000000-0005-0000-0000-000011010000}"/>
    <cellStyle name="Normal 64 2 2" xfId="755" xr:uid="{0A3C96C5-A11C-4182-814B-6458E273B308}"/>
    <cellStyle name="Normal 64 3" xfId="493" xr:uid="{00000000-0005-0000-0000-000012010000}"/>
    <cellStyle name="Normal 64 3 2" xfId="912" xr:uid="{D1396150-D440-46D2-AD3F-874E0CBC6E43}"/>
    <cellStyle name="Normal 64 4" xfId="581" xr:uid="{D4FAB056-2F83-49F8-921C-ED0E00C9A91B}"/>
    <cellStyle name="Normal 65" xfId="86" xr:uid="{00000000-0005-0000-0000-000013010000}"/>
    <cellStyle name="Normal 65 2" xfId="308" xr:uid="{00000000-0005-0000-0000-000014010000}"/>
    <cellStyle name="Normal 65 2 2" xfId="756" xr:uid="{BC48385F-BEE7-4DE8-A74C-0A5D8386825A}"/>
    <cellStyle name="Normal 65 3" xfId="494" xr:uid="{00000000-0005-0000-0000-000015010000}"/>
    <cellStyle name="Normal 65 3 2" xfId="913" xr:uid="{4B0FBA6F-653A-4196-BC6D-5B9F678CBE4A}"/>
    <cellStyle name="Normal 65 4" xfId="582" xr:uid="{BF34A497-D014-4410-8A77-DF67901401D5}"/>
    <cellStyle name="Normal 66" xfId="413" xr:uid="{00000000-0005-0000-0000-000016010000}"/>
    <cellStyle name="Normal 66 2" xfId="414" xr:uid="{00000000-0005-0000-0000-000017010000}"/>
    <cellStyle name="Normal 67" xfId="415" xr:uid="{00000000-0005-0000-0000-000018010000}"/>
    <cellStyle name="Normal 67 2" xfId="416" xr:uid="{00000000-0005-0000-0000-000019010000}"/>
    <cellStyle name="Normal 68" xfId="87" xr:uid="{00000000-0005-0000-0000-00001A010000}"/>
    <cellStyle name="Normal 68 2" xfId="309" xr:uid="{00000000-0005-0000-0000-00001B010000}"/>
    <cellStyle name="Normal 68 2 2" xfId="757" xr:uid="{49110B67-BBBC-444C-B322-1B209C86B1EB}"/>
    <cellStyle name="Normal 68 3" xfId="495" xr:uid="{00000000-0005-0000-0000-00001C010000}"/>
    <cellStyle name="Normal 68 3 2" xfId="914" xr:uid="{E17CE14D-D5C9-429C-98B4-BA3B947CF9B0}"/>
    <cellStyle name="Normal 68 4" xfId="583" xr:uid="{BE6B1701-3AE8-4ACF-9D2F-A41B21C8EB59}"/>
    <cellStyle name="Normal 69" xfId="88" xr:uid="{00000000-0005-0000-0000-00001D010000}"/>
    <cellStyle name="Normal 69 2" xfId="310" xr:uid="{00000000-0005-0000-0000-00001E010000}"/>
    <cellStyle name="Normal 69 2 2" xfId="758" xr:uid="{0572833D-8201-44F8-AB93-3A42337E18B8}"/>
    <cellStyle name="Normal 69 3" xfId="496" xr:uid="{00000000-0005-0000-0000-00001F010000}"/>
    <cellStyle name="Normal 69 3 2" xfId="915" xr:uid="{8C2DADE7-4B3F-46A4-976A-FEF75789877E}"/>
    <cellStyle name="Normal 69 4" xfId="584" xr:uid="{E4A0A389-3165-49CA-B509-8C74D5B752A3}"/>
    <cellStyle name="Normal 7" xfId="89" xr:uid="{00000000-0005-0000-0000-000020010000}"/>
    <cellStyle name="Normal 7 2" xfId="243" xr:uid="{00000000-0005-0000-0000-000021010000}"/>
    <cellStyle name="Normal 7 3" xfId="389" xr:uid="{00000000-0005-0000-0000-000022010000}"/>
    <cellStyle name="Normal 7 4" xfId="497" xr:uid="{00000000-0005-0000-0000-000023010000}"/>
    <cellStyle name="Normal 7 4 2" xfId="916" xr:uid="{29BEE805-AF9A-4B93-B7B0-49B708B3380A}"/>
    <cellStyle name="Normal 70" xfId="417" xr:uid="{00000000-0005-0000-0000-000024010000}"/>
    <cellStyle name="Normal 70 2" xfId="418" xr:uid="{00000000-0005-0000-0000-000025010000}"/>
    <cellStyle name="Normal 71" xfId="90" xr:uid="{00000000-0005-0000-0000-000026010000}"/>
    <cellStyle name="Normal 71 2" xfId="311" xr:uid="{00000000-0005-0000-0000-000027010000}"/>
    <cellStyle name="Normal 71 2 2" xfId="759" xr:uid="{BDD7C447-1AE5-44BE-9D22-8270C2976E7C}"/>
    <cellStyle name="Normal 71 3" xfId="498" xr:uid="{00000000-0005-0000-0000-000028010000}"/>
    <cellStyle name="Normal 71 3 2" xfId="917" xr:uid="{62F47FC1-4D92-4436-8BFB-FAF27CF09B1F}"/>
    <cellStyle name="Normal 71 4" xfId="585" xr:uid="{1CACF0ED-9CE1-418D-8867-00A6FBC7F67A}"/>
    <cellStyle name="Normal 72" xfId="91" xr:uid="{00000000-0005-0000-0000-000029010000}"/>
    <cellStyle name="Normal 72 2" xfId="312" xr:uid="{00000000-0005-0000-0000-00002A010000}"/>
    <cellStyle name="Normal 72 2 2" xfId="760" xr:uid="{C65E8154-B497-4247-A91C-086EA4AF602C}"/>
    <cellStyle name="Normal 72 3" xfId="499" xr:uid="{00000000-0005-0000-0000-00002B010000}"/>
    <cellStyle name="Normal 72 3 2" xfId="918" xr:uid="{B180CD2D-3D38-480A-A8E3-1496E1FB226B}"/>
    <cellStyle name="Normal 72 4" xfId="586" xr:uid="{D4EE506E-8235-4D3C-BA2C-4288E32B8204}"/>
    <cellStyle name="Normal 73" xfId="420" xr:uid="{00000000-0005-0000-0000-00002C010000}"/>
    <cellStyle name="Normal 73 2" xfId="842" xr:uid="{20625527-2B2A-4CBD-824F-5BC2A97D0EC3}"/>
    <cellStyle name="Normal 74" xfId="423" xr:uid="{00000000-0005-0000-0000-00002D010000}"/>
    <cellStyle name="Normal 74 2" xfId="843" xr:uid="{46F20D08-0944-44A8-B980-802011838DF9}"/>
    <cellStyle name="Normal 75" xfId="427" xr:uid="{00000000-0005-0000-0000-00002E010000}"/>
    <cellStyle name="Normal 75 2" xfId="846" xr:uid="{0C20576F-DA40-4E58-ABCA-4BF07FCADC6E}"/>
    <cellStyle name="Normal 76" xfId="92" xr:uid="{00000000-0005-0000-0000-00002F010000}"/>
    <cellStyle name="Normal 76 2" xfId="313" xr:uid="{00000000-0005-0000-0000-000030010000}"/>
    <cellStyle name="Normal 76 2 2" xfId="761" xr:uid="{45B45611-480E-41CA-8601-6DA44BFD2CB6}"/>
    <cellStyle name="Normal 76 3" xfId="500" xr:uid="{00000000-0005-0000-0000-000031010000}"/>
    <cellStyle name="Normal 76 3 2" xfId="919" xr:uid="{A9FB05C2-457C-4A5B-BDFB-D00EA79A4F18}"/>
    <cellStyle name="Normal 76 4" xfId="587" xr:uid="{17B02577-51F0-49D3-892D-ADCD56817A7D}"/>
    <cellStyle name="Normal 77" xfId="513" xr:uid="{00000000-0005-0000-0000-000032010000}"/>
    <cellStyle name="Normal 77 2" xfId="932" xr:uid="{533E5A66-3E45-42B7-BE92-00B8BB86288A}"/>
    <cellStyle name="Normal 79 2 3" xfId="933" xr:uid="{23CB430C-2B41-438B-B673-57E7028AA5B5}"/>
    <cellStyle name="Normal 8" xfId="93" xr:uid="{00000000-0005-0000-0000-000033010000}"/>
    <cellStyle name="Normal 8 2" xfId="244" xr:uid="{00000000-0005-0000-0000-000034010000}"/>
    <cellStyle name="Normal 8 3" xfId="314" xr:uid="{00000000-0005-0000-0000-000035010000}"/>
    <cellStyle name="Normal 8 3 2" xfId="762" xr:uid="{C0D7FB2C-A90A-4EA8-A1D6-F2EECD22E3E3}"/>
    <cellStyle name="Normal 8 4" xfId="501" xr:uid="{00000000-0005-0000-0000-000036010000}"/>
    <cellStyle name="Normal 8 4 2" xfId="920" xr:uid="{5987A7DC-DE7F-4A35-9C5F-5B9D04FDD807}"/>
    <cellStyle name="Normal 8 5" xfId="588" xr:uid="{D64B4E13-D534-4AA7-9C2F-F01A40E93C6D}"/>
    <cellStyle name="Normal 80" xfId="94" xr:uid="{00000000-0005-0000-0000-000037010000}"/>
    <cellStyle name="Normal 80 2" xfId="315" xr:uid="{00000000-0005-0000-0000-000038010000}"/>
    <cellStyle name="Normal 80 2 2" xfId="763" xr:uid="{A3B4E341-1C6E-4F5B-AAB4-24BB7E2BAC4E}"/>
    <cellStyle name="Normal 80 3" xfId="502" xr:uid="{00000000-0005-0000-0000-000039010000}"/>
    <cellStyle name="Normal 80 3 2" xfId="921" xr:uid="{5C75BB15-E724-4CCD-8CDE-FBE030B645AA}"/>
    <cellStyle name="Normal 80 4" xfId="589" xr:uid="{268D6E39-485B-4F64-9DB5-D0BE4FEF4305}"/>
    <cellStyle name="Normal 81" xfId="95" xr:uid="{00000000-0005-0000-0000-00003A010000}"/>
    <cellStyle name="Normal 81 2" xfId="316" xr:uid="{00000000-0005-0000-0000-00003B010000}"/>
    <cellStyle name="Normal 81 2 2" xfId="764" xr:uid="{EB8C180F-12FF-45C8-B4F9-2C95FC29F89F}"/>
    <cellStyle name="Normal 81 3" xfId="503" xr:uid="{00000000-0005-0000-0000-00003C010000}"/>
    <cellStyle name="Normal 81 3 2" xfId="922" xr:uid="{0D468E2E-07F2-4B2D-9EEE-7C3A138927C7}"/>
    <cellStyle name="Normal 81 4" xfId="590" xr:uid="{D86BF841-B4FE-4B7B-A674-29E490B97009}"/>
    <cellStyle name="Normal 82" xfId="96" xr:uid="{00000000-0005-0000-0000-00003D010000}"/>
    <cellStyle name="Normal 82 2" xfId="317" xr:uid="{00000000-0005-0000-0000-00003E010000}"/>
    <cellStyle name="Normal 82 2 2" xfId="765" xr:uid="{67940943-3BD0-4930-8DA7-C4376078ED7F}"/>
    <cellStyle name="Normal 82 3" xfId="504" xr:uid="{00000000-0005-0000-0000-00003F010000}"/>
    <cellStyle name="Normal 82 3 2" xfId="923" xr:uid="{1E5C8F25-5189-480F-A4A7-AB2397B878FC}"/>
    <cellStyle name="Normal 82 4" xfId="591" xr:uid="{243D7D22-E035-44E2-B3CF-A6F430A9F7D7}"/>
    <cellStyle name="Normal 84" xfId="97" xr:uid="{00000000-0005-0000-0000-000040010000}"/>
    <cellStyle name="Normal 84 2" xfId="318" xr:uid="{00000000-0005-0000-0000-000041010000}"/>
    <cellStyle name="Normal 84 2 2" xfId="766" xr:uid="{9811E3EE-0B26-4035-9C60-B6541E66296F}"/>
    <cellStyle name="Normal 84 3" xfId="505" xr:uid="{00000000-0005-0000-0000-000042010000}"/>
    <cellStyle name="Normal 84 3 2" xfId="924" xr:uid="{06950676-1005-4198-8C7D-600D6B1BC371}"/>
    <cellStyle name="Normal 84 4" xfId="592" xr:uid="{B4CEBA1E-D30B-4304-B78A-BC9DB0C31C7E}"/>
    <cellStyle name="Normal 85" xfId="98" xr:uid="{00000000-0005-0000-0000-000043010000}"/>
    <cellStyle name="Normal 85 2" xfId="319" xr:uid="{00000000-0005-0000-0000-000044010000}"/>
    <cellStyle name="Normal 85 2 2" xfId="767" xr:uid="{5719CBCB-2F9F-4C62-BE3E-F897496D5BF3}"/>
    <cellStyle name="Normal 85 3" xfId="506" xr:uid="{00000000-0005-0000-0000-000045010000}"/>
    <cellStyle name="Normal 85 3 2" xfId="925" xr:uid="{6228B5A7-8E42-44FA-9F18-6CF248BE356B}"/>
    <cellStyle name="Normal 85 4" xfId="593" xr:uid="{196C7C1D-8B8A-4CC4-B686-20ED1DD83392}"/>
    <cellStyle name="Normal 86" xfId="99" xr:uid="{00000000-0005-0000-0000-000046010000}"/>
    <cellStyle name="Normal 86 2" xfId="320" xr:uid="{00000000-0005-0000-0000-000047010000}"/>
    <cellStyle name="Normal 86 2 2" xfId="768" xr:uid="{54D2564B-C788-46C0-9787-E18913A28D98}"/>
    <cellStyle name="Normal 86 3" xfId="507" xr:uid="{00000000-0005-0000-0000-000048010000}"/>
    <cellStyle name="Normal 86 3 2" xfId="926" xr:uid="{FFC296D1-01D3-4AFC-B2CA-F505BA3FD9BE}"/>
    <cellStyle name="Normal 86 4" xfId="594" xr:uid="{E2376265-7579-492A-93F8-0FC4400BC0B8}"/>
    <cellStyle name="Normal 9" xfId="144" xr:uid="{00000000-0005-0000-0000-000049010000}"/>
    <cellStyle name="Normal 90" xfId="100" xr:uid="{00000000-0005-0000-0000-00004A010000}"/>
    <cellStyle name="Normal 90 2" xfId="321" xr:uid="{00000000-0005-0000-0000-00004B010000}"/>
    <cellStyle name="Normal 90 2 2" xfId="769" xr:uid="{3AD4B96E-5289-461D-826C-4CE2F17C9873}"/>
    <cellStyle name="Normal 90 3" xfId="508" xr:uid="{00000000-0005-0000-0000-00004C010000}"/>
    <cellStyle name="Normal 90 3 2" xfId="927" xr:uid="{DED819C5-8392-4546-8FB9-EAFBA203A371}"/>
    <cellStyle name="Normal 90 4" xfId="595" xr:uid="{374D4097-BEAC-4ADC-8AFE-339FE44F3BB8}"/>
    <cellStyle name="Normal 92" xfId="101" xr:uid="{00000000-0005-0000-0000-00004D010000}"/>
    <cellStyle name="Normal 92 2" xfId="322" xr:uid="{00000000-0005-0000-0000-00004E010000}"/>
    <cellStyle name="Normal 92 2 2" xfId="770" xr:uid="{7C72770E-10A6-4665-A855-3328924871C6}"/>
    <cellStyle name="Normal 92 3" xfId="509" xr:uid="{00000000-0005-0000-0000-00004F010000}"/>
    <cellStyle name="Normal 92 3 2" xfId="928" xr:uid="{6670110A-C3D6-4FBD-9CD2-680EE48979BB}"/>
    <cellStyle name="Normal 92 4" xfId="596" xr:uid="{9FD6A2EB-5389-4FE8-8D37-E4E638D802CD}"/>
    <cellStyle name="Normal 94" xfId="102" xr:uid="{00000000-0005-0000-0000-000050010000}"/>
    <cellStyle name="Normal 94 2" xfId="323" xr:uid="{00000000-0005-0000-0000-000051010000}"/>
    <cellStyle name="Normal 94 2 2" xfId="771" xr:uid="{48133DAB-48A9-45D2-AA3E-81E35E2CA205}"/>
    <cellStyle name="Normal 94 3" xfId="510" xr:uid="{00000000-0005-0000-0000-000052010000}"/>
    <cellStyle name="Normal 94 3 2" xfId="929" xr:uid="{B6E2B87A-A1C7-42A8-A43A-A19ECE4B7F27}"/>
    <cellStyle name="Normal 94 4" xfId="597" xr:uid="{D39B7DE3-EB5D-489F-A4B9-35D54B717B92}"/>
    <cellStyle name="Normal 97" xfId="103" xr:uid="{00000000-0005-0000-0000-000053010000}"/>
    <cellStyle name="Normal 97 2" xfId="324" xr:uid="{00000000-0005-0000-0000-000054010000}"/>
    <cellStyle name="Normal 97 2 2" xfId="772" xr:uid="{E2A61ED9-BD33-462B-9366-E10F4B7C9D1D}"/>
    <cellStyle name="Normal 97 3" xfId="511" xr:uid="{00000000-0005-0000-0000-000055010000}"/>
    <cellStyle name="Normal 97 3 2" xfId="930" xr:uid="{37124780-C5AE-4946-BFD3-1ABB571951E2}"/>
    <cellStyle name="Normal 97 4" xfId="598" xr:uid="{E5D00F12-B148-448F-B110-FE914D22397F}"/>
    <cellStyle name="Normal 98" xfId="104" xr:uid="{00000000-0005-0000-0000-000056010000}"/>
    <cellStyle name="Normal 98 2" xfId="325" xr:uid="{00000000-0005-0000-0000-000057010000}"/>
    <cellStyle name="Normal 98 2 2" xfId="773" xr:uid="{F8B0327D-1A14-4CD9-851F-9304D26D76E3}"/>
    <cellStyle name="Normal 98 3" xfId="512" xr:uid="{00000000-0005-0000-0000-000058010000}"/>
    <cellStyle name="Normal 98 3 2" xfId="931" xr:uid="{2E96B6A0-B891-4F76-AD17-D9389FF634A5}"/>
    <cellStyle name="Normal 98 4" xfId="599" xr:uid="{39F1F2BB-908D-41FA-89FF-EEDBF509FF11}"/>
    <cellStyle name="Normal_21 Exh B" xfId="399" xr:uid="{00000000-0005-0000-0000-000059010000}"/>
    <cellStyle name="Normal_Attachment GG Example 8 26 09" xfId="396" xr:uid="{00000000-0005-0000-0000-00005A010000}"/>
    <cellStyle name="Normal_Attachment GG Template ER11-28 11-18-10" xfId="393" xr:uid="{00000000-0005-0000-0000-00005B010000}"/>
    <cellStyle name="Normal_Attachment O Support - 2004 True-up" xfId="398" xr:uid="{00000000-0005-0000-0000-00005C010000}"/>
    <cellStyle name="Normal_Attachment Os for 2002 True-up" xfId="394" xr:uid="{00000000-0005-0000-0000-00005D010000}"/>
    <cellStyle name="Normal_statem~1" xfId="5" xr:uid="{00000000-0005-0000-0000-00005E010000}"/>
    <cellStyle name="Normal_statem~4" xfId="6" xr:uid="{00000000-0005-0000-0000-00005F010000}"/>
    <cellStyle name="Number" xfId="422" xr:uid="{00000000-0005-0000-0000-000060010000}"/>
    <cellStyle name="Percent" xfId="148" builtinId="5"/>
    <cellStyle name="Percent 2" xfId="7" xr:uid="{00000000-0005-0000-0000-000062010000}"/>
    <cellStyle name="Percent 2 2" xfId="159" xr:uid="{00000000-0005-0000-0000-000063010000}"/>
    <cellStyle name="Percent 2 3" xfId="392" xr:uid="{00000000-0005-0000-0000-000064010000}"/>
    <cellStyle name="Percent 3" xfId="105" xr:uid="{00000000-0005-0000-0000-000065010000}"/>
    <cellStyle name="Percent 4" xfId="146" xr:uid="{00000000-0005-0000-0000-000066010000}"/>
    <cellStyle name="Percent 5" xfId="150" xr:uid="{00000000-0005-0000-0000-000067010000}"/>
    <cellStyle name="Percent 5 2" xfId="359" xr:uid="{00000000-0005-0000-0000-000068010000}"/>
    <cellStyle name="Percent 5 2 2" xfId="807" xr:uid="{7DE8819F-6EDF-4355-999B-F48D92B612F7}"/>
    <cellStyle name="Percent 5 3" xfId="637" xr:uid="{2045B4CE-B016-41E6-B7B4-A553DCA97F6C}"/>
    <cellStyle name="Percent 6" xfId="153" xr:uid="{00000000-0005-0000-0000-000069010000}"/>
    <cellStyle name="Percent 6 2" xfId="362" xr:uid="{00000000-0005-0000-0000-00006A010000}"/>
    <cellStyle name="Percent 6 2 2" xfId="810" xr:uid="{DBCEAB2E-F82C-486F-8408-DBF483E30C47}"/>
    <cellStyle name="Percent 6 3" xfId="640" xr:uid="{7876A5FF-45A6-4203-8E29-E9937BF5EC16}"/>
    <cellStyle name="Percent 7" xfId="419" xr:uid="{00000000-0005-0000-0000-00006B010000}"/>
    <cellStyle name="SAPBEXaggData" xfId="106" xr:uid="{00000000-0005-0000-0000-00006C010000}"/>
    <cellStyle name="SAPBEXaggData 2" xfId="199" xr:uid="{00000000-0005-0000-0000-00006D010000}"/>
    <cellStyle name="SAPBEXaggData 2 2" xfId="659" xr:uid="{E8BD40A4-1C6F-46D9-B28B-8B8B0B1D58FA}"/>
    <cellStyle name="SAPBEXaggData 3" xfId="326" xr:uid="{00000000-0005-0000-0000-00006E010000}"/>
    <cellStyle name="SAPBEXaggData 3 2" xfId="774" xr:uid="{833FD2BE-79AA-4967-AAD6-33E2D196B476}"/>
    <cellStyle name="SAPBEXaggData 4" xfId="406" xr:uid="{00000000-0005-0000-0000-00006F010000}"/>
    <cellStyle name="SAPBEXaggData 4 2" xfId="840" xr:uid="{C18B7442-2903-4B3F-A817-DF7CD254EFA4}"/>
    <cellStyle name="SAPBEXaggData 5" xfId="600" xr:uid="{01ACE026-5C1F-4435-8F08-6FE74E9D3AF7}"/>
    <cellStyle name="SAPBEXaggDataEmph" xfId="107" xr:uid="{00000000-0005-0000-0000-000070010000}"/>
    <cellStyle name="SAPBEXaggDataEmph 2" xfId="200" xr:uid="{00000000-0005-0000-0000-000071010000}"/>
    <cellStyle name="SAPBEXaggDataEmph 2 2" xfId="660" xr:uid="{ED339A42-0AA5-4398-95BC-1425F6C7454F}"/>
    <cellStyle name="SAPBEXaggDataEmph 3" xfId="327" xr:uid="{00000000-0005-0000-0000-000072010000}"/>
    <cellStyle name="SAPBEXaggDataEmph 3 2" xfId="775" xr:uid="{82BAFCC0-E2A3-4C11-9BDD-B73EBD62284E}"/>
    <cellStyle name="SAPBEXaggDataEmph 4" xfId="601" xr:uid="{98868AE8-DD2D-4D67-A0C7-B5F4B2E5E50C}"/>
    <cellStyle name="SAPBEXaggItem" xfId="108" xr:uid="{00000000-0005-0000-0000-000073010000}"/>
    <cellStyle name="SAPBEXaggItem 2" xfId="201" xr:uid="{00000000-0005-0000-0000-000074010000}"/>
    <cellStyle name="SAPBEXaggItem 2 2" xfId="661" xr:uid="{6D90F44C-65ED-475B-8FA6-912E2C0FA57D}"/>
    <cellStyle name="SAPBEXaggItem 3" xfId="328" xr:uid="{00000000-0005-0000-0000-000075010000}"/>
    <cellStyle name="SAPBEXaggItem 3 2" xfId="776" xr:uid="{EA0A2289-253C-4AE6-B98C-421B57A31A8B}"/>
    <cellStyle name="SAPBEXaggItem 4" xfId="409" xr:uid="{00000000-0005-0000-0000-000076010000}"/>
    <cellStyle name="SAPBEXaggItem 4 2" xfId="841" xr:uid="{0AF60C36-3F32-45D2-968E-EF63646F238C}"/>
    <cellStyle name="SAPBEXaggItem 5" xfId="602" xr:uid="{06F876CF-A7F4-4ECA-84C2-CB55CB3D5423}"/>
    <cellStyle name="SAPBEXaggItemX" xfId="109" xr:uid="{00000000-0005-0000-0000-000077010000}"/>
    <cellStyle name="SAPBEXaggItemX 2" xfId="202" xr:uid="{00000000-0005-0000-0000-000078010000}"/>
    <cellStyle name="SAPBEXaggItemX 2 2" xfId="662" xr:uid="{ED9CD09B-7BF1-4991-8932-F16CEB1D1AA7}"/>
    <cellStyle name="SAPBEXaggItemX 3" xfId="234" xr:uid="{00000000-0005-0000-0000-000079010000}"/>
    <cellStyle name="SAPBEXaggItemX 3 2" xfId="691" xr:uid="{0E4ADB86-C074-4121-BABF-4A5835E93A23}"/>
    <cellStyle name="SAPBEXaggItemX 4" xfId="403" xr:uid="{00000000-0005-0000-0000-00007A010000}"/>
    <cellStyle name="SAPBEXaggItemX 4 2" xfId="837" xr:uid="{669BC576-BEF2-4DA3-B450-C274A995135E}"/>
    <cellStyle name="SAPBEXaggItemX 5" xfId="603" xr:uid="{FF33B918-A15D-42FD-B799-2D0F44A9B541}"/>
    <cellStyle name="SAPBEXchaText" xfId="110" xr:uid="{00000000-0005-0000-0000-00007B010000}"/>
    <cellStyle name="SAPBEXchaText 2" xfId="165" xr:uid="{00000000-0005-0000-0000-00007C010000}"/>
    <cellStyle name="SAPBEXchaText 2 2" xfId="236" xr:uid="{00000000-0005-0000-0000-00007D010000}"/>
    <cellStyle name="SAPBEXchaText 2 2 2" xfId="693" xr:uid="{FE88880A-70DF-41E2-B374-6C5516C4626B}"/>
    <cellStyle name="SAPBEXchaText 2 3" xfId="644" xr:uid="{0FB9EACF-B352-4812-8D54-0A7463DB8701}"/>
    <cellStyle name="SAPBEXchaText 3" xfId="203" xr:uid="{00000000-0005-0000-0000-00007E010000}"/>
    <cellStyle name="SAPBEXchaText 4" xfId="401" xr:uid="{00000000-0005-0000-0000-00007F010000}"/>
    <cellStyle name="SAPBEXchaText 4 2" xfId="835" xr:uid="{E03EC7F3-597A-46ED-A447-96B6397C4828}"/>
    <cellStyle name="SAPBEXchaText 5" xfId="604" xr:uid="{ADD83058-1312-4EB0-9FB8-7863B90664A6}"/>
    <cellStyle name="SAPBEXchaText_10-28-10" xfId="166" xr:uid="{00000000-0005-0000-0000-000080010000}"/>
    <cellStyle name="SAPBEXexcBad7" xfId="111" xr:uid="{00000000-0005-0000-0000-000081010000}"/>
    <cellStyle name="SAPBEXexcBad7 2" xfId="204" xr:uid="{00000000-0005-0000-0000-000082010000}"/>
    <cellStyle name="SAPBEXexcBad7 2 2" xfId="663" xr:uid="{B5AC3B49-50E0-4E43-9450-BBF2F8666683}"/>
    <cellStyle name="SAPBEXexcBad7 3" xfId="329" xr:uid="{00000000-0005-0000-0000-000083010000}"/>
    <cellStyle name="SAPBEXexcBad7 3 2" xfId="777" xr:uid="{44BA76FC-17C7-4FA1-B2CC-B95D9CC18F48}"/>
    <cellStyle name="SAPBEXexcBad7 4" xfId="605" xr:uid="{19017A6E-20D4-4DB7-8092-5256A6837063}"/>
    <cellStyle name="SAPBEXexcBad8" xfId="112" xr:uid="{00000000-0005-0000-0000-000084010000}"/>
    <cellStyle name="SAPBEXexcBad8 2" xfId="205" xr:uid="{00000000-0005-0000-0000-000085010000}"/>
    <cellStyle name="SAPBEXexcBad8 2 2" xfId="664" xr:uid="{2071264E-CB13-41A6-99E7-B978FE12ED99}"/>
    <cellStyle name="SAPBEXexcBad8 3" xfId="330" xr:uid="{00000000-0005-0000-0000-000086010000}"/>
    <cellStyle name="SAPBEXexcBad8 3 2" xfId="778" xr:uid="{0CE96320-D321-4EE8-B410-04F9E71F64F0}"/>
    <cellStyle name="SAPBEXexcBad8 4" xfId="606" xr:uid="{21543AC1-B4BA-4986-B045-812B38722FDD}"/>
    <cellStyle name="SAPBEXexcBad9" xfId="113" xr:uid="{00000000-0005-0000-0000-000087010000}"/>
    <cellStyle name="SAPBEXexcBad9 2" xfId="206" xr:uid="{00000000-0005-0000-0000-000088010000}"/>
    <cellStyle name="SAPBEXexcBad9 2 2" xfId="665" xr:uid="{A26A34A0-B4FA-4493-B4EC-369A2332B014}"/>
    <cellStyle name="SAPBEXexcBad9 3" xfId="331" xr:uid="{00000000-0005-0000-0000-000089010000}"/>
    <cellStyle name="SAPBEXexcBad9 3 2" xfId="779" xr:uid="{687CECEC-CBD3-4D02-B90B-CC50CAA95F5C}"/>
    <cellStyle name="SAPBEXexcBad9 4" xfId="607" xr:uid="{B6EE7806-AEAB-47B8-8138-BA5ED2FA6A07}"/>
    <cellStyle name="SAPBEXexcCritical4" xfId="114" xr:uid="{00000000-0005-0000-0000-00008A010000}"/>
    <cellStyle name="SAPBEXexcCritical4 2" xfId="207" xr:uid="{00000000-0005-0000-0000-00008B010000}"/>
    <cellStyle name="SAPBEXexcCritical4 2 2" xfId="666" xr:uid="{5A8B601D-743C-4F9C-9130-4D10FAE808C8}"/>
    <cellStyle name="SAPBEXexcCritical4 3" xfId="332" xr:uid="{00000000-0005-0000-0000-00008C010000}"/>
    <cellStyle name="SAPBEXexcCritical4 3 2" xfId="780" xr:uid="{754B549B-6FCF-4D49-9B58-529B519F9D2C}"/>
    <cellStyle name="SAPBEXexcCritical4 4" xfId="608" xr:uid="{BA6C5402-BDC1-43D3-86CB-E8AD7AA99C41}"/>
    <cellStyle name="SAPBEXexcCritical5" xfId="115" xr:uid="{00000000-0005-0000-0000-00008D010000}"/>
    <cellStyle name="SAPBEXexcCritical5 2" xfId="208" xr:uid="{00000000-0005-0000-0000-00008E010000}"/>
    <cellStyle name="SAPBEXexcCritical5 2 2" xfId="667" xr:uid="{BEE7840A-7275-4B20-83E9-724E0479BB9D}"/>
    <cellStyle name="SAPBEXexcCritical5 3" xfId="333" xr:uid="{00000000-0005-0000-0000-00008F010000}"/>
    <cellStyle name="SAPBEXexcCritical5 3 2" xfId="781" xr:uid="{6C5A7BBC-05D3-4B21-B3FE-EC83501FEA5C}"/>
    <cellStyle name="SAPBEXexcCritical5 4" xfId="609" xr:uid="{64F59ABD-C748-4CBE-B5B8-DA3060A05CF9}"/>
    <cellStyle name="SAPBEXexcCritical6" xfId="116" xr:uid="{00000000-0005-0000-0000-000090010000}"/>
    <cellStyle name="SAPBEXexcCritical6 2" xfId="209" xr:uid="{00000000-0005-0000-0000-000091010000}"/>
    <cellStyle name="SAPBEXexcCritical6 2 2" xfId="668" xr:uid="{558925FB-3532-4ADB-A572-371A0A244398}"/>
    <cellStyle name="SAPBEXexcCritical6 3" xfId="334" xr:uid="{00000000-0005-0000-0000-000092010000}"/>
    <cellStyle name="SAPBEXexcCritical6 3 2" xfId="782" xr:uid="{7B3B2566-9F76-4105-9604-ED621E3CEBE1}"/>
    <cellStyle name="SAPBEXexcCritical6 4" xfId="610" xr:uid="{91B9261B-524E-477E-B066-94DE2A011C06}"/>
    <cellStyle name="SAPBEXexcGood1" xfId="117" xr:uid="{00000000-0005-0000-0000-000093010000}"/>
    <cellStyle name="SAPBEXexcGood1 2" xfId="210" xr:uid="{00000000-0005-0000-0000-000094010000}"/>
    <cellStyle name="SAPBEXexcGood1 2 2" xfId="669" xr:uid="{A211570D-6877-4E6C-86DF-9A4782417B9E}"/>
    <cellStyle name="SAPBEXexcGood1 3" xfId="335" xr:uid="{00000000-0005-0000-0000-000095010000}"/>
    <cellStyle name="SAPBEXexcGood1 3 2" xfId="783" xr:uid="{B21466F1-9E88-4FD4-B6A5-2721D7F2555C}"/>
    <cellStyle name="SAPBEXexcGood1 4" xfId="611" xr:uid="{95A3343A-7439-49C5-ABFA-35616C97CE3E}"/>
    <cellStyle name="SAPBEXexcGood2" xfId="118" xr:uid="{00000000-0005-0000-0000-000096010000}"/>
    <cellStyle name="SAPBEXexcGood2 2" xfId="211" xr:uid="{00000000-0005-0000-0000-000097010000}"/>
    <cellStyle name="SAPBEXexcGood2 2 2" xfId="670" xr:uid="{5BBF2F75-3F32-4A1B-8763-F05993F7A947}"/>
    <cellStyle name="SAPBEXexcGood2 3" xfId="336" xr:uid="{00000000-0005-0000-0000-000098010000}"/>
    <cellStyle name="SAPBEXexcGood2 3 2" xfId="784" xr:uid="{D6C73E4A-1A1E-43BE-8520-1C763D9DA1CB}"/>
    <cellStyle name="SAPBEXexcGood2 4" xfId="612" xr:uid="{04352ED1-906C-47BC-946D-6577F1365AC2}"/>
    <cellStyle name="SAPBEXexcGood3" xfId="119" xr:uid="{00000000-0005-0000-0000-000099010000}"/>
    <cellStyle name="SAPBEXexcGood3 2" xfId="212" xr:uid="{00000000-0005-0000-0000-00009A010000}"/>
    <cellStyle name="SAPBEXexcGood3 2 2" xfId="671" xr:uid="{E3712A70-0357-406E-800D-296E49BA15C6}"/>
    <cellStyle name="SAPBEXexcGood3 3" xfId="337" xr:uid="{00000000-0005-0000-0000-00009B010000}"/>
    <cellStyle name="SAPBEXexcGood3 3 2" xfId="785" xr:uid="{18C6EF87-6F4F-4047-91FC-4B02A8981932}"/>
    <cellStyle name="SAPBEXexcGood3 4" xfId="613" xr:uid="{391019C1-44D2-4875-97B4-6A428360DFEF}"/>
    <cellStyle name="SAPBEXfilterDrill" xfId="120" xr:uid="{00000000-0005-0000-0000-00009C010000}"/>
    <cellStyle name="SAPBEXfilterDrill 2" xfId="213" xr:uid="{00000000-0005-0000-0000-00009D010000}"/>
    <cellStyle name="SAPBEXfilterDrill 3" xfId="338" xr:uid="{00000000-0005-0000-0000-00009E010000}"/>
    <cellStyle name="SAPBEXfilterDrill 3 2" xfId="786" xr:uid="{22F88E46-3BEB-4408-945B-2E8A032D3731}"/>
    <cellStyle name="SAPBEXfilterDrill 4" xfId="614" xr:uid="{E5921B74-C465-4F12-B7DF-AE487E199CF6}"/>
    <cellStyle name="SAPBEXfilterItem" xfId="121" xr:uid="{00000000-0005-0000-0000-00009F010000}"/>
    <cellStyle name="SAPBEXfilterItem 2" xfId="214" xr:uid="{00000000-0005-0000-0000-0000A0010000}"/>
    <cellStyle name="SAPBEXfilterItem 3" xfId="615" xr:uid="{8639847D-76F9-4A31-AC2F-EEB011DF4837}"/>
    <cellStyle name="SAPBEXfilterText" xfId="122" xr:uid="{00000000-0005-0000-0000-0000A1010000}"/>
    <cellStyle name="SAPBEXfilterText 2" xfId="167" xr:uid="{00000000-0005-0000-0000-0000A2010000}"/>
    <cellStyle name="SAPBEXformats" xfId="123" xr:uid="{00000000-0005-0000-0000-0000A3010000}"/>
    <cellStyle name="SAPBEXformats 2" xfId="168" xr:uid="{00000000-0005-0000-0000-0000A4010000}"/>
    <cellStyle name="SAPBEXformats 2 2" xfId="367" xr:uid="{00000000-0005-0000-0000-0000A5010000}"/>
    <cellStyle name="SAPBEXformats 2 2 2" xfId="813" xr:uid="{90068776-BA62-4694-93BC-155AF63C6CEB}"/>
    <cellStyle name="SAPBEXformats 2 3" xfId="645" xr:uid="{A79DAF53-4A5A-42F9-9442-608BE3910E62}"/>
    <cellStyle name="SAPBEXformats 3" xfId="215" xr:uid="{00000000-0005-0000-0000-0000A6010000}"/>
    <cellStyle name="SAPBEXformats 3 2" xfId="672" xr:uid="{11836F9F-0EA5-424A-8D4E-5A9CDCF82A75}"/>
    <cellStyle name="SAPBEXformats 4" xfId="339" xr:uid="{00000000-0005-0000-0000-0000A7010000}"/>
    <cellStyle name="SAPBEXformats 4 2" xfId="787" xr:uid="{C49C91FB-FCC4-400C-9CB4-536D0078EAE5}"/>
    <cellStyle name="SAPBEXformats 5" xfId="616" xr:uid="{CE30AA24-0A94-471D-B6BC-BCA7EA293F80}"/>
    <cellStyle name="SAPBEXformats_10-28-10" xfId="169" xr:uid="{00000000-0005-0000-0000-0000A8010000}"/>
    <cellStyle name="SAPBEXheaderItem" xfId="124" xr:uid="{00000000-0005-0000-0000-0000A9010000}"/>
    <cellStyle name="SAPBEXheaderItem 2" xfId="170" xr:uid="{00000000-0005-0000-0000-0000AA010000}"/>
    <cellStyle name="SAPBEXheaderItem 2 2" xfId="368" xr:uid="{00000000-0005-0000-0000-0000AB010000}"/>
    <cellStyle name="SAPBEXheaderItem 2 2 2" xfId="814" xr:uid="{FD8CACFC-4203-4347-9F03-2CA225F2427C}"/>
    <cellStyle name="SAPBEXheaderItem 2 3" xfId="646" xr:uid="{0329B680-F1D6-48B3-8063-8BEFE603D8D1}"/>
    <cellStyle name="SAPBEXheaderItem 3" xfId="340" xr:uid="{00000000-0005-0000-0000-0000AC010000}"/>
    <cellStyle name="SAPBEXheaderItem 3 2" xfId="788" xr:uid="{6123ECF6-20E6-46DE-A356-8DA9783CADE5}"/>
    <cellStyle name="SAPBEXheaderItem 4" xfId="617" xr:uid="{1F07F54A-B06B-49FF-8549-82332643519F}"/>
    <cellStyle name="SAPBEXheaderText" xfId="125" xr:uid="{00000000-0005-0000-0000-0000AD010000}"/>
    <cellStyle name="SAPBEXheaderText 2" xfId="171" xr:uid="{00000000-0005-0000-0000-0000AE010000}"/>
    <cellStyle name="SAPBEXheaderText 2 2" xfId="369" xr:uid="{00000000-0005-0000-0000-0000AF010000}"/>
    <cellStyle name="SAPBEXheaderText 2 2 2" xfId="815" xr:uid="{2BDCEDB9-5518-4B5C-A580-CED73B00C82D}"/>
    <cellStyle name="SAPBEXheaderText 2 3" xfId="647" xr:uid="{031139D4-780F-4200-9D51-DF5B011BCCB4}"/>
    <cellStyle name="SAPBEXheaderText 3" xfId="341" xr:uid="{00000000-0005-0000-0000-0000B0010000}"/>
    <cellStyle name="SAPBEXheaderText 3 2" xfId="789" xr:uid="{3BDA64DD-73E1-4727-B37A-2226FBD9BF09}"/>
    <cellStyle name="SAPBEXheaderText 4" xfId="618" xr:uid="{26693E3A-5334-4C95-9215-60D16911A4EE}"/>
    <cellStyle name="SAPBEXHLevel0" xfId="126" xr:uid="{00000000-0005-0000-0000-0000B1010000}"/>
    <cellStyle name="SAPBEXHLevel0 2" xfId="172" xr:uid="{00000000-0005-0000-0000-0000B2010000}"/>
    <cellStyle name="SAPBEXHLevel0 2 2" xfId="370" xr:uid="{00000000-0005-0000-0000-0000B3010000}"/>
    <cellStyle name="SAPBEXHLevel0 2 2 2" xfId="816" xr:uid="{E9A3EF83-1713-4A17-A20B-185736BDEE7C}"/>
    <cellStyle name="SAPBEXHLevel0 2 3" xfId="648" xr:uid="{028F2723-4F79-461E-A154-398A19B9CE33}"/>
    <cellStyle name="SAPBEXHLevel0 3" xfId="216" xr:uid="{00000000-0005-0000-0000-0000B4010000}"/>
    <cellStyle name="SAPBEXHLevel0 3 2" xfId="673" xr:uid="{34A03C33-3630-433C-ADF7-068D2208D3CE}"/>
    <cellStyle name="SAPBEXHLevel0 4" xfId="342" xr:uid="{00000000-0005-0000-0000-0000B5010000}"/>
    <cellStyle name="SAPBEXHLevel0 4 2" xfId="790" xr:uid="{3E5358DF-F9C4-44E4-A2C7-4AA4C1755C14}"/>
    <cellStyle name="SAPBEXHLevel0 5" xfId="619" xr:uid="{AC2466B9-2A26-4583-B0A4-A8F62240CABC}"/>
    <cellStyle name="SAPBEXHLevel0_10-28-10" xfId="173" xr:uid="{00000000-0005-0000-0000-0000B6010000}"/>
    <cellStyle name="SAPBEXHLevel0X" xfId="127" xr:uid="{00000000-0005-0000-0000-0000B7010000}"/>
    <cellStyle name="SAPBEXHLevel0X 2" xfId="174" xr:uid="{00000000-0005-0000-0000-0000B8010000}"/>
    <cellStyle name="SAPBEXHLevel0X 2 2" xfId="371" xr:uid="{00000000-0005-0000-0000-0000B9010000}"/>
    <cellStyle name="SAPBEXHLevel0X 2 2 2" xfId="817" xr:uid="{ABE68598-A30C-42DC-9FEE-80D9E49CD70C}"/>
    <cellStyle name="SAPBEXHLevel0X 2 3" xfId="649" xr:uid="{21D61068-5A74-4283-80C1-4859278845AC}"/>
    <cellStyle name="SAPBEXHLevel0X 3" xfId="217" xr:uid="{00000000-0005-0000-0000-0000BA010000}"/>
    <cellStyle name="SAPBEXHLevel0X 3 2" xfId="674" xr:uid="{6BA70FA5-4432-4267-A15C-A05EA643A54D}"/>
    <cellStyle name="SAPBEXHLevel0X 4" xfId="343" xr:uid="{00000000-0005-0000-0000-0000BB010000}"/>
    <cellStyle name="SAPBEXHLevel0X 4 2" xfId="791" xr:uid="{1A84EB9F-3D61-46F7-AD06-13B583F03D15}"/>
    <cellStyle name="SAPBEXHLevel0X 5" xfId="620" xr:uid="{3361571D-BC5B-44A5-A162-06056F2A6141}"/>
    <cellStyle name="SAPBEXHLevel0X_10-28-10" xfId="175" xr:uid="{00000000-0005-0000-0000-0000BC010000}"/>
    <cellStyle name="SAPBEXHLevel1" xfId="128" xr:uid="{00000000-0005-0000-0000-0000BD010000}"/>
    <cellStyle name="SAPBEXHLevel1 2" xfId="176" xr:uid="{00000000-0005-0000-0000-0000BE010000}"/>
    <cellStyle name="SAPBEXHLevel1 2 2" xfId="372" xr:uid="{00000000-0005-0000-0000-0000BF010000}"/>
    <cellStyle name="SAPBEXHLevel1 2 2 2" xfId="818" xr:uid="{0E5C4E58-829D-48AB-B470-6E38C64EE390}"/>
    <cellStyle name="SAPBEXHLevel1 2 3" xfId="650" xr:uid="{FDE92619-BEB6-4297-ACE4-E359E1E3F89C}"/>
    <cellStyle name="SAPBEXHLevel1 3" xfId="218" xr:uid="{00000000-0005-0000-0000-0000C0010000}"/>
    <cellStyle name="SAPBEXHLevel1 3 2" xfId="675" xr:uid="{6BE4FD26-A679-4D3A-BB0C-7590C7E0A000}"/>
    <cellStyle name="SAPBEXHLevel1 4" xfId="344" xr:uid="{00000000-0005-0000-0000-0000C1010000}"/>
    <cellStyle name="SAPBEXHLevel1 4 2" xfId="792" xr:uid="{0656CD8F-0AFF-4059-BFB2-A68D22568F37}"/>
    <cellStyle name="SAPBEXHLevel1 5" xfId="621" xr:uid="{067183E2-110A-44CC-AFF7-D10075075BAF}"/>
    <cellStyle name="SAPBEXHLevel1_10-28-10" xfId="177" xr:uid="{00000000-0005-0000-0000-0000C2010000}"/>
    <cellStyle name="SAPBEXHLevel1X" xfId="129" xr:uid="{00000000-0005-0000-0000-0000C3010000}"/>
    <cellStyle name="SAPBEXHLevel1X 2" xfId="178" xr:uid="{00000000-0005-0000-0000-0000C4010000}"/>
    <cellStyle name="SAPBEXHLevel1X 2 2" xfId="373" xr:uid="{00000000-0005-0000-0000-0000C5010000}"/>
    <cellStyle name="SAPBEXHLevel1X 2 2 2" xfId="819" xr:uid="{76B2702D-2352-4F35-8F19-B36B54761C37}"/>
    <cellStyle name="SAPBEXHLevel1X 2 3" xfId="651" xr:uid="{4304A90A-0282-41EE-BF81-F25709E45BCD}"/>
    <cellStyle name="SAPBEXHLevel1X 3" xfId="219" xr:uid="{00000000-0005-0000-0000-0000C6010000}"/>
    <cellStyle name="SAPBEXHLevel1X 3 2" xfId="676" xr:uid="{21B5A504-F05A-4F07-9F91-F1A9676A474C}"/>
    <cellStyle name="SAPBEXHLevel1X 4" xfId="345" xr:uid="{00000000-0005-0000-0000-0000C7010000}"/>
    <cellStyle name="SAPBEXHLevel1X 4 2" xfId="793" xr:uid="{8FCE7290-B5B9-4E46-B81A-CE7EB1F6B875}"/>
    <cellStyle name="SAPBEXHLevel1X 5" xfId="622" xr:uid="{B9A4E525-16F3-42B5-9CB8-928740B8BADA}"/>
    <cellStyle name="SAPBEXHLevel1X_10-28-10" xfId="179" xr:uid="{00000000-0005-0000-0000-0000C8010000}"/>
    <cellStyle name="SAPBEXHLevel2" xfId="130" xr:uid="{00000000-0005-0000-0000-0000C9010000}"/>
    <cellStyle name="SAPBEXHLevel2 2" xfId="180" xr:uid="{00000000-0005-0000-0000-0000CA010000}"/>
    <cellStyle name="SAPBEXHLevel2 2 2" xfId="374" xr:uid="{00000000-0005-0000-0000-0000CB010000}"/>
    <cellStyle name="SAPBEXHLevel2 2 2 2" xfId="820" xr:uid="{D6E8E5BB-4E10-4805-A510-F7D1769ECD1D}"/>
    <cellStyle name="SAPBEXHLevel2 2 3" xfId="652" xr:uid="{2EEFC5DD-0462-4ECB-AF42-2D3B63AF2FC2}"/>
    <cellStyle name="SAPBEXHLevel2 3" xfId="220" xr:uid="{00000000-0005-0000-0000-0000CC010000}"/>
    <cellStyle name="SAPBEXHLevel2 3 2" xfId="677" xr:uid="{9D3A0707-B74D-4FCC-AF3E-E676B66BF488}"/>
    <cellStyle name="SAPBEXHLevel2 4" xfId="346" xr:uid="{00000000-0005-0000-0000-0000CD010000}"/>
    <cellStyle name="SAPBEXHLevel2 4 2" xfId="794" xr:uid="{F23CF56B-D299-4F43-B4C6-E9414BC37840}"/>
    <cellStyle name="SAPBEXHLevel2 5" xfId="623" xr:uid="{0D2EE4AA-FE62-4638-980D-A5986203044C}"/>
    <cellStyle name="SAPBEXHLevel2_10-28-10" xfId="181" xr:uid="{00000000-0005-0000-0000-0000CE010000}"/>
    <cellStyle name="SAPBEXHLevel2X" xfId="131" xr:uid="{00000000-0005-0000-0000-0000CF010000}"/>
    <cellStyle name="SAPBEXHLevel2X 2" xfId="182" xr:uid="{00000000-0005-0000-0000-0000D0010000}"/>
    <cellStyle name="SAPBEXHLevel2X 2 2" xfId="375" xr:uid="{00000000-0005-0000-0000-0000D1010000}"/>
    <cellStyle name="SAPBEXHLevel2X 2 2 2" xfId="821" xr:uid="{6820DDB8-0337-40C6-89E9-FEB181AB2399}"/>
    <cellStyle name="SAPBEXHLevel2X 2 3" xfId="653" xr:uid="{E7EFB5F8-A7C7-43CF-909E-B64D00234263}"/>
    <cellStyle name="SAPBEXHLevel2X 3" xfId="221" xr:uid="{00000000-0005-0000-0000-0000D2010000}"/>
    <cellStyle name="SAPBEXHLevel2X 3 2" xfId="678" xr:uid="{B141C222-3DE2-4B8C-9106-4EEF08449DEA}"/>
    <cellStyle name="SAPBEXHLevel2X 4" xfId="347" xr:uid="{00000000-0005-0000-0000-0000D3010000}"/>
    <cellStyle name="SAPBEXHLevel2X 4 2" xfId="795" xr:uid="{2838EEE1-1DC2-4E3F-BDF8-7D87A9949628}"/>
    <cellStyle name="SAPBEXHLevel2X 5" xfId="624" xr:uid="{C5AB8866-139D-4656-B38D-843B091752CB}"/>
    <cellStyle name="SAPBEXHLevel2X_10-28-10" xfId="183" xr:uid="{00000000-0005-0000-0000-0000D4010000}"/>
    <cellStyle name="SAPBEXHLevel3" xfId="132" xr:uid="{00000000-0005-0000-0000-0000D5010000}"/>
    <cellStyle name="SAPBEXHLevel3 2" xfId="184" xr:uid="{00000000-0005-0000-0000-0000D6010000}"/>
    <cellStyle name="SAPBEXHLevel3 2 2" xfId="376" xr:uid="{00000000-0005-0000-0000-0000D7010000}"/>
    <cellStyle name="SAPBEXHLevel3 2 2 2" xfId="822" xr:uid="{67C18595-0AF0-4C72-8809-2F79366BAB2F}"/>
    <cellStyle name="SAPBEXHLevel3 2 3" xfId="654" xr:uid="{77D2D2E6-3641-4905-8E8B-04B8E34F3B06}"/>
    <cellStyle name="SAPBEXHLevel3 3" xfId="222" xr:uid="{00000000-0005-0000-0000-0000D8010000}"/>
    <cellStyle name="SAPBEXHLevel3 3 2" xfId="679" xr:uid="{5D8C5732-1E95-4426-BBC2-1B92D4B3BC19}"/>
    <cellStyle name="SAPBEXHLevel3 4" xfId="348" xr:uid="{00000000-0005-0000-0000-0000D9010000}"/>
    <cellStyle name="SAPBEXHLevel3 4 2" xfId="796" xr:uid="{6DBE58DB-9099-4F20-8E87-9E8B6B7520D2}"/>
    <cellStyle name="SAPBEXHLevel3 5" xfId="625" xr:uid="{927A33B8-92A1-4ABA-BAC8-4B92265241ED}"/>
    <cellStyle name="SAPBEXHLevel3_10-28-10" xfId="185" xr:uid="{00000000-0005-0000-0000-0000DA010000}"/>
    <cellStyle name="SAPBEXHLevel3X" xfId="133" xr:uid="{00000000-0005-0000-0000-0000DB010000}"/>
    <cellStyle name="SAPBEXHLevel3X 2" xfId="186" xr:uid="{00000000-0005-0000-0000-0000DC010000}"/>
    <cellStyle name="SAPBEXHLevel3X 2 2" xfId="377" xr:uid="{00000000-0005-0000-0000-0000DD010000}"/>
    <cellStyle name="SAPBEXHLevel3X 2 2 2" xfId="823" xr:uid="{A333D250-B58E-405C-91DD-8BC7E984FAC3}"/>
    <cellStyle name="SAPBEXHLevel3X 2 3" xfId="655" xr:uid="{A5140958-459A-45A0-AB70-B9E6609B4ECB}"/>
    <cellStyle name="SAPBEXHLevel3X 3" xfId="223" xr:uid="{00000000-0005-0000-0000-0000DE010000}"/>
    <cellStyle name="SAPBEXHLevel3X 3 2" xfId="680" xr:uid="{1A688F14-2EF8-4954-BEEE-FADD0D6732AE}"/>
    <cellStyle name="SAPBEXHLevel3X 4" xfId="349" xr:uid="{00000000-0005-0000-0000-0000DF010000}"/>
    <cellStyle name="SAPBEXHLevel3X 4 2" xfId="797" xr:uid="{D4D87EF8-AB9C-46A9-A44B-7E753E5A3D12}"/>
    <cellStyle name="SAPBEXHLevel3X 5" xfId="626" xr:uid="{84A34D86-44CE-4342-A294-725C6CF90EF0}"/>
    <cellStyle name="SAPBEXHLevel3X_10-28-10" xfId="187" xr:uid="{00000000-0005-0000-0000-0000E0010000}"/>
    <cellStyle name="SAPBEXresData" xfId="134" xr:uid="{00000000-0005-0000-0000-0000E1010000}"/>
    <cellStyle name="SAPBEXresData 2" xfId="224" xr:uid="{00000000-0005-0000-0000-0000E2010000}"/>
    <cellStyle name="SAPBEXresData 2 2" xfId="681" xr:uid="{9CAE525D-A078-41B9-8663-1A247AE9AC7A}"/>
    <cellStyle name="SAPBEXresData 3" xfId="350" xr:uid="{00000000-0005-0000-0000-0000E3010000}"/>
    <cellStyle name="SAPBEXresData 3 2" xfId="798" xr:uid="{C3EA5CC0-D20F-4284-9DB4-7EAA37D6D88B}"/>
    <cellStyle name="SAPBEXresData 4" xfId="627" xr:uid="{FE51B435-3ED8-47F6-BC1F-7641B7034D9A}"/>
    <cellStyle name="SAPBEXresDataEmph" xfId="135" xr:uid="{00000000-0005-0000-0000-0000E4010000}"/>
    <cellStyle name="SAPBEXresDataEmph 2" xfId="225" xr:uid="{00000000-0005-0000-0000-0000E5010000}"/>
    <cellStyle name="SAPBEXresDataEmph 2 2" xfId="682" xr:uid="{0714507A-8F2A-436A-8B86-11D2B66A35B7}"/>
    <cellStyle name="SAPBEXresDataEmph 3" xfId="351" xr:uid="{00000000-0005-0000-0000-0000E6010000}"/>
    <cellStyle name="SAPBEXresDataEmph 3 2" xfId="799" xr:uid="{65F93794-045C-4068-8C28-BD40CE944510}"/>
    <cellStyle name="SAPBEXresDataEmph 4" xfId="628" xr:uid="{66D9DD05-9C29-410B-8E7C-2A80BAB5CC31}"/>
    <cellStyle name="SAPBEXresItem" xfId="136" xr:uid="{00000000-0005-0000-0000-0000E7010000}"/>
    <cellStyle name="SAPBEXresItem 2" xfId="226" xr:uid="{00000000-0005-0000-0000-0000E8010000}"/>
    <cellStyle name="SAPBEXresItem 2 2" xfId="683" xr:uid="{37969E13-D9A9-4BD7-86C5-3C595512EB58}"/>
    <cellStyle name="SAPBEXresItem 3" xfId="352" xr:uid="{00000000-0005-0000-0000-0000E9010000}"/>
    <cellStyle name="SAPBEXresItem 3 2" xfId="800" xr:uid="{8367653F-529E-45F3-989A-3C4A6423D866}"/>
    <cellStyle name="SAPBEXresItem 4" xfId="629" xr:uid="{E5FF9D13-6D41-4EC9-8CAB-3B62FAD40D99}"/>
    <cellStyle name="SAPBEXresItemX" xfId="137" xr:uid="{00000000-0005-0000-0000-0000EA010000}"/>
    <cellStyle name="SAPBEXresItemX 2" xfId="227" xr:uid="{00000000-0005-0000-0000-0000EB010000}"/>
    <cellStyle name="SAPBEXresItemX 2 2" xfId="684" xr:uid="{D30617B7-8847-412A-BCD3-3E770A6F8B7B}"/>
    <cellStyle name="SAPBEXresItemX 3" xfId="353" xr:uid="{00000000-0005-0000-0000-0000EC010000}"/>
    <cellStyle name="SAPBEXresItemX 3 2" xfId="801" xr:uid="{7240450D-4B28-4A9D-A721-56AE48F9C872}"/>
    <cellStyle name="SAPBEXresItemX 4" xfId="630" xr:uid="{A175C5A7-124B-4CCA-82B7-E09E4A61A9BC}"/>
    <cellStyle name="SAPBEXstdData" xfId="138" xr:uid="{00000000-0005-0000-0000-0000ED010000}"/>
    <cellStyle name="SAPBEXstdData 2" xfId="228" xr:uid="{00000000-0005-0000-0000-0000EE010000}"/>
    <cellStyle name="SAPBEXstdData 2 2" xfId="685" xr:uid="{DC9EF3D8-2CCF-4BDC-8D44-6B90F4DCCE00}"/>
    <cellStyle name="SAPBEXstdData 3" xfId="354" xr:uid="{00000000-0005-0000-0000-0000EF010000}"/>
    <cellStyle name="SAPBEXstdData 3 2" xfId="802" xr:uid="{D0DFAD59-D013-4D6B-AA5B-21897C50C605}"/>
    <cellStyle name="SAPBEXstdData 4" xfId="405" xr:uid="{00000000-0005-0000-0000-0000F0010000}"/>
    <cellStyle name="SAPBEXstdData 4 2" xfId="839" xr:uid="{20EB4FE1-50AD-46EE-A48A-8A9493206298}"/>
    <cellStyle name="SAPBEXstdData 5" xfId="631" xr:uid="{92E13F39-9E8F-421F-B965-BE52B2306BE6}"/>
    <cellStyle name="SAPBEXstdDataEmph" xfId="139" xr:uid="{00000000-0005-0000-0000-0000F1010000}"/>
    <cellStyle name="SAPBEXstdDataEmph 2" xfId="229" xr:uid="{00000000-0005-0000-0000-0000F2010000}"/>
    <cellStyle name="SAPBEXstdDataEmph 2 2" xfId="686" xr:uid="{976FA3A4-DD35-4A9C-B624-532FEBA99688}"/>
    <cellStyle name="SAPBEXstdDataEmph 3" xfId="355" xr:uid="{00000000-0005-0000-0000-0000F3010000}"/>
    <cellStyle name="SAPBEXstdDataEmph 3 2" xfId="803" xr:uid="{8FB4F545-99C2-4AA6-BB53-DB41B13E8960}"/>
    <cellStyle name="SAPBEXstdDataEmph 4" xfId="632" xr:uid="{EACEF541-A4A5-43F3-B04F-A40E608B80CC}"/>
    <cellStyle name="SAPBEXstdItem" xfId="140" xr:uid="{00000000-0005-0000-0000-0000F4010000}"/>
    <cellStyle name="SAPBEXstdItem 2" xfId="164" xr:uid="{00000000-0005-0000-0000-0000F5010000}"/>
    <cellStyle name="SAPBEXstdItem 2 2" xfId="378" xr:uid="{00000000-0005-0000-0000-0000F6010000}"/>
    <cellStyle name="SAPBEXstdItem 2 2 2" xfId="824" xr:uid="{E121D797-DC93-48F6-9114-79815951D16A}"/>
    <cellStyle name="SAPBEXstdItem 2 3" xfId="643" xr:uid="{C4DDE57E-BBE2-4594-892E-8105222CB6BD}"/>
    <cellStyle name="SAPBEXstdItem 3" xfId="230" xr:uid="{00000000-0005-0000-0000-0000F7010000}"/>
    <cellStyle name="SAPBEXstdItem 3 2" xfId="687" xr:uid="{56DD6125-6222-4FC8-A9DA-5FE78E1E26D0}"/>
    <cellStyle name="SAPBEXstdItem 4" xfId="356" xr:uid="{00000000-0005-0000-0000-0000F8010000}"/>
    <cellStyle name="SAPBEXstdItem 4 2" xfId="804" xr:uid="{F1354607-F48E-472C-BE3E-124DAA8CD2E3}"/>
    <cellStyle name="SAPBEXstdItem 5" xfId="404" xr:uid="{00000000-0005-0000-0000-0000F9010000}"/>
    <cellStyle name="SAPBEXstdItem 5 2" xfId="838" xr:uid="{F4F943C5-9490-4DA1-9B8F-51754F561841}"/>
    <cellStyle name="SAPBEXstdItem 6" xfId="633" xr:uid="{5D7CCDD3-D020-41CA-8D3A-8660357D2817}"/>
    <cellStyle name="SAPBEXstdItem_10-28-10" xfId="188" xr:uid="{00000000-0005-0000-0000-0000FA010000}"/>
    <cellStyle name="SAPBEXstdItemX" xfId="141" xr:uid="{00000000-0005-0000-0000-0000FB010000}"/>
    <cellStyle name="SAPBEXstdItemX 2" xfId="189" xr:uid="{00000000-0005-0000-0000-0000FC010000}"/>
    <cellStyle name="SAPBEXstdItemX 2 2" xfId="235" xr:uid="{00000000-0005-0000-0000-0000FD010000}"/>
    <cellStyle name="SAPBEXstdItemX 2 2 2" xfId="692" xr:uid="{CAE97084-DD36-40EC-93AF-22C57E703028}"/>
    <cellStyle name="SAPBEXstdItemX 2 3" xfId="656" xr:uid="{6425CE17-B031-4B0E-8818-F3627CF8C060}"/>
    <cellStyle name="SAPBEXstdItemX 3" xfId="231" xr:uid="{00000000-0005-0000-0000-0000FE010000}"/>
    <cellStyle name="SAPBEXstdItemX 3 2" xfId="688" xr:uid="{D9338E5C-F95D-48D3-A891-10A376E88C75}"/>
    <cellStyle name="SAPBEXstdItemX 4" xfId="402" xr:uid="{00000000-0005-0000-0000-0000FF010000}"/>
    <cellStyle name="SAPBEXstdItemX 4 2" xfId="836" xr:uid="{C1FDA7B1-828F-4BC2-8D3B-0B00078758CB}"/>
    <cellStyle name="SAPBEXstdItemX 5" xfId="634" xr:uid="{41344267-9AF5-467E-8D2D-61600C9A3369}"/>
    <cellStyle name="SAPBEXstdItemX_10-28-10" xfId="190" xr:uid="{00000000-0005-0000-0000-000000020000}"/>
    <cellStyle name="SAPBEXtitle" xfId="142" xr:uid="{00000000-0005-0000-0000-000001020000}"/>
    <cellStyle name="SAPBEXtitle 2" xfId="191" xr:uid="{00000000-0005-0000-0000-000002020000}"/>
    <cellStyle name="SAPBEXundefined" xfId="143" xr:uid="{00000000-0005-0000-0000-000003020000}"/>
    <cellStyle name="SAPBEXundefined 2" xfId="232" xr:uid="{00000000-0005-0000-0000-000004020000}"/>
    <cellStyle name="SAPBEXundefined 2 2" xfId="689" xr:uid="{6F0391D9-EF72-4D33-8D24-0D9158C23666}"/>
    <cellStyle name="SAPBEXundefined 3" xfId="357" xr:uid="{00000000-0005-0000-0000-000005020000}"/>
    <cellStyle name="SAPBEXundefined 3 2" xfId="805" xr:uid="{F944FE81-2EBE-4414-A837-F521C559F6D2}"/>
    <cellStyle name="SAPBEXundefined 4" xfId="635" xr:uid="{E9D6F5F4-4BA0-433B-91D2-FD4AB8110840}"/>
    <cellStyle name="Single Border" xfId="517" xr:uid="{00000000-0005-0000-0000-000006020000}"/>
  </cellStyles>
  <dxfs count="0"/>
  <tableStyles count="0" defaultTableStyle="TableStyleMedium9" defaultPivotStyle="PivotStyleLight16"/>
  <colors>
    <mruColors>
      <color rgb="FFFFFF99"/>
      <color rgb="FFFFFFCC"/>
      <color rgb="FFFF66FF"/>
      <color rgb="FF0000CC"/>
      <color rgb="FF0033CC"/>
      <color rgb="FFFF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E64343B-EECB-477B-9FAB-CFA4E915209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D541EE9-D973-4AB7-B2BA-A5DFD2A3CDD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FC0F3A9-7B53-4025-9D2E-3CC79379054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A8AA88AC-733B-4DE1-99CB-38C36ED9C24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8AB48B8-2E57-4F14-AE0E-402237F19B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3" name="TextBox 2">
          <a:extLst>
            <a:ext uri="{FF2B5EF4-FFF2-40B4-BE49-F238E27FC236}">
              <a16:creationId xmlns:a16="http://schemas.microsoft.com/office/drawing/2014/main" id="{E41F8792-FBC2-411B-B873-FF24BDF7B9E7}"/>
            </a:ext>
          </a:extLst>
        </xdr:cNvPr>
        <xdr:cNvSpPr txBox="1"/>
      </xdr:nvSpPr>
      <xdr:spPr>
        <a:xfrm>
          <a:off x="3175" y="317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2B27EC7B-F7E5-4503-906F-4BA43E7B3E5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61A67FF-6241-477E-AB84-661F9E9E598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98DE14B-F788-4C9F-BBF8-5841E0A19E6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F43452C-75B7-4E3E-B29E-31A8FDBE07A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D3115445-D7B1-41F1-B69E-C4AF8D46C5A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101B897B-9A73-48A9-9DDC-CD15EA9230D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AA439E5-9E8C-414C-9C37-ADC8729E86A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565AB748-3483-4412-817F-40FB27F8586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D428E1A8-93A2-4B94-897E-E918D7BD0CA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D35FD45-24EE-4505-B74C-13BEC846F20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13</xdr:row>
      <xdr:rowOff>0</xdr:rowOff>
    </xdr:from>
    <xdr:to>
      <xdr:col>53</xdr:col>
      <xdr:colOff>0</xdr:colOff>
      <xdr:row>75</xdr:row>
      <xdr:rowOff>0</xdr:rowOff>
    </xdr:to>
    <xdr:pic>
      <xdr:nvPicPr>
        <xdr:cNvPr id="4" name="BExKI2T1D11014DREFDGSMJ45J9W" hidden="1">
          <a:extLst>
            <a:ext uri="{FF2B5EF4-FFF2-40B4-BE49-F238E27FC236}">
              <a16:creationId xmlns:a16="http://schemas.microsoft.com/office/drawing/2014/main" id="{00000000-0008-0000-0F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7675"/>
          <a:ext cx="43916600" cy="11249025"/>
        </a:xfrm>
        <a:prstGeom prst="rect">
          <a:avLst/>
        </a:prstGeom>
      </xdr:spPr>
    </xdr:pic>
    <xdr:clientData/>
  </xdr:twoCellAnchor>
  <xdr:twoCellAnchor>
    <xdr:from>
      <xdr:col>1</xdr:col>
      <xdr:colOff>0</xdr:colOff>
      <xdr:row>1</xdr:row>
      <xdr:rowOff>0</xdr:rowOff>
    </xdr:from>
    <xdr:to>
      <xdr:col>2</xdr:col>
      <xdr:colOff>0</xdr:colOff>
      <xdr:row>1</xdr:row>
      <xdr:rowOff>244475</xdr:rowOff>
    </xdr:to>
    <xdr:pic>
      <xdr:nvPicPr>
        <xdr:cNvPr id="5" name="BExD92FPK3REG9B5YYM52BQW2UUC" hidden="1">
          <a:extLst>
            <a:ext uri="{FF2B5EF4-FFF2-40B4-BE49-F238E27FC236}">
              <a16:creationId xmlns:a16="http://schemas.microsoft.com/office/drawing/2014/main" id="{00000000-0008-0000-0F00-000005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416175" cy="244475"/>
        </a:xfrm>
        <a:prstGeom prst="rect">
          <a:avLst/>
        </a:prstGeom>
      </xdr:spPr>
    </xdr:pic>
    <xdr:clientData/>
  </xdr:twoCellAnchor>
  <xdr:twoCellAnchor>
    <xdr:from>
      <xdr:col>1</xdr:col>
      <xdr:colOff>0</xdr:colOff>
      <xdr:row>10</xdr:row>
      <xdr:rowOff>0</xdr:rowOff>
    </xdr:from>
    <xdr:to>
      <xdr:col>2</xdr:col>
      <xdr:colOff>0</xdr:colOff>
      <xdr:row>10</xdr:row>
      <xdr:rowOff>244475</xdr:rowOff>
    </xdr:to>
    <xdr:pic>
      <xdr:nvPicPr>
        <xdr:cNvPr id="6" name="BExD92FPK3REG9B5YYM52BQW2UUC" hidden="1">
          <a:extLst>
            <a:ext uri="{FF2B5EF4-FFF2-40B4-BE49-F238E27FC236}">
              <a16:creationId xmlns:a16="http://schemas.microsoft.com/office/drawing/2014/main" id="{00000000-0008-0000-0F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14500" cy="24447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A44CF31-08D6-4A11-B86E-AF1C1600450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twoCellAnchor>
    <xdr:from>
      <xdr:col>1</xdr:col>
      <xdr:colOff>63498</xdr:colOff>
      <xdr:row>2</xdr:row>
      <xdr:rowOff>74081</xdr:rowOff>
    </xdr:from>
    <xdr:to>
      <xdr:col>1</xdr:col>
      <xdr:colOff>126998</xdr:colOff>
      <xdr:row>2</xdr:row>
      <xdr:rowOff>176673</xdr:rowOff>
    </xdr:to>
    <xdr:sp macro="" textlink="">
      <xdr:nvSpPr>
        <xdr:cNvPr id="3" name="TextBox 2">
          <a:extLst>
            <a:ext uri="{FF2B5EF4-FFF2-40B4-BE49-F238E27FC236}">
              <a16:creationId xmlns:a16="http://schemas.microsoft.com/office/drawing/2014/main" id="{6F1CE0AF-592A-4A32-9F64-360C9C2564BD}"/>
            </a:ext>
          </a:extLst>
        </xdr:cNvPr>
        <xdr:cNvSpPr txBox="1"/>
      </xdr:nvSpPr>
      <xdr:spPr>
        <a:xfrm>
          <a:off x="749298" y="493181"/>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X15A0H</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244475</xdr:rowOff>
    </xdr:to>
    <xdr:pic>
      <xdr:nvPicPr>
        <xdr:cNvPr id="3" name="BExD92FPK3REG9B5YYM52BQW2UUC" hidden="1">
          <a:extLst>
            <a:ext uri="{FF2B5EF4-FFF2-40B4-BE49-F238E27FC236}">
              <a16:creationId xmlns:a16="http://schemas.microsoft.com/office/drawing/2014/main" id="{00000000-0008-0000-10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90500"/>
          <a:ext cx="1190625" cy="23495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90544A89-4C82-4664-B6AB-019924B5BF7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B490175-A6E4-47BB-B96C-8E6EDD26040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25469DB-5FFE-4BAE-BFB6-BFB3CAA58D9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X18A0T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AB79C13-B7A7-46D7-BA3F-D2E28DCFD0A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X19A0T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D6F4130-00E1-42F9-92B9-E22C22AC469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X20A0T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33C53EE-C30C-427E-91D2-648EEC85B4A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X21A0T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CBAB4B3-A530-492A-B316-576F9E854B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X22A0T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3" name="TextBox 2">
          <a:extLst>
            <a:ext uri="{FF2B5EF4-FFF2-40B4-BE49-F238E27FC236}">
              <a16:creationId xmlns:a16="http://schemas.microsoft.com/office/drawing/2014/main" id="{BC9A6A9A-3B40-4026-B128-E64385809C87}"/>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X23A0T</a:t>
          </a:r>
        </a:p>
      </xdr:txBody>
    </xdr:sp>
    <xdr:clientData/>
  </xdr:twoCellAnchor>
  <xdr:twoCellAnchor>
    <xdr:from>
      <xdr:col>0</xdr:col>
      <xdr:colOff>0</xdr:colOff>
      <xdr:row>1</xdr:row>
      <xdr:rowOff>0</xdr:rowOff>
    </xdr:from>
    <xdr:to>
      <xdr:col>1</xdr:col>
      <xdr:colOff>63500</xdr:colOff>
      <xdr:row>1</xdr:row>
      <xdr:rowOff>102592</xdr:rowOff>
    </xdr:to>
    <xdr:sp macro="" textlink="">
      <xdr:nvSpPr>
        <xdr:cNvPr id="4" name="TextBox 3">
          <a:extLst>
            <a:ext uri="{FF2B5EF4-FFF2-40B4-BE49-F238E27FC236}">
              <a16:creationId xmlns:a16="http://schemas.microsoft.com/office/drawing/2014/main" id="{89C05B70-F50D-4516-BE60-6B3251F641A8}"/>
            </a:ext>
          </a:extLst>
        </xdr:cNvPr>
        <xdr:cNvSpPr txBox="1"/>
      </xdr:nvSpPr>
      <xdr:spPr>
        <a:xfrm>
          <a:off x="0" y="1968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X23A0H</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3" name="TextBox 2">
          <a:extLst>
            <a:ext uri="{FF2B5EF4-FFF2-40B4-BE49-F238E27FC236}">
              <a16:creationId xmlns:a16="http://schemas.microsoft.com/office/drawing/2014/main" id="{E2718177-FF9B-47D6-B4D0-8E06AFA3AF9C}"/>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X24A0T</a:t>
          </a:r>
        </a:p>
      </xdr:txBody>
    </xdr:sp>
    <xdr:clientData/>
  </xdr:twoCellAnchor>
  <xdr:twoCellAnchor>
    <xdr:from>
      <xdr:col>6</xdr:col>
      <xdr:colOff>33618</xdr:colOff>
      <xdr:row>1</xdr:row>
      <xdr:rowOff>56030</xdr:rowOff>
    </xdr:from>
    <xdr:to>
      <xdr:col>6</xdr:col>
      <xdr:colOff>97118</xdr:colOff>
      <xdr:row>1</xdr:row>
      <xdr:rowOff>158622</xdr:rowOff>
    </xdr:to>
    <xdr:sp macro="" textlink="">
      <xdr:nvSpPr>
        <xdr:cNvPr id="4" name="TextBox 3">
          <a:extLst>
            <a:ext uri="{FF2B5EF4-FFF2-40B4-BE49-F238E27FC236}">
              <a16:creationId xmlns:a16="http://schemas.microsoft.com/office/drawing/2014/main" id="{59B43F33-AA85-4A50-BAD8-5156FC577941}"/>
            </a:ext>
          </a:extLst>
        </xdr:cNvPr>
        <xdr:cNvSpPr txBox="1"/>
      </xdr:nvSpPr>
      <xdr:spPr>
        <a:xfrm>
          <a:off x="2497418" y="25288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X24A0H</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3" name="TextBox 2">
          <a:extLst>
            <a:ext uri="{FF2B5EF4-FFF2-40B4-BE49-F238E27FC236}">
              <a16:creationId xmlns:a16="http://schemas.microsoft.com/office/drawing/2014/main" id="{74903192-0D0B-48EF-BC56-89677BB2FF57}"/>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X25A0T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A1EC0B5-B1D6-44AF-A830-5EAF69CC182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X26A0T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745D871-3E5C-4A13-85AD-20FE7CE0DCF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X27A0T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FEE40EE2-A34C-4766-8F95-F56B99BFAE5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X28A0T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998366B-AEFF-4AEB-9C27-DC76B1D8D7F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X29A0T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0AC089C-0CF0-40D6-BDD6-A94DE5FF84A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X30A0T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4CA89B5-9D31-4DD2-B10D-6AF40882931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X31A0T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90940A3F-4E5B-46E0-9067-62A70F1A033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X32A0T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5A158DF-A578-46D1-B098-356266F87D5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X33A0T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0DC0055-8536-4C29-8F0F-17E8F5306AB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X34A0T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3ADB65A3-3516-440F-B3DC-9D08005E5E6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X35A0T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C1F26AA5-AE53-4B70-BCE4-92226DCCE0B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7D75B8D2-91E3-414B-A3E5-AC02A9701FC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X37A0T</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D50A855E-A3B0-42D7-A453-98207A1CA03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X38A0T</a:t>
          </a:r>
        </a:p>
      </xdr:txBody>
    </xdr:sp>
    <xdr:clientData/>
  </xdr:twoCellAnchor>
  <xdr:twoCellAnchor>
    <xdr:from>
      <xdr:col>0</xdr:col>
      <xdr:colOff>0</xdr:colOff>
      <xdr:row>1</xdr:row>
      <xdr:rowOff>0</xdr:rowOff>
    </xdr:from>
    <xdr:to>
      <xdr:col>0</xdr:col>
      <xdr:colOff>63500</xdr:colOff>
      <xdr:row>1</xdr:row>
      <xdr:rowOff>102592</xdr:rowOff>
    </xdr:to>
    <xdr:sp macro="" textlink="">
      <xdr:nvSpPr>
        <xdr:cNvPr id="4" name="TextBox 3">
          <a:extLst>
            <a:ext uri="{FF2B5EF4-FFF2-40B4-BE49-F238E27FC236}">
              <a16:creationId xmlns:a16="http://schemas.microsoft.com/office/drawing/2014/main" id="{7FCC5D50-5366-4240-BBA4-D7DFDEC172E9}"/>
            </a:ext>
          </a:extLst>
        </xdr:cNvPr>
        <xdr:cNvSpPr txBox="1"/>
      </xdr:nvSpPr>
      <xdr:spPr>
        <a:xfrm>
          <a:off x="0" y="1968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X38A0H</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BBFF5B5-2D7D-4F9E-A777-560F7E1A49C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X39A0T</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AF17887F-447B-4B14-8265-211EB3F1DAB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X40A0T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0l10];/" TargetMode="External"/><Relationship Id="rId18" Type="http://schemas.openxmlformats.org/officeDocument/2006/relationships/hyperlink" Target="http://[s0l15];/" TargetMode="External"/><Relationship Id="rId26" Type="http://schemas.openxmlformats.org/officeDocument/2006/relationships/hyperlink" Target="http://[s0l23];/" TargetMode="External"/><Relationship Id="rId39" Type="http://schemas.openxmlformats.org/officeDocument/2006/relationships/hyperlink" Target="http://[s0l36];/" TargetMode="External"/><Relationship Id="rId21" Type="http://schemas.openxmlformats.org/officeDocument/2006/relationships/hyperlink" Target="http://[s0l18];/" TargetMode="External"/><Relationship Id="rId34" Type="http://schemas.openxmlformats.org/officeDocument/2006/relationships/hyperlink" Target="http://[s0l31];/" TargetMode="External"/><Relationship Id="rId42" Type="http://schemas.openxmlformats.org/officeDocument/2006/relationships/hyperlink" Target="http://[s0l39];/" TargetMode="External"/><Relationship Id="rId7" Type="http://schemas.openxmlformats.org/officeDocument/2006/relationships/hyperlink" Target="http://[s0l4];/" TargetMode="External"/><Relationship Id="rId2" Type="http://schemas.openxmlformats.org/officeDocument/2006/relationships/printerSettings" Target="../printerSettings/printerSettings2.bin"/><Relationship Id="rId16" Type="http://schemas.openxmlformats.org/officeDocument/2006/relationships/hyperlink" Target="http://[s0l13];/" TargetMode="External"/><Relationship Id="rId20" Type="http://schemas.openxmlformats.org/officeDocument/2006/relationships/hyperlink" Target="http://[s0l17];/" TargetMode="External"/><Relationship Id="rId29" Type="http://schemas.openxmlformats.org/officeDocument/2006/relationships/hyperlink" Target="http://[s0l26];/" TargetMode="External"/><Relationship Id="rId41" Type="http://schemas.openxmlformats.org/officeDocument/2006/relationships/hyperlink" Target="http://[s0l38];/" TargetMode="External"/><Relationship Id="rId1" Type="http://schemas.openxmlformats.org/officeDocument/2006/relationships/printerSettings" Target="../printerSettings/printerSettings1.bin"/><Relationship Id="rId6" Type="http://schemas.openxmlformats.org/officeDocument/2006/relationships/hyperlink" Target="http://[s0l3];/" TargetMode="External"/><Relationship Id="rId11" Type="http://schemas.openxmlformats.org/officeDocument/2006/relationships/hyperlink" Target="http://[s0l8];/" TargetMode="External"/><Relationship Id="rId24" Type="http://schemas.openxmlformats.org/officeDocument/2006/relationships/hyperlink" Target="http://[s0l21];/" TargetMode="External"/><Relationship Id="rId32" Type="http://schemas.openxmlformats.org/officeDocument/2006/relationships/hyperlink" Target="http://[s0l29];/" TargetMode="External"/><Relationship Id="rId37" Type="http://schemas.openxmlformats.org/officeDocument/2006/relationships/hyperlink" Target="http://[s0l34];/" TargetMode="External"/><Relationship Id="rId40" Type="http://schemas.openxmlformats.org/officeDocument/2006/relationships/hyperlink" Target="http://[s0l37];/" TargetMode="External"/><Relationship Id="rId5" Type="http://schemas.openxmlformats.org/officeDocument/2006/relationships/hyperlink" Target="http://[s0l2];/" TargetMode="External"/><Relationship Id="rId15" Type="http://schemas.openxmlformats.org/officeDocument/2006/relationships/hyperlink" Target="http://[s0l12];/" TargetMode="External"/><Relationship Id="rId23" Type="http://schemas.openxmlformats.org/officeDocument/2006/relationships/hyperlink" Target="http://[s0l20];/" TargetMode="External"/><Relationship Id="rId28" Type="http://schemas.openxmlformats.org/officeDocument/2006/relationships/hyperlink" Target="http://[s0l25];/" TargetMode="External"/><Relationship Id="rId36" Type="http://schemas.openxmlformats.org/officeDocument/2006/relationships/hyperlink" Target="http://[s0l33];/" TargetMode="External"/><Relationship Id="rId10" Type="http://schemas.openxmlformats.org/officeDocument/2006/relationships/hyperlink" Target="http://[s0l7];/" TargetMode="External"/><Relationship Id="rId19" Type="http://schemas.openxmlformats.org/officeDocument/2006/relationships/hyperlink" Target="http://[s0l16];/" TargetMode="External"/><Relationship Id="rId31" Type="http://schemas.openxmlformats.org/officeDocument/2006/relationships/hyperlink" Target="http://[s0l28];/" TargetMode="External"/><Relationship Id="rId44" Type="http://schemas.openxmlformats.org/officeDocument/2006/relationships/drawing" Target="../drawings/drawing1.xml"/><Relationship Id="rId4" Type="http://schemas.openxmlformats.org/officeDocument/2006/relationships/hyperlink" Target="http://[s0l1];/" TargetMode="External"/><Relationship Id="rId9" Type="http://schemas.openxmlformats.org/officeDocument/2006/relationships/hyperlink" Target="http://[s0l6];/" TargetMode="External"/><Relationship Id="rId14" Type="http://schemas.openxmlformats.org/officeDocument/2006/relationships/hyperlink" Target="http://[s0l11];/" TargetMode="External"/><Relationship Id="rId22" Type="http://schemas.openxmlformats.org/officeDocument/2006/relationships/hyperlink" Target="http://[s0l19];/" TargetMode="External"/><Relationship Id="rId27" Type="http://schemas.openxmlformats.org/officeDocument/2006/relationships/hyperlink" Target="http://[s0l24];/" TargetMode="External"/><Relationship Id="rId30" Type="http://schemas.openxmlformats.org/officeDocument/2006/relationships/hyperlink" Target="http://[s0l27];/" TargetMode="External"/><Relationship Id="rId35" Type="http://schemas.openxmlformats.org/officeDocument/2006/relationships/hyperlink" Target="http://[s0l32];/" TargetMode="External"/><Relationship Id="rId43" Type="http://schemas.openxmlformats.org/officeDocument/2006/relationships/printerSettings" Target="../printerSettings/printerSettings3.bin"/><Relationship Id="rId8" Type="http://schemas.openxmlformats.org/officeDocument/2006/relationships/hyperlink" Target="http://[s0l5];/" TargetMode="External"/><Relationship Id="rId3" Type="http://schemas.openxmlformats.org/officeDocument/2006/relationships/hyperlink" Target="http://[s0l0];/" TargetMode="External"/><Relationship Id="rId12" Type="http://schemas.openxmlformats.org/officeDocument/2006/relationships/hyperlink" Target="http://[s0l9];/" TargetMode="External"/><Relationship Id="rId17" Type="http://schemas.openxmlformats.org/officeDocument/2006/relationships/hyperlink" Target="http://[s0l14];/" TargetMode="External"/><Relationship Id="rId25" Type="http://schemas.openxmlformats.org/officeDocument/2006/relationships/hyperlink" Target="http://[s0l22];/" TargetMode="External"/><Relationship Id="rId33" Type="http://schemas.openxmlformats.org/officeDocument/2006/relationships/hyperlink" Target="http://[s0l30];/" TargetMode="External"/><Relationship Id="rId38" Type="http://schemas.openxmlformats.org/officeDocument/2006/relationships/hyperlink" Target="http://[s0l35];/"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4"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4"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4"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4"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4"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4"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4"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4"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4"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4"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4"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4"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4"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12.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4"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4"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4" Type="http://schemas.openxmlformats.org/officeDocument/2006/relationships/drawing" Target="../drawings/drawing38.xm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21.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4" Type="http://schemas.openxmlformats.org/officeDocument/2006/relationships/drawing" Target="../drawings/drawing39.xm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24.bin"/><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 Id="rId4" Type="http://schemas.openxmlformats.org/officeDocument/2006/relationships/drawing" Target="../drawings/drawing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pageSetUpPr fitToPage="1"/>
  </sheetPr>
  <dimension ref="A1:D51"/>
  <sheetViews>
    <sheetView tabSelected="1" view="pageBreakPreview" zoomScale="90" zoomScaleNormal="100" zoomScaleSheetLayoutView="90" workbookViewId="0">
      <selection activeCell="J18" sqref="J18"/>
    </sheetView>
  </sheetViews>
  <sheetFormatPr defaultColWidth="8.77734375" defaultRowHeight="13.2"/>
  <cols>
    <col min="1" max="1" width="2.33203125" style="134" customWidth="1"/>
    <col min="2" max="2" width="26.33203125" style="136" bestFit="1" customWidth="1"/>
    <col min="3" max="3" width="3.77734375" style="136" customWidth="1"/>
    <col min="4" max="4" width="90.33203125" style="1453" customWidth="1"/>
    <col min="5" max="16384" width="8.77734375" style="134"/>
  </cols>
  <sheetData>
    <row r="1" spans="1:4" ht="15.6">
      <c r="A1" s="131"/>
      <c r="B1" s="132"/>
      <c r="C1" s="133"/>
      <c r="D1" s="142"/>
    </row>
    <row r="2" spans="1:4" ht="13.35" customHeight="1">
      <c r="A2" s="133"/>
      <c r="B2" s="132"/>
      <c r="C2" s="133"/>
      <c r="D2" s="142"/>
    </row>
    <row r="3" spans="1:4" ht="15.6" customHeight="1">
      <c r="A3" s="135"/>
      <c r="B3" s="135"/>
      <c r="C3" s="135"/>
      <c r="D3" s="141"/>
    </row>
    <row r="4" spans="1:4" ht="15.6" customHeight="1">
      <c r="A4" s="136"/>
      <c r="B4" s="1459" t="s">
        <v>19</v>
      </c>
      <c r="C4" s="1459"/>
      <c r="D4" s="1459"/>
    </row>
    <row r="5" spans="1:4" ht="15.6">
      <c r="A5" s="136"/>
      <c r="B5" s="1459" t="s">
        <v>20</v>
      </c>
      <c r="C5" s="1459"/>
      <c r="D5" s="1459"/>
    </row>
    <row r="6" spans="1:4" ht="15.6">
      <c r="A6" s="136"/>
      <c r="B6" s="1459" t="s">
        <v>1</v>
      </c>
      <c r="C6" s="1459"/>
      <c r="D6" s="1459"/>
    </row>
    <row r="7" spans="1:4" ht="15.6">
      <c r="A7" s="135"/>
      <c r="B7" s="135"/>
      <c r="C7" s="135"/>
      <c r="D7" s="141"/>
    </row>
    <row r="8" spans="1:4" ht="15.6">
      <c r="A8" s="1261"/>
      <c r="B8" s="1261"/>
      <c r="C8" s="1261"/>
      <c r="D8" s="144"/>
    </row>
    <row r="9" spans="1:4">
      <c r="A9" s="133"/>
      <c r="B9" s="132"/>
      <c r="C9" s="133"/>
      <c r="D9" s="142"/>
    </row>
    <row r="10" spans="1:4" ht="15.6">
      <c r="A10" s="137"/>
      <c r="B10" s="138" t="s">
        <v>21</v>
      </c>
      <c r="C10" s="137"/>
      <c r="D10" s="141" t="s">
        <v>22</v>
      </c>
    </row>
    <row r="11" spans="1:4" ht="15">
      <c r="A11" s="139"/>
      <c r="B11" s="140" t="s">
        <v>24</v>
      </c>
      <c r="C11" s="139"/>
      <c r="D11" s="145" t="s">
        <v>25</v>
      </c>
    </row>
    <row r="12" spans="1:4" ht="15">
      <c r="A12" s="139"/>
      <c r="B12" s="140" t="s">
        <v>26</v>
      </c>
      <c r="C12" s="139"/>
      <c r="D12" s="145" t="s">
        <v>27</v>
      </c>
    </row>
    <row r="13" spans="1:4" ht="15">
      <c r="A13" s="139"/>
      <c r="B13" s="140" t="s">
        <v>28</v>
      </c>
      <c r="C13" s="139"/>
      <c r="D13" s="145" t="s">
        <v>29</v>
      </c>
    </row>
    <row r="14" spans="1:4" ht="15">
      <c r="A14" s="139"/>
      <c r="B14" s="140" t="s">
        <v>30</v>
      </c>
      <c r="C14" s="139"/>
      <c r="D14" s="145" t="s">
        <v>31</v>
      </c>
    </row>
    <row r="15" spans="1:4" ht="15">
      <c r="A15" s="139"/>
      <c r="B15" s="140" t="s">
        <v>32</v>
      </c>
      <c r="C15" s="139"/>
      <c r="D15" s="145" t="s">
        <v>33</v>
      </c>
    </row>
    <row r="16" spans="1:4" ht="15">
      <c r="A16" s="139"/>
      <c r="B16" s="140" t="s">
        <v>34</v>
      </c>
      <c r="C16" s="139"/>
      <c r="D16" s="145" t="s">
        <v>35</v>
      </c>
    </row>
    <row r="17" spans="1:4" ht="15">
      <c r="A17" s="139"/>
      <c r="B17" s="140" t="s">
        <v>36</v>
      </c>
      <c r="C17" s="139"/>
      <c r="D17" s="145" t="s">
        <v>37</v>
      </c>
    </row>
    <row r="18" spans="1:4" ht="15">
      <c r="A18" s="139"/>
      <c r="B18" s="140" t="s">
        <v>38</v>
      </c>
      <c r="C18" s="139"/>
      <c r="D18" s="145" t="s">
        <v>39</v>
      </c>
    </row>
    <row r="19" spans="1:4" ht="15">
      <c r="A19" s="139"/>
      <c r="B19" s="140" t="s">
        <v>40</v>
      </c>
      <c r="C19" s="139"/>
      <c r="D19" s="145" t="s">
        <v>41</v>
      </c>
    </row>
    <row r="20" spans="1:4" ht="15">
      <c r="A20" s="139"/>
      <c r="B20" s="140" t="s">
        <v>42</v>
      </c>
      <c r="C20" s="139"/>
      <c r="D20" s="145" t="s">
        <v>43</v>
      </c>
    </row>
    <row r="21" spans="1:4" ht="15">
      <c r="A21" s="139"/>
      <c r="B21" s="140" t="s">
        <v>44</v>
      </c>
      <c r="C21" s="139"/>
      <c r="D21" s="145" t="s">
        <v>45</v>
      </c>
    </row>
    <row r="22" spans="1:4" ht="15">
      <c r="A22" s="139"/>
      <c r="B22" s="140" t="s">
        <v>46</v>
      </c>
      <c r="C22" s="139"/>
      <c r="D22" s="145" t="s">
        <v>47</v>
      </c>
    </row>
    <row r="23" spans="1:4" ht="15">
      <c r="A23" s="139"/>
      <c r="B23" s="140" t="s">
        <v>48</v>
      </c>
      <c r="C23" s="139"/>
      <c r="D23" s="145" t="s">
        <v>49</v>
      </c>
    </row>
    <row r="24" spans="1:4" ht="15">
      <c r="A24" s="139"/>
      <c r="B24" s="140" t="s">
        <v>50</v>
      </c>
      <c r="C24" s="139"/>
      <c r="D24" s="145" t="s">
        <v>51</v>
      </c>
    </row>
    <row r="25" spans="1:4" ht="15">
      <c r="A25" s="139"/>
      <c r="B25" s="140" t="s">
        <v>52</v>
      </c>
      <c r="C25" s="139"/>
      <c r="D25" s="145" t="s">
        <v>53</v>
      </c>
    </row>
    <row r="26" spans="1:4" ht="15">
      <c r="A26" s="139"/>
      <c r="B26" s="140" t="s">
        <v>54</v>
      </c>
      <c r="C26" s="139"/>
      <c r="D26" s="145" t="s">
        <v>3</v>
      </c>
    </row>
    <row r="27" spans="1:4" ht="15">
      <c r="A27" s="139"/>
      <c r="B27" s="140" t="s">
        <v>55</v>
      </c>
      <c r="C27" s="139"/>
      <c r="D27" s="145" t="s">
        <v>56</v>
      </c>
    </row>
    <row r="28" spans="1:4" ht="15">
      <c r="A28" s="139"/>
      <c r="B28" s="140" t="s">
        <v>57</v>
      </c>
      <c r="C28" s="139"/>
      <c r="D28" s="145" t="s">
        <v>58</v>
      </c>
    </row>
    <row r="29" spans="1:4" ht="15">
      <c r="A29" s="139"/>
      <c r="B29" s="140" t="s">
        <v>59</v>
      </c>
      <c r="C29" s="139"/>
      <c r="D29" s="145" t="s">
        <v>60</v>
      </c>
    </row>
    <row r="30" spans="1:4" ht="15">
      <c r="A30" s="139"/>
      <c r="B30" s="140" t="s">
        <v>61</v>
      </c>
      <c r="C30" s="139"/>
      <c r="D30" s="145" t="s">
        <v>62</v>
      </c>
    </row>
    <row r="31" spans="1:4" ht="15">
      <c r="A31" s="139"/>
      <c r="B31" s="140" t="s">
        <v>63</v>
      </c>
      <c r="C31" s="139"/>
      <c r="D31" s="145" t="s">
        <v>64</v>
      </c>
    </row>
    <row r="32" spans="1:4" ht="15">
      <c r="A32" s="139"/>
      <c r="B32" s="140" t="s">
        <v>65</v>
      </c>
      <c r="C32" s="139"/>
      <c r="D32" s="145" t="s">
        <v>66</v>
      </c>
    </row>
    <row r="33" spans="1:4" ht="15">
      <c r="A33" s="139"/>
      <c r="B33" s="140" t="s">
        <v>67</v>
      </c>
      <c r="C33" s="139"/>
      <c r="D33" s="145" t="s">
        <v>68</v>
      </c>
    </row>
    <row r="34" spans="1:4" ht="15">
      <c r="A34" s="139"/>
      <c r="B34" s="140" t="s">
        <v>69</v>
      </c>
      <c r="C34" s="139"/>
      <c r="D34" s="145" t="s">
        <v>70</v>
      </c>
    </row>
    <row r="35" spans="1:4" ht="15">
      <c r="A35" s="139"/>
      <c r="B35" s="140" t="s">
        <v>71</v>
      </c>
      <c r="C35" s="139"/>
      <c r="D35" s="145" t="s">
        <v>72</v>
      </c>
    </row>
    <row r="36" spans="1:4" ht="15">
      <c r="A36" s="139"/>
      <c r="B36" s="140" t="s">
        <v>73</v>
      </c>
      <c r="C36" s="139"/>
      <c r="D36" s="145" t="s">
        <v>74</v>
      </c>
    </row>
    <row r="37" spans="1:4" ht="15">
      <c r="A37" s="139"/>
      <c r="B37" s="140" t="s">
        <v>75</v>
      </c>
      <c r="C37" s="139"/>
      <c r="D37" s="145" t="s">
        <v>76</v>
      </c>
    </row>
    <row r="38" spans="1:4" ht="15">
      <c r="A38" s="139"/>
      <c r="B38" s="140" t="s">
        <v>77</v>
      </c>
      <c r="C38" s="139"/>
      <c r="D38" s="145" t="s">
        <v>78</v>
      </c>
    </row>
    <row r="39" spans="1:4" ht="15">
      <c r="A39" s="139"/>
      <c r="B39" s="140" t="s">
        <v>79</v>
      </c>
      <c r="C39" s="139"/>
      <c r="D39" s="145" t="s">
        <v>80</v>
      </c>
    </row>
    <row r="40" spans="1:4" ht="15">
      <c r="A40" s="133"/>
      <c r="B40" s="140" t="s">
        <v>81</v>
      </c>
      <c r="C40" s="139"/>
      <c r="D40" s="145" t="s">
        <v>82</v>
      </c>
    </row>
    <row r="41" spans="1:4" ht="15">
      <c r="A41" s="133"/>
      <c r="B41" s="140" t="s">
        <v>83</v>
      </c>
      <c r="C41" s="139"/>
      <c r="D41" s="145" t="s">
        <v>84</v>
      </c>
    </row>
    <row r="42" spans="1:4" ht="15">
      <c r="A42" s="133"/>
      <c r="B42" s="140" t="s">
        <v>85</v>
      </c>
      <c r="C42" s="139"/>
      <c r="D42" s="145" t="s">
        <v>86</v>
      </c>
    </row>
    <row r="43" spans="1:4" ht="15">
      <c r="A43" s="133"/>
      <c r="B43" s="140" t="s">
        <v>87</v>
      </c>
      <c r="C43" s="139"/>
      <c r="D43" s="145" t="s">
        <v>88</v>
      </c>
    </row>
    <row r="44" spans="1:4" ht="15">
      <c r="A44" s="133"/>
      <c r="B44" s="140" t="s">
        <v>89</v>
      </c>
      <c r="C44" s="139"/>
      <c r="D44" s="145" t="s">
        <v>90</v>
      </c>
    </row>
    <row r="45" spans="1:4" ht="15">
      <c r="A45" s="139"/>
      <c r="B45" s="140" t="s">
        <v>91</v>
      </c>
      <c r="C45" s="139"/>
      <c r="D45" s="145" t="s">
        <v>92</v>
      </c>
    </row>
    <row r="46" spans="1:4" ht="15">
      <c r="A46" s="133"/>
      <c r="B46" s="140" t="s">
        <v>93</v>
      </c>
      <c r="C46" s="139"/>
      <c r="D46" s="145" t="s">
        <v>94</v>
      </c>
    </row>
    <row r="47" spans="1:4" ht="15">
      <c r="A47" s="133"/>
      <c r="B47" s="140" t="s">
        <v>95</v>
      </c>
      <c r="C47" s="139"/>
      <c r="D47" s="145" t="s">
        <v>96</v>
      </c>
    </row>
    <row r="48" spans="1:4" ht="15">
      <c r="A48" s="139"/>
      <c r="B48" s="140" t="s">
        <v>97</v>
      </c>
      <c r="C48" s="139"/>
      <c r="D48" s="145" t="s">
        <v>98</v>
      </c>
    </row>
    <row r="49" spans="1:4" ht="15">
      <c r="A49" s="139"/>
      <c r="B49" s="140" t="s">
        <v>99</v>
      </c>
      <c r="C49" s="139"/>
      <c r="D49" s="145" t="s">
        <v>100</v>
      </c>
    </row>
    <row r="50" spans="1:4" ht="15">
      <c r="A50" s="139"/>
      <c r="B50" s="140" t="s">
        <v>101</v>
      </c>
      <c r="C50" s="139"/>
      <c r="D50" s="145" t="s">
        <v>102</v>
      </c>
    </row>
    <row r="51" spans="1:4" ht="15">
      <c r="A51" s="133"/>
      <c r="B51" s="140" t="s">
        <v>103</v>
      </c>
      <c r="C51" s="133"/>
      <c r="D51" s="145" t="s">
        <v>104</v>
      </c>
    </row>
  </sheetData>
  <sortState xmlns:xlrd2="http://schemas.microsoft.com/office/spreadsheetml/2017/richdata2" ref="B23:D51">
    <sortCondition ref="B23"/>
  </sortState>
  <customSheetViews>
    <customSheetView guid="{343BF296-013A-41F5-BDAB-AD6220EA7F78}" showPageBreaks="1" fitToPage="1" printArea="1" view="pageBreakPreview" topLeftCell="A34">
      <selection activeCell="D33" sqref="D33"/>
      <pageMargins left="0" right="0" top="0" bottom="0" header="0" footer="0"/>
      <pageSetup scale="73" orientation="portrait" r:id="rId1"/>
    </customSheetView>
    <customSheetView guid="{B321D76C-CDE5-48BB-9CDE-80FF97D58FCF}" showPageBreaks="1" fitToPage="1" printArea="1" view="pageBreakPreview" topLeftCell="A34">
      <selection activeCell="D33" sqref="D33"/>
      <pageMargins left="0" right="0" top="0" bottom="0" header="0" footer="0"/>
      <pageSetup scale="73" orientation="portrait" r:id="rId2"/>
    </customSheetView>
  </customSheetViews>
  <mergeCells count="3">
    <mergeCell ref="B4:D4"/>
    <mergeCell ref="B5:D5"/>
    <mergeCell ref="B6:D6"/>
  </mergeCells>
  <hyperlinks>
    <hyperlink ref="B11" r:id="rId3" location="SUMMARY!A1" xr:uid="{00000000-0004-0000-0000-000000000000}"/>
    <hyperlink ref="B12" r:id="rId4" location="'A1-O&amp;M'!A1" display="Schedule A" xr:uid="{00000000-0004-0000-0000-000001000000}"/>
    <hyperlink ref="B13" r:id="rId5" location="'A2-A&amp;G'!A1" xr:uid="{00000000-0004-0000-0000-000002000000}"/>
    <hyperlink ref="B14" r:id="rId6" location="'B1-Depn'!A1" xr:uid="{00000000-0004-0000-0000-000003000000}"/>
    <hyperlink ref="B17" r:id="rId7" location="'C1-Rate Base'!A1" xr:uid="{00000000-0004-0000-0000-000004000000}"/>
    <hyperlink ref="B18" r:id="rId8" location="'D1-Cap Structure'!A1" xr:uid="{00000000-0004-0000-0000-000005000000}"/>
    <hyperlink ref="B20" r:id="rId9" location="'E1-Labor Ratio'!A1" xr:uid="{00000000-0004-0000-0000-000006000000}"/>
    <hyperlink ref="B15" r:id="rId10" location="'B2-Plant'!A1" xr:uid="{00000000-0004-0000-0000-000007000000}"/>
    <hyperlink ref="B21" r:id="rId11" location="'F1-Proj RR'!A1" xr:uid="{00000000-0004-0000-0000-000008000000}"/>
    <hyperlink ref="B22" r:id="rId12" location="'F2-Incentives'!A1" xr:uid="{00000000-0004-0000-0000-000009000000}"/>
    <hyperlink ref="B23" r:id="rId13" location="'F3-True-Up'!A1" xr:uid="{00000000-0004-0000-0000-00000A000000}"/>
    <hyperlink ref="B16" r:id="rId14" location="'B3-Depn Rates'!A1" xr:uid="{00000000-0004-0000-0000-00000B000000}"/>
    <hyperlink ref="B34" r:id="rId15" location="'WP-BB'!A1" xr:uid="{00000000-0004-0000-0000-00000C000000}"/>
    <hyperlink ref="B35" r:id="rId16" location="'WP-BC'!A1" xr:uid="{00000000-0004-0000-0000-00000D000000}"/>
    <hyperlink ref="B48" r:id="rId17" location="'WP-AR-IS'!A1" xr:uid="{00000000-0004-0000-0000-00000E000000}"/>
    <hyperlink ref="B49" r:id="rId18" location="'WP-AR-BS'!A1" xr:uid="{00000000-0004-0000-0000-00000F000000}"/>
    <hyperlink ref="B50" r:id="rId19" location="'WP-AR-Cap Assets'!A1" xr:uid="{00000000-0004-0000-0000-000010000000}"/>
    <hyperlink ref="B24" r:id="rId20" location="'WP-AA'!A1" xr:uid="{00000000-0004-0000-0000-000011000000}"/>
    <hyperlink ref="B25" r:id="rId21" location="'WP-AB'!A1" xr:uid="{00000000-0004-0000-0000-000012000000}"/>
    <hyperlink ref="B47" r:id="rId22" location="'WP-EA'!A1" xr:uid="{00000000-0004-0000-0000-000013000000}"/>
    <hyperlink ref="B46" r:id="rId23" location="'WP-DB'!A1" display="Work Paper-D1" xr:uid="{00000000-0004-0000-0000-000014000000}"/>
    <hyperlink ref="B45" r:id="rId24" location="'WP-DA'!A1" xr:uid="{00000000-0004-0000-0000-000015000000}"/>
    <hyperlink ref="B33" r:id="rId25" location="'WP-BA'!A1" xr:uid="{00000000-0004-0000-0000-000016000000}"/>
    <hyperlink ref="B40" r:id="rId26" location="'WP-BH'!A1" xr:uid="{00000000-0004-0000-0000-000017000000}"/>
    <hyperlink ref="B38" r:id="rId27" location="'WP-BF'!A1" xr:uid="{00000000-0004-0000-0000-000018000000}"/>
    <hyperlink ref="B39" r:id="rId28" location="'WP-BG'!A1" xr:uid="{00000000-0004-0000-0000-000019000000}"/>
    <hyperlink ref="B37" r:id="rId29" location="'WP-BE'!A1" xr:uid="{00000000-0004-0000-0000-00001A000000}"/>
    <hyperlink ref="B43" r:id="rId30" location="'WP-CA'!A1" xr:uid="{00000000-0004-0000-0000-00001B000000}"/>
    <hyperlink ref="B36" r:id="rId31" location="'WP-BD'!A1" xr:uid="{00000000-0004-0000-0000-00001C000000}"/>
    <hyperlink ref="B44" r:id="rId32" location="'WP-CB'!A1" xr:uid="{00000000-0004-0000-0000-00001D000000}"/>
    <hyperlink ref="B27" r:id="rId33" location="'WP-AD'!A1" xr:uid="{00000000-0004-0000-0000-00001E000000}"/>
    <hyperlink ref="B30" r:id="rId34" location="'WP-AG'!A1" xr:uid="{00000000-0004-0000-0000-00001F000000}"/>
    <hyperlink ref="B41" r:id="rId35" location="'WP-BI'!A1" xr:uid="{00000000-0004-0000-0000-000020000000}"/>
    <hyperlink ref="B26" r:id="rId36" location="'WP-AC'!A1" xr:uid="{00000000-0004-0000-0000-000021000000}"/>
    <hyperlink ref="B32" r:id="rId37" location="'WP-AI'!A1" xr:uid="{00000000-0004-0000-0000-000022000000}"/>
    <hyperlink ref="B31" r:id="rId38" location="'WP-AH'!A1" xr:uid="{00000000-0004-0000-0000-000023000000}"/>
    <hyperlink ref="B29" r:id="rId39" location="'WP-AF'!A1" xr:uid="{00000000-0004-0000-0000-000024000000}"/>
    <hyperlink ref="B28" r:id="rId40" location="'WP-AE'!A1" xr:uid="{00000000-0004-0000-0000-000025000000}"/>
    <hyperlink ref="B51" r:id="rId41" location="'WP-Reconciliations'!A1" xr:uid="{00000000-0004-0000-0000-000026000000}"/>
    <hyperlink ref="B19" r:id="rId42" location="'D2-Project Cap Structures'!A1" xr:uid="{00000000-0004-0000-0000-000027000000}"/>
  </hyperlinks>
  <pageMargins left="0.7" right="0.7" top="0.75" bottom="0.75" header="0.3" footer="0.3"/>
  <pageSetup scale="75" orientation="portrait" r:id="rId43"/>
  <drawing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3">
    <pageSetUpPr fitToPage="1"/>
  </sheetPr>
  <dimension ref="A1:J53"/>
  <sheetViews>
    <sheetView showGridLines="0" defaultGridColor="0" view="pageBreakPreview" colorId="22" zoomScale="90" zoomScaleNormal="80" zoomScaleSheetLayoutView="90" workbookViewId="0">
      <selection activeCell="D38" sqref="D38"/>
    </sheetView>
  </sheetViews>
  <sheetFormatPr defaultColWidth="13.33203125" defaultRowHeight="12"/>
  <cols>
    <col min="1" max="1" width="9.109375" style="59" customWidth="1"/>
    <col min="2" max="2" width="49.21875" style="59" customWidth="1"/>
    <col min="3" max="3" width="3.77734375" style="59" customWidth="1"/>
    <col min="4" max="4" width="18.77734375" style="59" customWidth="1"/>
    <col min="5" max="5" width="5.21875" style="59" customWidth="1"/>
    <col min="6" max="6" width="41.109375" style="59" customWidth="1"/>
    <col min="7" max="7" width="7.77734375" style="59" customWidth="1"/>
    <col min="8" max="8" width="5.77734375" style="59" customWidth="1"/>
    <col min="9" max="9" width="20.33203125" style="59" bestFit="1" customWidth="1"/>
    <col min="10" max="10" width="19.5546875" style="59" bestFit="1" customWidth="1"/>
    <col min="11" max="11" width="29.109375" style="59" customWidth="1"/>
    <col min="12" max="16384" width="13.33203125" style="59"/>
  </cols>
  <sheetData>
    <row r="1" spans="1:10" ht="15.6">
      <c r="A1" s="727"/>
      <c r="B1" s="727"/>
      <c r="C1" s="126"/>
      <c r="D1" s="126"/>
      <c r="E1" s="126"/>
      <c r="F1" s="72"/>
      <c r="I1" s="1214"/>
      <c r="J1" s="1215"/>
    </row>
    <row r="2" spans="1:10" ht="15">
      <c r="A2" s="126"/>
      <c r="B2" s="546"/>
      <c r="C2" s="126"/>
      <c r="D2" s="126"/>
      <c r="E2" s="126"/>
      <c r="F2" s="126"/>
      <c r="I2" s="1214"/>
      <c r="J2" s="1215"/>
    </row>
    <row r="3" spans="1:10">
      <c r="I3" s="1214"/>
      <c r="J3" s="1215"/>
    </row>
    <row r="4" spans="1:10">
      <c r="I4" s="1214"/>
      <c r="J4" s="1215"/>
    </row>
    <row r="5" spans="1:10" ht="15.6">
      <c r="A5" s="1460" t="s">
        <v>20</v>
      </c>
      <c r="B5" s="1460"/>
      <c r="C5" s="1460"/>
      <c r="D5" s="1460"/>
      <c r="E5" s="1460"/>
      <c r="F5" s="1460"/>
      <c r="G5" s="1460"/>
      <c r="H5" s="1460"/>
      <c r="I5" s="1214"/>
      <c r="J5" s="1215"/>
    </row>
    <row r="6" spans="1:10" ht="15.6">
      <c r="A6" s="1460" t="s">
        <v>1</v>
      </c>
      <c r="B6" s="1460"/>
      <c r="C6" s="1460"/>
      <c r="D6" s="1460"/>
      <c r="E6" s="1460"/>
      <c r="F6" s="1460"/>
      <c r="G6" s="1460"/>
      <c r="H6" s="1460"/>
      <c r="I6" s="1214"/>
      <c r="J6" s="1215"/>
    </row>
    <row r="7" spans="1:10" ht="15.6">
      <c r="A7" s="1461" t="s">
        <v>105</v>
      </c>
      <c r="B7" s="1461"/>
      <c r="C7" s="1461"/>
      <c r="D7" s="1461"/>
      <c r="E7" s="1461"/>
      <c r="F7" s="1461"/>
      <c r="G7" s="1461"/>
      <c r="H7" s="1461"/>
      <c r="I7" s="1214"/>
      <c r="J7" s="1215"/>
    </row>
    <row r="8" spans="1:10">
      <c r="I8" s="1214"/>
      <c r="J8" s="1215"/>
    </row>
    <row r="10" spans="1:10" ht="15.6">
      <c r="A10" s="1460" t="s">
        <v>25</v>
      </c>
      <c r="B10" s="1460"/>
      <c r="C10" s="1460"/>
      <c r="D10" s="1460"/>
      <c r="E10" s="1460"/>
      <c r="F10" s="1460"/>
      <c r="G10" s="1460"/>
      <c r="H10" s="1460"/>
    </row>
    <row r="11" spans="1:10" ht="15.6">
      <c r="A11" s="126"/>
      <c r="B11" s="126"/>
      <c r="C11" s="727" t="s">
        <v>106</v>
      </c>
      <c r="D11" s="126"/>
      <c r="E11" s="126"/>
      <c r="F11" s="126"/>
      <c r="G11" s="126"/>
    </row>
    <row r="14" spans="1:10" s="738" customFormat="1" ht="15.6">
      <c r="B14" s="1132"/>
      <c r="C14" s="1132"/>
      <c r="D14" s="1132"/>
      <c r="E14" s="1132"/>
      <c r="F14" s="1132"/>
      <c r="G14" s="1132"/>
    </row>
    <row r="15" spans="1:10" s="381" customFormat="1" ht="15.6">
      <c r="A15" s="1133" t="s">
        <v>7</v>
      </c>
      <c r="B15" s="1134" t="s">
        <v>107</v>
      </c>
      <c r="C15" s="126"/>
      <c r="D15" s="729" t="s">
        <v>108</v>
      </c>
      <c r="E15" s="126"/>
      <c r="F15" s="1038" t="s">
        <v>109</v>
      </c>
      <c r="G15" s="126"/>
    </row>
    <row r="16" spans="1:10" s="381" customFormat="1" ht="15">
      <c r="A16" s="126"/>
      <c r="B16" s="126"/>
      <c r="C16" s="126"/>
      <c r="D16" s="378" t="s">
        <v>110</v>
      </c>
      <c r="E16" s="126"/>
      <c r="F16" s="378" t="s">
        <v>111</v>
      </c>
    </row>
    <row r="17" spans="1:10" s="126" customFormat="1" ht="15">
      <c r="I17"/>
      <c r="J17"/>
    </row>
    <row r="18" spans="1:10" s="126" customFormat="1" ht="15.6">
      <c r="A18" s="1262">
        <v>1</v>
      </c>
      <c r="B18" s="126" t="s">
        <v>112</v>
      </c>
      <c r="D18" s="1042">
        <f>'A1-O&amp;M'!J40</f>
        <v>66503107.128539689</v>
      </c>
      <c r="F18" s="129" t="s">
        <v>113</v>
      </c>
      <c r="I18"/>
      <c r="J18"/>
    </row>
    <row r="19" spans="1:10" s="126" customFormat="1" ht="15">
      <c r="D19" s="1135"/>
      <c r="I19"/>
      <c r="J19"/>
    </row>
    <row r="20" spans="1:10" s="126" customFormat="1" ht="15.6">
      <c r="A20" s="1262">
        <v>2</v>
      </c>
      <c r="B20" s="126" t="s">
        <v>114</v>
      </c>
      <c r="D20" s="1042">
        <f>'A2-A&amp;G'!J42</f>
        <v>77936479.938557401</v>
      </c>
      <c r="F20" s="129" t="s">
        <v>115</v>
      </c>
      <c r="I20"/>
      <c r="J20"/>
    </row>
    <row r="21" spans="1:10" s="126" customFormat="1" ht="15">
      <c r="D21" s="1135"/>
      <c r="I21"/>
      <c r="J21"/>
    </row>
    <row r="22" spans="1:10" s="126" customFormat="1" ht="15.6">
      <c r="A22" s="1262">
        <v>3</v>
      </c>
      <c r="B22" s="126" t="s">
        <v>116</v>
      </c>
      <c r="D22" s="1042">
        <f>'B1-Depn'!P50</f>
        <v>66415716.051836744</v>
      </c>
      <c r="F22" s="129" t="s">
        <v>117</v>
      </c>
      <c r="I22"/>
      <c r="J22"/>
    </row>
    <row r="23" spans="1:10" s="126" customFormat="1" ht="15">
      <c r="D23" s="1136"/>
      <c r="I23"/>
      <c r="J23"/>
    </row>
    <row r="24" spans="1:10" s="126" customFormat="1" ht="15.6">
      <c r="A24" s="1262">
        <v>4</v>
      </c>
      <c r="B24" s="727" t="s">
        <v>118</v>
      </c>
      <c r="D24" s="1137">
        <f>SUM(D18:D22)</f>
        <v>210855303.11893386</v>
      </c>
      <c r="F24" s="126" t="s">
        <v>119</v>
      </c>
      <c r="I24"/>
      <c r="J24"/>
    </row>
    <row r="25" spans="1:10" s="126" customFormat="1" ht="15">
      <c r="D25" s="1135"/>
      <c r="I25"/>
      <c r="J25"/>
    </row>
    <row r="26" spans="1:10" s="126" customFormat="1" ht="16.2" thickBot="1">
      <c r="A26" s="1262">
        <v>5</v>
      </c>
      <c r="B26" s="1038" t="s">
        <v>120</v>
      </c>
      <c r="D26" s="1138">
        <f>'C1-Rate Base'!L31</f>
        <v>1733161921.1377101</v>
      </c>
      <c r="F26" s="129" t="s">
        <v>121</v>
      </c>
      <c r="I26"/>
      <c r="J26"/>
    </row>
    <row r="27" spans="1:10" s="126" customFormat="1" ht="15.6" thickTop="1">
      <c r="D27" s="1135"/>
      <c r="I27"/>
      <c r="J27"/>
    </row>
    <row r="28" spans="1:10" s="126" customFormat="1" ht="15.6">
      <c r="A28" s="1262">
        <v>6</v>
      </c>
      <c r="B28" s="126" t="s">
        <v>122</v>
      </c>
      <c r="D28" s="1139">
        <f>'C1-Rate Base'!P31</f>
        <v>118726483.24574803</v>
      </c>
      <c r="F28" s="129" t="s">
        <v>123</v>
      </c>
      <c r="I28"/>
      <c r="J28"/>
    </row>
    <row r="29" spans="1:10" s="126" customFormat="1" ht="15">
      <c r="D29" s="1135"/>
      <c r="I29"/>
      <c r="J29"/>
    </row>
    <row r="30" spans="1:10" s="126" customFormat="1" ht="15.6">
      <c r="A30" s="1262" t="s">
        <v>124</v>
      </c>
      <c r="B30" s="126" t="s">
        <v>125</v>
      </c>
      <c r="D30" s="1139">
        <f>+'D2-Project Cap Structures'!H72</f>
        <v>527432.08390945033</v>
      </c>
      <c r="F30" s="129" t="s">
        <v>126</v>
      </c>
      <c r="I30"/>
      <c r="J30"/>
    </row>
    <row r="31" spans="1:10" s="126" customFormat="1" ht="15.6">
      <c r="D31" s="1140"/>
      <c r="E31" s="1140"/>
      <c r="I31"/>
      <c r="J31"/>
    </row>
    <row r="32" spans="1:10" s="126" customFormat="1" ht="15.6">
      <c r="A32" s="1262">
        <v>7</v>
      </c>
      <c r="B32" s="727" t="s">
        <v>127</v>
      </c>
      <c r="D32" s="1140">
        <f>D24+D28+D30</f>
        <v>330109218.44859135</v>
      </c>
      <c r="F32" s="129" t="s">
        <v>128</v>
      </c>
      <c r="I32"/>
      <c r="J32"/>
    </row>
    <row r="33" spans="1:10" s="381" customFormat="1" ht="13.2">
      <c r="I33"/>
      <c r="J33"/>
    </row>
    <row r="34" spans="1:10" s="381" customFormat="1" ht="15.6">
      <c r="A34" s="1262">
        <v>8</v>
      </c>
      <c r="B34" s="1141" t="s">
        <v>129</v>
      </c>
      <c r="C34" s="126"/>
      <c r="D34" s="1135">
        <f>+'F1-Proj RR'!O67</f>
        <v>0</v>
      </c>
      <c r="E34" s="1141"/>
      <c r="F34" s="1141" t="s">
        <v>130</v>
      </c>
      <c r="G34" s="1141"/>
      <c r="H34" s="1141"/>
      <c r="I34"/>
      <c r="J34"/>
    </row>
    <row r="35" spans="1:10" s="381" customFormat="1" ht="15">
      <c r="A35" s="1142"/>
      <c r="I35"/>
      <c r="J35"/>
    </row>
    <row r="36" spans="1:10" s="381" customFormat="1" ht="15.6">
      <c r="A36" s="1262">
        <v>9</v>
      </c>
      <c r="B36" s="1141" t="s">
        <v>131</v>
      </c>
      <c r="C36" s="126"/>
      <c r="D36" s="1250">
        <f>+'F3-True-Up'!J30</f>
        <v>40882696.200637653</v>
      </c>
      <c r="E36" s="911"/>
      <c r="F36" s="1144" t="s">
        <v>132</v>
      </c>
      <c r="G36" s="1141"/>
      <c r="H36" s="1145"/>
      <c r="I36"/>
      <c r="J36"/>
    </row>
    <row r="37" spans="1:10" s="381" customFormat="1" ht="15">
      <c r="A37" s="1142"/>
      <c r="B37" s="1141"/>
      <c r="C37" s="126"/>
      <c r="D37" s="1141"/>
      <c r="E37" s="1141"/>
      <c r="F37" s="1141"/>
      <c r="G37" s="1141"/>
      <c r="H37" s="1141"/>
      <c r="I37"/>
      <c r="J37"/>
    </row>
    <row r="38" spans="1:10" s="381" customFormat="1" ht="15.6">
      <c r="A38" s="1262">
        <v>10</v>
      </c>
      <c r="B38" s="1146" t="s">
        <v>133</v>
      </c>
      <c r="C38" s="126"/>
      <c r="D38" s="1147">
        <f>+D32+D36+D34</f>
        <v>370991914.64922899</v>
      </c>
      <c r="E38" s="1141"/>
      <c r="F38" s="1143" t="s">
        <v>134</v>
      </c>
      <c r="G38" s="1143"/>
      <c r="H38" s="1143"/>
      <c r="I38"/>
      <c r="J38"/>
    </row>
    <row r="39" spans="1:10" s="381" customFormat="1" ht="15">
      <c r="A39" s="126"/>
      <c r="B39" s="126"/>
      <c r="C39" s="126"/>
      <c r="D39" s="126"/>
      <c r="E39" s="126"/>
      <c r="F39" s="126"/>
      <c r="G39" s="126"/>
      <c r="H39" s="126"/>
      <c r="I39"/>
      <c r="J39"/>
    </row>
    <row r="40" spans="1:10" s="381" customFormat="1" ht="15.6">
      <c r="A40" s="1262"/>
      <c r="B40" s="727" t="s">
        <v>135</v>
      </c>
      <c r="C40" s="126"/>
      <c r="D40" s="126"/>
      <c r="E40" s="126"/>
      <c r="F40" s="126"/>
      <c r="G40" s="126"/>
      <c r="H40" s="126"/>
      <c r="I40"/>
      <c r="J40"/>
    </row>
    <row r="41" spans="1:10" s="381" customFormat="1" ht="15">
      <c r="A41" s="126"/>
      <c r="B41" s="126"/>
      <c r="C41" s="126"/>
      <c r="D41" s="126"/>
      <c r="E41" s="126"/>
      <c r="F41" s="126"/>
      <c r="G41" s="126"/>
      <c r="H41" s="126"/>
      <c r="I41"/>
      <c r="J41"/>
    </row>
    <row r="42" spans="1:10" s="381" customFormat="1" ht="15.6">
      <c r="A42" s="1262">
        <v>11</v>
      </c>
      <c r="B42" s="126" t="s">
        <v>136</v>
      </c>
      <c r="C42" s="126"/>
      <c r="D42" s="1135">
        <f>+'F1-Proj RR'!T47+'F1-Proj RR'!T50</f>
        <v>339692899.05522376</v>
      </c>
      <c r="E42" s="126"/>
      <c r="F42" s="1143" t="s">
        <v>137</v>
      </c>
      <c r="G42" s="126"/>
      <c r="H42" s="126"/>
      <c r="I42"/>
      <c r="J42"/>
    </row>
    <row r="43" spans="1:10" s="381" customFormat="1" ht="15.6">
      <c r="A43" s="1262" t="s">
        <v>138</v>
      </c>
      <c r="B43" s="126" t="s">
        <v>139</v>
      </c>
      <c r="C43" s="126"/>
      <c r="D43" s="1135">
        <f>+'F1-Proj RR'!T48</f>
        <v>6565462.2178878514</v>
      </c>
      <c r="E43" s="126"/>
      <c r="F43" s="1143" t="s">
        <v>140</v>
      </c>
      <c r="G43" s="126"/>
      <c r="H43" s="126"/>
      <c r="I43"/>
      <c r="J43"/>
    </row>
    <row r="44" spans="1:10" s="143" customFormat="1" ht="34.35" customHeight="1">
      <c r="A44" s="1148" t="s">
        <v>141</v>
      </c>
      <c r="B44" s="1149" t="s">
        <v>142</v>
      </c>
      <c r="C44" s="1150"/>
      <c r="D44" s="1151">
        <f>+'F1-Proj RR'!T49</f>
        <v>24733553.376117401</v>
      </c>
      <c r="E44" s="1150"/>
      <c r="F44" s="1152" t="s">
        <v>143</v>
      </c>
      <c r="G44" s="1150"/>
      <c r="H44" s="1150"/>
      <c r="I44"/>
      <c r="J44"/>
    </row>
    <row r="45" spans="1:10" s="381" customFormat="1" ht="15.6">
      <c r="A45" s="1262" t="s">
        <v>144</v>
      </c>
      <c r="B45" s="1153"/>
      <c r="C45" s="126"/>
      <c r="D45" s="232">
        <v>0</v>
      </c>
      <c r="E45" s="126"/>
      <c r="F45" s="1154"/>
      <c r="G45" s="126"/>
      <c r="H45" s="126"/>
      <c r="I45"/>
      <c r="J45"/>
    </row>
    <row r="46" spans="1:10" s="381" customFormat="1" ht="15.6">
      <c r="A46" s="1262" t="s">
        <v>145</v>
      </c>
      <c r="B46" s="1153"/>
      <c r="C46" s="126"/>
      <c r="D46" s="232">
        <v>0</v>
      </c>
      <c r="E46" s="126"/>
      <c r="F46" s="130"/>
      <c r="G46" s="126"/>
      <c r="H46" s="126"/>
      <c r="I46"/>
      <c r="J46"/>
    </row>
    <row r="47" spans="1:10" s="381" customFormat="1" ht="15">
      <c r="A47" s="1153" t="s">
        <v>146</v>
      </c>
      <c r="B47" s="1153" t="s">
        <v>146</v>
      </c>
      <c r="C47" s="126"/>
      <c r="D47" s="232">
        <v>0</v>
      </c>
      <c r="E47" s="126"/>
      <c r="F47" s="130"/>
      <c r="G47" s="126"/>
      <c r="H47" s="126"/>
      <c r="I47"/>
      <c r="J47"/>
    </row>
    <row r="48" spans="1:10" s="381" customFormat="1" ht="16.2" thickBot="1">
      <c r="A48" s="1262">
        <v>12</v>
      </c>
      <c r="B48" s="126" t="s">
        <v>147</v>
      </c>
      <c r="C48" s="126"/>
      <c r="D48" s="1138">
        <f>SUM(D42:D47)</f>
        <v>370991914.64922905</v>
      </c>
      <c r="E48" s="126"/>
      <c r="F48" s="1143" t="s">
        <v>148</v>
      </c>
      <c r="G48" s="126"/>
      <c r="H48" s="126"/>
      <c r="I48" s="126"/>
    </row>
    <row r="49" spans="1:9" s="381" customFormat="1" ht="15.6" thickTop="1">
      <c r="A49" s="126"/>
      <c r="B49" s="126"/>
      <c r="C49" s="126"/>
      <c r="D49" s="126"/>
      <c r="E49" s="126"/>
      <c r="F49" s="126"/>
      <c r="G49" s="126"/>
      <c r="H49" s="126"/>
      <c r="I49" s="126"/>
    </row>
    <row r="50" spans="1:9" s="381" customFormat="1" ht="15">
      <c r="A50" s="126"/>
      <c r="B50" s="126"/>
      <c r="C50" s="126"/>
      <c r="D50" s="126"/>
      <c r="E50" s="126"/>
      <c r="F50" s="126"/>
      <c r="G50" s="126"/>
      <c r="H50" s="126"/>
      <c r="I50" s="126"/>
    </row>
    <row r="51" spans="1:9" s="381" customFormat="1" ht="15" customHeight="1">
      <c r="A51" s="126" t="s">
        <v>149</v>
      </c>
      <c r="B51" s="1462" t="s">
        <v>150</v>
      </c>
      <c r="C51" s="1462"/>
      <c r="D51" s="1462"/>
      <c r="E51" s="1462"/>
      <c r="F51" s="1462"/>
      <c r="G51" s="1155"/>
      <c r="H51" s="1155"/>
      <c r="I51" s="126"/>
    </row>
    <row r="52" spans="1:9" s="381" customFormat="1" ht="15">
      <c r="A52" s="126"/>
      <c r="B52" s="1462"/>
      <c r="C52" s="1462"/>
      <c r="D52" s="1462"/>
      <c r="E52" s="1462"/>
      <c r="F52" s="1462"/>
      <c r="G52" s="1155"/>
      <c r="H52" s="1155"/>
      <c r="I52" s="126"/>
    </row>
    <row r="53" spans="1:9" ht="15.6">
      <c r="A53" s="1132"/>
      <c r="B53" s="1132"/>
      <c r="C53" s="1132"/>
      <c r="D53" s="1132"/>
      <c r="E53" s="1132"/>
      <c r="F53" s="1132"/>
      <c r="G53" s="1132"/>
      <c r="H53" s="1132"/>
      <c r="I53" s="1132"/>
    </row>
  </sheetData>
  <customSheetViews>
    <customSheetView guid="{343BF296-013A-41F5-BDAB-AD6220EA7F78}" scale="80" colorId="22" showPageBreaks="1" showGridLines="0" fitToPage="1" printArea="1" view="pageBreakPreview">
      <selection activeCell="A7" sqref="A7:H7"/>
      <pageMargins left="0" right="0" top="0" bottom="0" header="0" footer="0"/>
      <printOptions horizontalCentered="1"/>
      <pageSetup scale="58" orientation="landscape" r:id="rId1"/>
      <headerFooter alignWithMargins="0"/>
    </customSheetView>
    <customSheetView guid="{B321D76C-CDE5-48BB-9CDE-80FF97D58FCF}" scale="80" colorId="22" showPageBreaks="1" showGridLines="0" fitToPage="1" printArea="1" view="pageBreakPreview">
      <selection activeCell="A7" sqref="A7:H7"/>
      <pageMargins left="0" right="0" top="0" bottom="0" header="0" footer="0"/>
      <printOptions horizontalCentered="1"/>
      <pageSetup scale="58" orientation="landscape" r:id="rId2"/>
      <headerFooter alignWithMargins="0"/>
    </customSheetView>
  </customSheetViews>
  <mergeCells count="5">
    <mergeCell ref="A5:H5"/>
    <mergeCell ref="A6:H6"/>
    <mergeCell ref="A7:H7"/>
    <mergeCell ref="A10:H10"/>
    <mergeCell ref="B51:F52"/>
  </mergeCells>
  <phoneticPr fontId="0" type="noConversion"/>
  <printOptions horizontalCentered="1"/>
  <pageMargins left="0.5" right="0.5" top="1" bottom="1" header="0.5" footer="0.5"/>
  <pageSetup scale="72" orientation="portrait" r:id="rId3"/>
  <headerFooter alignWithMargins="0"/>
  <ignoredErrors>
    <ignoredError sqref="D16 F16" numberStoredAsText="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4">
    <tabColor rgb="FF92D050"/>
    <pageSetUpPr fitToPage="1"/>
  </sheetPr>
  <dimension ref="A1:N45"/>
  <sheetViews>
    <sheetView showGridLines="0" defaultGridColor="0" view="pageBreakPreview" colorId="22" zoomScale="90" zoomScaleNormal="80" zoomScaleSheetLayoutView="90" workbookViewId="0">
      <selection activeCell="L49" sqref="L49"/>
    </sheetView>
  </sheetViews>
  <sheetFormatPr defaultColWidth="13.33203125" defaultRowHeight="12"/>
  <cols>
    <col min="1" max="1" width="4.109375" style="216" customWidth="1"/>
    <col min="2" max="2" width="7.77734375" style="216" bestFit="1" customWidth="1"/>
    <col min="3" max="3" width="13" style="216" customWidth="1"/>
    <col min="4" max="4" width="7.33203125" style="216" customWidth="1"/>
    <col min="5" max="5" width="14.109375" style="216" customWidth="1"/>
    <col min="6" max="6" width="29.33203125" style="216" customWidth="1"/>
    <col min="7" max="7" width="22.77734375" style="216" customWidth="1"/>
    <col min="8" max="8" width="16.109375" style="216" bestFit="1" customWidth="1"/>
    <col min="9" max="9" width="1.77734375" style="216" customWidth="1"/>
    <col min="10" max="10" width="15.77734375" style="216" bestFit="1" customWidth="1"/>
    <col min="11" max="11" width="29.109375" style="216" customWidth="1"/>
    <col min="12" max="12" width="16.109375" style="216" bestFit="1" customWidth="1"/>
    <col min="13" max="16384" width="13.33203125" style="216"/>
  </cols>
  <sheetData>
    <row r="1" spans="1:14" s="214" customFormat="1" ht="15.6">
      <c r="A1" s="70"/>
      <c r="B1" s="725"/>
      <c r="C1" s="71"/>
      <c r="D1" s="71"/>
      <c r="E1" s="71"/>
      <c r="F1" s="71"/>
      <c r="G1" s="71"/>
      <c r="J1" s="72"/>
      <c r="K1" s="1266"/>
      <c r="L1" s="71"/>
      <c r="M1" s="1214"/>
      <c r="N1" s="1215"/>
    </row>
    <row r="2" spans="1:14" ht="17.399999999999999">
      <c r="A2" s="218"/>
      <c r="C2" s="218"/>
      <c r="D2" s="218"/>
      <c r="F2" s="218"/>
      <c r="G2" s="218"/>
      <c r="H2" s="218"/>
      <c r="I2" s="218"/>
      <c r="J2" s="218"/>
      <c r="L2" s="218"/>
      <c r="M2" s="1214"/>
      <c r="N2" s="1215"/>
    </row>
    <row r="3" spans="1:14" ht="17.399999999999999">
      <c r="A3" s="1463" t="s">
        <v>20</v>
      </c>
      <c r="B3" s="1463"/>
      <c r="C3" s="1463"/>
      <c r="D3" s="1463"/>
      <c r="E3" s="1463"/>
      <c r="F3" s="1463"/>
      <c r="G3" s="1463"/>
      <c r="H3" s="1463"/>
      <c r="I3" s="1463"/>
      <c r="J3" s="1463"/>
      <c r="K3" s="1463"/>
      <c r="L3" s="218"/>
      <c r="M3" s="1214"/>
      <c r="N3" s="1215"/>
    </row>
    <row r="4" spans="1:14" ht="17.399999999999999">
      <c r="A4" s="1463" t="s">
        <v>1</v>
      </c>
      <c r="B4" s="1463"/>
      <c r="C4" s="1463"/>
      <c r="D4" s="1463"/>
      <c r="E4" s="1463"/>
      <c r="F4" s="1463"/>
      <c r="G4" s="1463"/>
      <c r="H4" s="1463"/>
      <c r="I4" s="1463"/>
      <c r="J4" s="1463"/>
      <c r="K4" s="1463"/>
      <c r="L4" s="218"/>
      <c r="M4" s="1214"/>
      <c r="N4" s="1215"/>
    </row>
    <row r="5" spans="1:14" ht="17.399999999999999">
      <c r="A5" s="1464" t="str">
        <f>SUMMARY!A7</f>
        <v>YEAR ENDING DECEMBER 31, 2022</v>
      </c>
      <c r="B5" s="1464"/>
      <c r="C5" s="1464"/>
      <c r="D5" s="1464"/>
      <c r="E5" s="1464"/>
      <c r="F5" s="1464"/>
      <c r="G5" s="1464"/>
      <c r="H5" s="1464"/>
      <c r="I5" s="1464"/>
      <c r="J5" s="1464"/>
      <c r="K5" s="1464"/>
      <c r="L5" s="218"/>
      <c r="M5" s="1214"/>
      <c r="N5" s="1215"/>
    </row>
    <row r="6" spans="1:14" ht="17.399999999999999">
      <c r="A6" s="1264"/>
      <c r="B6" s="218"/>
      <c r="C6" s="218"/>
      <c r="D6" s="218"/>
      <c r="E6" s="218"/>
      <c r="F6" s="218"/>
      <c r="G6" s="218"/>
      <c r="H6" s="218"/>
      <c r="I6" s="218"/>
      <c r="J6" s="218"/>
      <c r="K6" s="218"/>
      <c r="L6" s="218"/>
      <c r="M6" s="1214"/>
      <c r="N6" s="1215"/>
    </row>
    <row r="7" spans="1:14" ht="17.399999999999999">
      <c r="A7" s="1463" t="s">
        <v>151</v>
      </c>
      <c r="B7" s="1463"/>
      <c r="C7" s="1463"/>
      <c r="D7" s="1463"/>
      <c r="E7" s="1463"/>
      <c r="F7" s="1463"/>
      <c r="G7" s="1463"/>
      <c r="H7" s="1463"/>
      <c r="I7" s="1463"/>
      <c r="J7" s="1463"/>
      <c r="K7" s="1463"/>
      <c r="L7" s="218"/>
      <c r="M7" s="1214"/>
      <c r="N7" s="1215"/>
    </row>
    <row r="8" spans="1:14" ht="17.399999999999999">
      <c r="A8" s="1463" t="s">
        <v>152</v>
      </c>
      <c r="B8" s="1463"/>
      <c r="C8" s="1463"/>
      <c r="D8" s="1463"/>
      <c r="E8" s="1463"/>
      <c r="F8" s="1463"/>
      <c r="G8" s="1463"/>
      <c r="H8" s="1463"/>
      <c r="I8" s="1463"/>
      <c r="J8" s="1463"/>
      <c r="K8" s="1463"/>
      <c r="L8" s="218"/>
      <c r="M8" s="1214"/>
      <c r="N8" s="1215"/>
    </row>
    <row r="9" spans="1:14" ht="17.399999999999999">
      <c r="A9" s="1264"/>
      <c r="B9" s="1264"/>
      <c r="C9" s="1264"/>
      <c r="D9" s="1264"/>
      <c r="E9" s="1264"/>
      <c r="F9" s="1264"/>
      <c r="G9" s="1264"/>
      <c r="H9" s="1264"/>
      <c r="I9" s="1264"/>
      <c r="J9" s="1264"/>
      <c r="K9" s="1264"/>
      <c r="L9" s="218"/>
    </row>
    <row r="10" spans="1:14" s="70" customFormat="1" ht="15.6">
      <c r="C10" s="1266" t="s">
        <v>153</v>
      </c>
    </row>
    <row r="11" spans="1:14" s="70" customFormat="1" ht="15.6">
      <c r="B11" s="110" t="s">
        <v>7</v>
      </c>
      <c r="C11" s="110" t="s">
        <v>154</v>
      </c>
      <c r="E11" s="324" t="s">
        <v>155</v>
      </c>
      <c r="G11" s="324" t="s">
        <v>156</v>
      </c>
      <c r="H11" s="110" t="s">
        <v>157</v>
      </c>
      <c r="I11" s="110"/>
      <c r="J11" s="1266" t="s">
        <v>158</v>
      </c>
      <c r="K11" s="324" t="s">
        <v>159</v>
      </c>
    </row>
    <row r="12" spans="1:14" s="70" customFormat="1" ht="15.6">
      <c r="C12" s="1266" t="s">
        <v>110</v>
      </c>
      <c r="E12" s="1266" t="s">
        <v>111</v>
      </c>
      <c r="F12" s="1266"/>
      <c r="G12" s="1266" t="s">
        <v>160</v>
      </c>
      <c r="H12" s="1266" t="s">
        <v>161</v>
      </c>
      <c r="I12" s="1266"/>
      <c r="J12" s="1011" t="s">
        <v>162</v>
      </c>
      <c r="K12" s="1011" t="s">
        <v>163</v>
      </c>
    </row>
    <row r="13" spans="1:14" s="70" customFormat="1" ht="15.6"/>
    <row r="14" spans="1:14" s="70" customFormat="1" ht="15.6">
      <c r="B14" s="1266"/>
      <c r="C14" s="70" t="s">
        <v>164</v>
      </c>
    </row>
    <row r="15" spans="1:14" s="71" customFormat="1" ht="15.6">
      <c r="B15" s="1266"/>
      <c r="D15" s="71" t="s">
        <v>165</v>
      </c>
      <c r="E15" s="70" t="s">
        <v>166</v>
      </c>
      <c r="H15" s="70"/>
      <c r="L15"/>
      <c r="M15"/>
      <c r="N15"/>
    </row>
    <row r="16" spans="1:14" s="71" customFormat="1" ht="15.6">
      <c r="B16" s="1266" t="s">
        <v>167</v>
      </c>
      <c r="C16" s="108">
        <v>560</v>
      </c>
      <c r="E16" s="1126" t="s">
        <v>168</v>
      </c>
      <c r="G16" s="71" t="s">
        <v>169</v>
      </c>
      <c r="H16" s="106">
        <f>'WP-AA'!F27</f>
        <v>6793142.7000000002</v>
      </c>
      <c r="I16" s="116"/>
      <c r="J16" s="116"/>
      <c r="K16" s="71" t="s">
        <v>170</v>
      </c>
      <c r="L16"/>
      <c r="M16"/>
      <c r="N16"/>
    </row>
    <row r="17" spans="2:14" s="71" customFormat="1" ht="15.6">
      <c r="B17" s="1266" t="s">
        <v>171</v>
      </c>
      <c r="C17" s="108">
        <v>561</v>
      </c>
      <c r="E17" s="1126" t="s">
        <v>172</v>
      </c>
      <c r="G17" s="71" t="s">
        <v>169</v>
      </c>
      <c r="H17" s="106">
        <f>'WP-AA'!F28</f>
        <v>3288483.2199999997</v>
      </c>
      <c r="I17" s="116"/>
      <c r="J17" s="116"/>
      <c r="K17" s="71" t="s">
        <v>173</v>
      </c>
      <c r="L17"/>
      <c r="M17"/>
      <c r="N17"/>
    </row>
    <row r="18" spans="2:14" s="71" customFormat="1" ht="15.6">
      <c r="B18" s="1266" t="s">
        <v>174</v>
      </c>
      <c r="C18" s="108">
        <v>562</v>
      </c>
      <c r="E18" s="1126" t="s">
        <v>175</v>
      </c>
      <c r="G18" s="71" t="s">
        <v>169</v>
      </c>
      <c r="H18" s="106">
        <f>'WP-AA'!F29</f>
        <v>5065477.8900000006</v>
      </c>
      <c r="I18" s="116"/>
      <c r="J18" s="116"/>
      <c r="K18" s="71" t="s">
        <v>176</v>
      </c>
      <c r="L18"/>
      <c r="M18"/>
      <c r="N18"/>
    </row>
    <row r="19" spans="2:14" s="71" customFormat="1" ht="15.6">
      <c r="B19" s="1266" t="s">
        <v>177</v>
      </c>
      <c r="C19" s="108">
        <v>566</v>
      </c>
      <c r="E19" s="1126" t="s">
        <v>178</v>
      </c>
      <c r="G19" s="71" t="s">
        <v>169</v>
      </c>
      <c r="H19" s="106">
        <f>'WP-AA'!F30</f>
        <v>9740706.3900000006</v>
      </c>
      <c r="I19" s="117"/>
      <c r="J19" s="116"/>
      <c r="K19" s="71" t="s">
        <v>179</v>
      </c>
      <c r="L19"/>
      <c r="M19"/>
      <c r="N19"/>
    </row>
    <row r="20" spans="2:14" s="71" customFormat="1" ht="15.6">
      <c r="B20" s="1263" t="s">
        <v>146</v>
      </c>
      <c r="C20" s="120" t="s">
        <v>146</v>
      </c>
      <c r="D20" s="121"/>
      <c r="E20" s="1127" t="s">
        <v>146</v>
      </c>
      <c r="F20" s="121"/>
      <c r="G20" s="121" t="s">
        <v>146</v>
      </c>
      <c r="H20" s="1439"/>
      <c r="I20" s="107"/>
      <c r="J20" s="1110"/>
      <c r="K20" s="121" t="s">
        <v>146</v>
      </c>
      <c r="L20"/>
      <c r="M20"/>
      <c r="N20"/>
    </row>
    <row r="21" spans="2:14" s="71" customFormat="1" ht="15.6">
      <c r="B21" s="1266">
        <v>2</v>
      </c>
      <c r="C21" s="108"/>
      <c r="D21" s="1128" t="s">
        <v>180</v>
      </c>
      <c r="G21" s="126" t="s">
        <v>181</v>
      </c>
      <c r="H21" s="1111">
        <f>SUM(H16:H20)</f>
        <v>24887810.200000003</v>
      </c>
      <c r="I21" s="123"/>
      <c r="J21" s="116"/>
      <c r="L21"/>
      <c r="M21"/>
      <c r="N21"/>
    </row>
    <row r="22" spans="2:14" s="71" customFormat="1" ht="15.6">
      <c r="B22" s="1266"/>
      <c r="C22" s="108"/>
      <c r="E22" s="1129"/>
      <c r="H22" s="1111"/>
      <c r="I22" s="123"/>
      <c r="J22" s="116"/>
      <c r="L22"/>
      <c r="M22"/>
      <c r="N22"/>
    </row>
    <row r="23" spans="2:14" s="71" customFormat="1" ht="15.6">
      <c r="B23" s="1266"/>
      <c r="C23" s="108"/>
      <c r="E23" s="1128" t="s">
        <v>182</v>
      </c>
      <c r="H23" s="106"/>
      <c r="I23" s="116"/>
      <c r="J23" s="116"/>
      <c r="L23"/>
      <c r="M23"/>
      <c r="N23"/>
    </row>
    <row r="24" spans="2:14" s="71" customFormat="1" ht="15.6">
      <c r="B24" s="1266" t="s">
        <v>183</v>
      </c>
      <c r="C24" s="108">
        <v>568</v>
      </c>
      <c r="E24" s="1126" t="s">
        <v>168</v>
      </c>
      <c r="G24" s="71" t="s">
        <v>169</v>
      </c>
      <c r="H24" s="106">
        <f>'WP-AA'!F64</f>
        <v>10709.16</v>
      </c>
      <c r="I24" s="116"/>
      <c r="J24" s="116"/>
      <c r="K24" s="71" t="s">
        <v>184</v>
      </c>
      <c r="L24"/>
      <c r="M24"/>
      <c r="N24"/>
    </row>
    <row r="25" spans="2:14" s="71" customFormat="1" ht="15.6">
      <c r="B25" s="1266" t="s">
        <v>185</v>
      </c>
      <c r="C25" s="108">
        <v>569</v>
      </c>
      <c r="E25" s="1126" t="s">
        <v>186</v>
      </c>
      <c r="G25" s="71" t="s">
        <v>169</v>
      </c>
      <c r="H25" s="106">
        <f>'WP-AA'!F65</f>
        <v>7356344.2799999993</v>
      </c>
      <c r="I25" s="116"/>
      <c r="J25" s="116"/>
      <c r="K25" s="71" t="s">
        <v>187</v>
      </c>
      <c r="L25"/>
      <c r="M25"/>
      <c r="N25"/>
    </row>
    <row r="26" spans="2:14" s="71" customFormat="1" ht="15.6">
      <c r="B26" s="1266" t="s">
        <v>188</v>
      </c>
      <c r="C26" s="108">
        <v>570</v>
      </c>
      <c r="E26" s="1126" t="s">
        <v>189</v>
      </c>
      <c r="G26" s="71" t="s">
        <v>169</v>
      </c>
      <c r="H26" s="106">
        <f>'WP-AA'!F66</f>
        <v>21169203.59</v>
      </c>
      <c r="I26" s="116"/>
      <c r="J26" s="116"/>
      <c r="K26" s="71" t="s">
        <v>190</v>
      </c>
      <c r="L26"/>
      <c r="M26"/>
      <c r="N26"/>
    </row>
    <row r="27" spans="2:14" s="71" customFormat="1" ht="15.6">
      <c r="B27" s="1266" t="s">
        <v>191</v>
      </c>
      <c r="C27" s="108">
        <v>571</v>
      </c>
      <c r="E27" s="1126" t="s">
        <v>192</v>
      </c>
      <c r="G27" s="71" t="s">
        <v>169</v>
      </c>
      <c r="H27" s="106">
        <f>'WP-AA'!F67</f>
        <v>11365047.859999999</v>
      </c>
      <c r="I27" s="116"/>
      <c r="J27" s="116"/>
      <c r="K27" s="71" t="s">
        <v>193</v>
      </c>
      <c r="L27"/>
      <c r="M27"/>
      <c r="N27"/>
    </row>
    <row r="28" spans="2:14" s="71" customFormat="1" ht="15.6">
      <c r="B28" s="1266" t="s">
        <v>194</v>
      </c>
      <c r="C28" s="108">
        <v>572</v>
      </c>
      <c r="E28" s="1126" t="s">
        <v>195</v>
      </c>
      <c r="G28" s="71" t="s">
        <v>169</v>
      </c>
      <c r="H28" s="106">
        <f>'WP-AA'!F68</f>
        <v>2514119.4900000002</v>
      </c>
      <c r="I28" s="116"/>
      <c r="J28" s="116"/>
      <c r="K28" s="71" t="s">
        <v>196</v>
      </c>
      <c r="L28"/>
      <c r="M28"/>
      <c r="N28"/>
    </row>
    <row r="29" spans="2:14" s="71" customFormat="1" ht="15.6">
      <c r="B29" s="1266" t="s">
        <v>197</v>
      </c>
      <c r="C29" s="108">
        <v>573</v>
      </c>
      <c r="E29" s="1126" t="s">
        <v>198</v>
      </c>
      <c r="G29" s="71" t="s">
        <v>169</v>
      </c>
      <c r="H29" s="106">
        <f>'WP-AA'!F69</f>
        <v>1091421.8399999999</v>
      </c>
      <c r="I29" s="117"/>
      <c r="J29" s="116"/>
      <c r="K29" s="71" t="s">
        <v>199</v>
      </c>
      <c r="L29"/>
      <c r="M29"/>
      <c r="N29"/>
    </row>
    <row r="30" spans="2:14" s="71" customFormat="1" ht="15.6">
      <c r="B30" s="1263" t="s">
        <v>146</v>
      </c>
      <c r="C30" s="120" t="s">
        <v>146</v>
      </c>
      <c r="D30" s="121"/>
      <c r="E30" s="1127" t="s">
        <v>146</v>
      </c>
      <c r="F30" s="121"/>
      <c r="G30" s="121" t="s">
        <v>146</v>
      </c>
      <c r="H30" s="1439"/>
      <c r="I30" s="107"/>
      <c r="J30" s="1110"/>
      <c r="K30" s="121" t="s">
        <v>146</v>
      </c>
      <c r="L30"/>
      <c r="M30"/>
      <c r="N30"/>
    </row>
    <row r="31" spans="2:14" s="71" customFormat="1" ht="15.6">
      <c r="B31" s="1266">
        <v>4</v>
      </c>
      <c r="C31" s="108"/>
      <c r="D31" s="1128" t="s">
        <v>200</v>
      </c>
      <c r="G31" s="126" t="s">
        <v>201</v>
      </c>
      <c r="H31" s="1440">
        <f>SUM(H24:H30)</f>
        <v>43506846.219999999</v>
      </c>
      <c r="I31" s="123"/>
      <c r="J31" s="116"/>
      <c r="L31"/>
      <c r="M31"/>
      <c r="N31"/>
    </row>
    <row r="32" spans="2:14" s="71" customFormat="1" ht="15.6">
      <c r="B32" s="1266">
        <v>5</v>
      </c>
      <c r="C32" s="108"/>
      <c r="E32" s="1128" t="s">
        <v>202</v>
      </c>
      <c r="G32" s="126" t="s">
        <v>203</v>
      </c>
      <c r="J32" s="1130">
        <f>H21+H31</f>
        <v>68394656.420000002</v>
      </c>
      <c r="L32"/>
      <c r="M32"/>
      <c r="N32"/>
    </row>
    <row r="33" spans="1:12" s="71" customFormat="1" ht="15.6">
      <c r="B33" s="1266"/>
      <c r="C33" s="108"/>
      <c r="E33" s="1128"/>
      <c r="J33" s="1128"/>
      <c r="L33" s="749"/>
    </row>
    <row r="34" spans="1:12" s="71" customFormat="1" ht="15.6">
      <c r="B34" s="1266"/>
      <c r="C34" s="108"/>
      <c r="D34" s="70" t="s">
        <v>204</v>
      </c>
      <c r="J34" s="116"/>
      <c r="L34" s="749"/>
    </row>
    <row r="35" spans="1:12" s="71" customFormat="1" ht="15.6">
      <c r="B35" s="1266" t="s">
        <v>124</v>
      </c>
      <c r="C35" s="108"/>
      <c r="E35" s="71" t="s">
        <v>205</v>
      </c>
      <c r="G35" s="115" t="s">
        <v>206</v>
      </c>
      <c r="J35" s="106">
        <f>'WP-AC'!D24</f>
        <v>-1048834.7438144912</v>
      </c>
      <c r="L35" s="749"/>
    </row>
    <row r="36" spans="1:12" s="71" customFormat="1" ht="15.6">
      <c r="B36" s="1266" t="s">
        <v>207</v>
      </c>
      <c r="C36" s="108"/>
      <c r="E36" s="71" t="s">
        <v>208</v>
      </c>
      <c r="G36" s="115" t="s">
        <v>209</v>
      </c>
      <c r="J36" s="106">
        <f>'WP-AD'!D24</f>
        <v>-628405.54764581134</v>
      </c>
      <c r="L36" s="749"/>
    </row>
    <row r="37" spans="1:12" s="1131" customFormat="1" ht="15.6">
      <c r="A37" s="126"/>
      <c r="B37" s="1262" t="s">
        <v>210</v>
      </c>
      <c r="C37" s="378"/>
      <c r="D37" s="126"/>
      <c r="E37" s="126" t="s">
        <v>211</v>
      </c>
      <c r="F37" s="126"/>
      <c r="G37" s="129" t="s">
        <v>212</v>
      </c>
      <c r="H37" s="126"/>
      <c r="I37" s="126"/>
      <c r="J37" s="1437">
        <f>-'WP-AE'!H30</f>
        <v>-214309</v>
      </c>
      <c r="K37" s="126"/>
      <c r="L37" s="1429"/>
    </row>
    <row r="38" spans="1:12" s="71" customFormat="1" ht="15.6">
      <c r="B38" s="1263" t="s">
        <v>146</v>
      </c>
      <c r="C38" s="120" t="s">
        <v>146</v>
      </c>
      <c r="D38" s="121"/>
      <c r="E38" s="1127" t="s">
        <v>146</v>
      </c>
      <c r="F38" s="121"/>
      <c r="G38" s="121" t="s">
        <v>146</v>
      </c>
      <c r="H38" s="107"/>
      <c r="I38" s="107"/>
      <c r="J38" s="1110"/>
      <c r="K38" s="126"/>
      <c r="L38" s="749"/>
    </row>
    <row r="39" spans="1:12" s="71" customFormat="1" ht="16.2" thickBot="1">
      <c r="B39" s="1266"/>
      <c r="C39" s="108"/>
      <c r="E39" s="1129"/>
      <c r="H39" s="123"/>
      <c r="I39" s="123"/>
      <c r="J39" s="116"/>
      <c r="L39" s="749"/>
    </row>
    <row r="40" spans="1:12" s="71" customFormat="1" ht="16.8" thickTop="1" thickBot="1">
      <c r="B40" s="1266">
        <v>7</v>
      </c>
      <c r="C40" s="108"/>
      <c r="E40" s="1128" t="s">
        <v>213</v>
      </c>
      <c r="G40" s="126" t="s">
        <v>214</v>
      </c>
      <c r="J40" s="1112">
        <f>SUM(J32:J38)</f>
        <v>66503107.128539689</v>
      </c>
    </row>
    <row r="41" spans="1:12" s="71" customFormat="1" ht="15.6" thickTop="1">
      <c r="B41" s="87" t="s">
        <v>149</v>
      </c>
      <c r="C41" s="126" t="s">
        <v>215</v>
      </c>
    </row>
    <row r="42" spans="1:12" s="73" customFormat="1" ht="15">
      <c r="B42" s="71" t="s">
        <v>216</v>
      </c>
      <c r="C42" s="71" t="s">
        <v>217</v>
      </c>
      <c r="D42" s="71"/>
      <c r="E42" s="71"/>
      <c r="F42" s="71"/>
      <c r="G42" s="71"/>
      <c r="H42" s="71"/>
      <c r="I42" s="71"/>
      <c r="J42" s="71"/>
      <c r="K42" s="71"/>
    </row>
    <row r="43" spans="1:12" s="222" customFormat="1" ht="15.6">
      <c r="B43" s="492"/>
      <c r="C43" s="492"/>
      <c r="D43" s="492"/>
      <c r="E43" s="492"/>
      <c r="F43" s="492"/>
      <c r="G43" s="492"/>
      <c r="H43" s="492"/>
      <c r="I43" s="492"/>
      <c r="J43" s="492"/>
      <c r="K43" s="492"/>
    </row>
    <row r="44" spans="1:12" s="222" customFormat="1" ht="15.6">
      <c r="B44" s="492"/>
      <c r="C44" s="492"/>
      <c r="D44" s="492"/>
      <c r="E44" s="492"/>
      <c r="F44" s="492"/>
      <c r="G44" s="492"/>
      <c r="H44" s="492"/>
      <c r="I44" s="492"/>
      <c r="J44" s="492"/>
      <c r="K44" s="492"/>
    </row>
    <row r="45" spans="1:12" ht="15.6">
      <c r="B45" s="492"/>
      <c r="C45" s="492"/>
      <c r="D45" s="492"/>
      <c r="E45" s="492"/>
      <c r="F45" s="492"/>
      <c r="G45" s="492"/>
      <c r="H45" s="492"/>
      <c r="I45" s="492"/>
      <c r="J45" s="492"/>
      <c r="K45" s="492"/>
    </row>
  </sheetData>
  <customSheetViews>
    <customSheetView guid="{343BF296-013A-41F5-BDAB-AD6220EA7F78}" scale="90" colorId="22" showPageBreaks="1" showGridLines="0" fitToPage="1" printArea="1" view="pageBreakPreview">
      <selection activeCell="D33" sqref="D33"/>
      <rowBreaks count="1" manualBreakCount="1">
        <brk id="43" max="10" man="1"/>
      </rowBreaks>
      <colBreaks count="2" manualBreakCount="2">
        <brk id="13" max="1048575" man="1"/>
        <brk id="14" max="1048575" man="1"/>
      </colBreaks>
      <pageMargins left="0" right="0" top="0" bottom="0" header="0" footer="0"/>
      <printOptions horizontalCentered="1"/>
      <pageSetup scale="87" orientation="landscape" r:id="rId1"/>
      <headerFooter alignWithMargins="0"/>
    </customSheetView>
    <customSheetView guid="{B321D76C-CDE5-48BB-9CDE-80FF97D58FCF}" scale="90" colorId="22" showPageBreaks="1" showGridLines="0" fitToPage="1" printArea="1" view="pageBreakPreview">
      <selection activeCell="D33" sqref="D33"/>
      <rowBreaks count="1" manualBreakCount="1">
        <brk id="43" max="10" man="1"/>
      </rowBreaks>
      <colBreaks count="2" manualBreakCount="2">
        <brk id="13" max="1048575" man="1"/>
        <brk id="14" max="1048575" man="1"/>
      </colBreaks>
      <pageMargins left="0" right="0" top="0" bottom="0" header="0" footer="0"/>
      <printOptions horizontalCentered="1"/>
      <pageSetup scale="87" orientation="landscape" r:id="rId2"/>
      <headerFooter alignWithMargins="0"/>
    </customSheetView>
  </customSheetViews>
  <mergeCells count="5">
    <mergeCell ref="A3:K3"/>
    <mergeCell ref="A4:K4"/>
    <mergeCell ref="A8:K8"/>
    <mergeCell ref="A5:K5"/>
    <mergeCell ref="A7:K7"/>
  </mergeCells>
  <phoneticPr fontId="0" type="noConversion"/>
  <printOptions horizontalCentered="1"/>
  <pageMargins left="0" right="0" top="0.25" bottom="0.25" header="0.5" footer="0.5"/>
  <pageSetup scale="83" orientation="landscape" r:id="rId3"/>
  <headerFooter alignWithMargins="0"/>
  <rowBreaks count="1" manualBreakCount="1">
    <brk id="46" max="10" man="1"/>
  </rowBreaks>
  <colBreaks count="2" manualBreakCount="2">
    <brk id="13" max="1048575" man="1"/>
    <brk id="14" max="1048575"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5">
    <tabColor rgb="FF92D050"/>
    <pageSetUpPr fitToPage="1"/>
  </sheetPr>
  <dimension ref="A1:Q48"/>
  <sheetViews>
    <sheetView showGridLines="0" defaultGridColor="0" view="pageBreakPreview" colorId="22" zoomScale="90" zoomScaleNormal="90" zoomScaleSheetLayoutView="90" workbookViewId="0">
      <selection activeCell="Q40" sqref="Q40"/>
    </sheetView>
  </sheetViews>
  <sheetFormatPr defaultColWidth="13.33203125" defaultRowHeight="12"/>
  <cols>
    <col min="1" max="1" width="6.77734375" style="216" customWidth="1"/>
    <col min="2" max="2" width="8.77734375" style="216" customWidth="1"/>
    <col min="3" max="3" width="8.33203125" style="1125" customWidth="1"/>
    <col min="4" max="4" width="2.33203125" style="216" customWidth="1"/>
    <col min="5" max="5" width="15.33203125" style="216" customWidth="1"/>
    <col min="6" max="6" width="25.21875" style="216" customWidth="1"/>
    <col min="7" max="7" width="20" style="216" bestFit="1" customWidth="1"/>
    <col min="8" max="9" width="20.33203125" style="216" customWidth="1"/>
    <col min="10" max="10" width="19.77734375" style="216" customWidth="1"/>
    <col min="11" max="11" width="10.33203125" style="216" customWidth="1"/>
    <col min="12" max="12" width="27.33203125" style="216" customWidth="1"/>
    <col min="13" max="13" width="24.77734375" style="216" bestFit="1" customWidth="1"/>
    <col min="14" max="14" width="11" style="216" bestFit="1" customWidth="1"/>
    <col min="15" max="15" width="17.44140625" style="216" bestFit="1" customWidth="1"/>
    <col min="16" max="16" width="12.33203125" style="216" customWidth="1"/>
    <col min="17" max="17" width="13.21875" style="216" customWidth="1"/>
    <col min="18" max="18" width="12.33203125" style="216" bestFit="1" customWidth="1"/>
    <col min="19" max="16384" width="13.33203125" style="216"/>
  </cols>
  <sheetData>
    <row r="1" spans="1:17" s="214" customFormat="1" ht="15.6">
      <c r="A1" s="70"/>
      <c r="B1" s="71"/>
      <c r="C1" s="725"/>
      <c r="D1" s="71"/>
      <c r="E1" s="71"/>
      <c r="F1" s="71"/>
      <c r="G1" s="71"/>
      <c r="H1" s="71"/>
      <c r="I1" s="71"/>
      <c r="J1" s="71"/>
      <c r="K1" s="71"/>
      <c r="L1" s="72"/>
      <c r="M1" s="1266"/>
      <c r="O1" s="1213"/>
      <c r="P1" s="1214"/>
      <c r="Q1" s="1215"/>
    </row>
    <row r="2" spans="1:17" s="214" customFormat="1" ht="15.6">
      <c r="A2" s="70"/>
      <c r="B2" s="71"/>
      <c r="C2" s="725"/>
      <c r="D2" s="71"/>
      <c r="E2" s="71"/>
      <c r="F2" s="71"/>
      <c r="G2" s="71"/>
      <c r="H2" s="71"/>
      <c r="I2" s="71"/>
      <c r="J2" s="71"/>
      <c r="K2" s="71"/>
      <c r="L2" s="1115"/>
      <c r="M2" s="1266"/>
      <c r="O2" s="1213"/>
      <c r="P2" s="1214"/>
      <c r="Q2" s="1215"/>
    </row>
    <row r="3" spans="1:17" ht="17.399999999999999">
      <c r="A3" s="1463" t="s">
        <v>0</v>
      </c>
      <c r="B3" s="1463"/>
      <c r="C3" s="1463"/>
      <c r="D3" s="1463"/>
      <c r="E3" s="1463"/>
      <c r="F3" s="1463"/>
      <c r="G3" s="1463"/>
      <c r="H3" s="1463"/>
      <c r="I3" s="1463"/>
      <c r="J3" s="1463"/>
      <c r="K3" s="1463"/>
      <c r="L3" s="1463"/>
      <c r="M3" s="1463"/>
      <c r="O3" s="1213"/>
      <c r="P3" s="1214"/>
      <c r="Q3" s="1215"/>
    </row>
    <row r="4" spans="1:17" ht="17.399999999999999">
      <c r="A4" s="1463" t="s">
        <v>1</v>
      </c>
      <c r="B4" s="1463"/>
      <c r="C4" s="1463"/>
      <c r="D4" s="1463"/>
      <c r="E4" s="1463"/>
      <c r="F4" s="1463"/>
      <c r="G4" s="1463"/>
      <c r="H4" s="1463"/>
      <c r="I4" s="1463"/>
      <c r="J4" s="1463"/>
      <c r="K4" s="1463"/>
      <c r="L4" s="1463"/>
      <c r="M4" s="1463"/>
      <c r="O4" s="1213"/>
      <c r="P4" s="1214"/>
      <c r="Q4" s="1215"/>
    </row>
    <row r="5" spans="1:17" ht="17.399999999999999">
      <c r="A5" s="1464" t="str">
        <f>SUMMARY!A7</f>
        <v>YEAR ENDING DECEMBER 31, 2022</v>
      </c>
      <c r="B5" s="1464"/>
      <c r="C5" s="1464"/>
      <c r="D5" s="1464"/>
      <c r="E5" s="1464"/>
      <c r="F5" s="1464"/>
      <c r="G5" s="1464"/>
      <c r="H5" s="1464"/>
      <c r="I5" s="1464"/>
      <c r="J5" s="1464"/>
      <c r="K5" s="1464"/>
      <c r="L5" s="1464"/>
      <c r="M5" s="1464"/>
      <c r="O5" s="1213"/>
      <c r="P5" s="1214"/>
      <c r="Q5" s="1215"/>
    </row>
    <row r="6" spans="1:17" ht="17.399999999999999">
      <c r="A6" s="218"/>
      <c r="B6" s="218"/>
      <c r="C6" s="223"/>
      <c r="D6" s="218"/>
      <c r="E6" s="218"/>
      <c r="F6" s="218"/>
      <c r="G6" s="218"/>
      <c r="H6" s="218"/>
      <c r="I6" s="218"/>
      <c r="J6" s="218"/>
      <c r="K6" s="218"/>
      <c r="L6" s="218"/>
      <c r="M6" s="218"/>
      <c r="O6" s="1213"/>
      <c r="P6" s="1214"/>
      <c r="Q6" s="1215"/>
    </row>
    <row r="7" spans="1:17" ht="17.399999999999999">
      <c r="A7" s="1463" t="s">
        <v>218</v>
      </c>
      <c r="B7" s="1463"/>
      <c r="C7" s="1463"/>
      <c r="D7" s="1463"/>
      <c r="E7" s="1463"/>
      <c r="F7" s="1463"/>
      <c r="G7" s="1463"/>
      <c r="H7" s="1463"/>
      <c r="I7" s="1463"/>
      <c r="J7" s="1463"/>
      <c r="K7" s="1463"/>
      <c r="L7" s="1463"/>
      <c r="M7" s="1463"/>
      <c r="O7" s="1213"/>
      <c r="P7" s="1214"/>
      <c r="Q7" s="1215"/>
    </row>
    <row r="8" spans="1:17" s="214" customFormat="1" ht="17.399999999999999">
      <c r="A8" s="1463" t="s">
        <v>29</v>
      </c>
      <c r="B8" s="1463"/>
      <c r="C8" s="1463"/>
      <c r="D8" s="1463"/>
      <c r="E8" s="1463"/>
      <c r="F8" s="1463"/>
      <c r="G8" s="1463"/>
      <c r="H8" s="1463"/>
      <c r="I8" s="1463"/>
      <c r="J8" s="1463"/>
      <c r="K8" s="1463"/>
      <c r="L8" s="1463"/>
      <c r="M8" s="1463"/>
      <c r="O8" s="1213"/>
      <c r="P8" s="1214"/>
      <c r="Q8" s="1215"/>
    </row>
    <row r="9" spans="1:17" s="71" customFormat="1" ht="17.399999999999999">
      <c r="A9" s="1264"/>
      <c r="B9" s="1264"/>
      <c r="C9" s="1264"/>
      <c r="D9" s="1264"/>
      <c r="E9" s="1264"/>
      <c r="F9" s="1264"/>
      <c r="G9" s="1264"/>
      <c r="H9" s="1264"/>
      <c r="I9" s="1264"/>
      <c r="J9" s="1264"/>
      <c r="K9" s="1264"/>
      <c r="L9" s="1264"/>
      <c r="M9" s="1264"/>
    </row>
    <row r="10" spans="1:17" s="71" customFormat="1" ht="15">
      <c r="C10" s="1116"/>
    </row>
    <row r="11" spans="1:17" s="70" customFormat="1" ht="15.6">
      <c r="C11" s="1011" t="s">
        <v>153</v>
      </c>
      <c r="H11" s="1266" t="s">
        <v>219</v>
      </c>
      <c r="I11" s="1266" t="s">
        <v>220</v>
      </c>
      <c r="J11" s="1266" t="s">
        <v>221</v>
      </c>
    </row>
    <row r="12" spans="1:17" s="70" customFormat="1" ht="15.6">
      <c r="B12" s="110" t="s">
        <v>7</v>
      </c>
      <c r="C12" s="1117" t="s">
        <v>154</v>
      </c>
      <c r="E12" s="324" t="s">
        <v>155</v>
      </c>
      <c r="G12" s="70" t="s">
        <v>156</v>
      </c>
      <c r="H12" s="110" t="s">
        <v>222</v>
      </c>
      <c r="I12" s="110" t="s">
        <v>223</v>
      </c>
      <c r="J12" s="110" t="s">
        <v>224</v>
      </c>
      <c r="L12" s="324" t="s">
        <v>225</v>
      </c>
      <c r="M12" s="324" t="s">
        <v>159</v>
      </c>
    </row>
    <row r="13" spans="1:17" s="71" customFormat="1" ht="15">
      <c r="C13" s="1116" t="s">
        <v>110</v>
      </c>
      <c r="E13" s="108" t="s">
        <v>111</v>
      </c>
      <c r="H13" s="108" t="s">
        <v>160</v>
      </c>
      <c r="I13" s="108" t="s">
        <v>161</v>
      </c>
      <c r="J13" s="108" t="s">
        <v>226</v>
      </c>
      <c r="L13" s="108" t="s">
        <v>227</v>
      </c>
      <c r="M13" s="1116" t="s">
        <v>228</v>
      </c>
    </row>
    <row r="14" spans="1:17" s="71" customFormat="1" ht="15">
      <c r="C14" s="1116"/>
    </row>
    <row r="15" spans="1:17" s="71" customFormat="1" ht="15.6">
      <c r="B15" s="1266"/>
      <c r="C15" s="1118" t="s">
        <v>114</v>
      </c>
      <c r="D15" s="521"/>
      <c r="E15" s="521"/>
      <c r="O15"/>
      <c r="P15"/>
    </row>
    <row r="16" spans="1:17" s="71" customFormat="1" ht="15.6">
      <c r="B16" s="1266" t="s">
        <v>167</v>
      </c>
      <c r="C16" s="788">
        <v>920</v>
      </c>
      <c r="D16" s="71" t="s">
        <v>165</v>
      </c>
      <c r="E16" s="71" t="s">
        <v>229</v>
      </c>
      <c r="G16" s="71" t="s">
        <v>169</v>
      </c>
      <c r="H16" s="106">
        <f>'WP-AA'!F34</f>
        <v>101029113.1498595</v>
      </c>
      <c r="I16" s="116"/>
      <c r="J16" s="116"/>
      <c r="M16" s="71" t="s">
        <v>230</v>
      </c>
      <c r="O16"/>
      <c r="P16"/>
    </row>
    <row r="17" spans="2:16" s="71" customFormat="1" ht="15.6">
      <c r="B17" s="1266" t="s">
        <v>171</v>
      </c>
      <c r="C17" s="788">
        <v>921</v>
      </c>
      <c r="E17" s="71" t="s">
        <v>231</v>
      </c>
      <c r="G17" s="71" t="s">
        <v>169</v>
      </c>
      <c r="H17" s="106">
        <f>'WP-AA'!F35</f>
        <v>34706070.925585769</v>
      </c>
      <c r="I17" s="116"/>
      <c r="J17" s="116"/>
      <c r="M17" s="71" t="s">
        <v>232</v>
      </c>
      <c r="O17"/>
      <c r="P17"/>
    </row>
    <row r="18" spans="2:16" s="71" customFormat="1" ht="15.6">
      <c r="B18" s="1266" t="s">
        <v>174</v>
      </c>
      <c r="C18" s="788">
        <v>922</v>
      </c>
      <c r="E18" s="71" t="s">
        <v>233</v>
      </c>
      <c r="G18" s="71" t="s">
        <v>169</v>
      </c>
      <c r="H18" s="106">
        <f>'WP-AA'!F36</f>
        <v>-61946864.690000005</v>
      </c>
      <c r="I18" s="116"/>
      <c r="J18" s="116"/>
      <c r="M18" s="71" t="s">
        <v>234</v>
      </c>
      <c r="O18"/>
      <c r="P18"/>
    </row>
    <row r="19" spans="2:16" s="71" customFormat="1" ht="15.6">
      <c r="B19" s="1266" t="s">
        <v>177</v>
      </c>
      <c r="C19" s="788">
        <v>923</v>
      </c>
      <c r="E19" s="71" t="s">
        <v>235</v>
      </c>
      <c r="G19" s="71" t="s">
        <v>169</v>
      </c>
      <c r="H19" s="106">
        <f>'WP-AA'!F37</f>
        <v>30257350.305948406</v>
      </c>
      <c r="I19" s="116"/>
      <c r="J19" s="116"/>
      <c r="M19" s="71" t="s">
        <v>236</v>
      </c>
      <c r="O19"/>
      <c r="P19"/>
    </row>
    <row r="20" spans="2:16" s="71" customFormat="1" ht="15.6">
      <c r="B20" s="1266" t="s">
        <v>237</v>
      </c>
      <c r="C20" s="788">
        <v>924</v>
      </c>
      <c r="E20" s="71" t="s">
        <v>238</v>
      </c>
      <c r="G20" s="71" t="s">
        <v>169</v>
      </c>
      <c r="H20" s="106">
        <f>'WP-AA'!F38</f>
        <v>7017442.4399999995</v>
      </c>
      <c r="I20" s="56"/>
      <c r="J20" s="106">
        <f>'WP-AG'!J37</f>
        <v>1860096.9771750637</v>
      </c>
      <c r="L20" s="71" t="s">
        <v>239</v>
      </c>
      <c r="M20" s="71" t="s">
        <v>240</v>
      </c>
      <c r="N20" s="1119"/>
      <c r="O20"/>
      <c r="P20"/>
    </row>
    <row r="21" spans="2:16" s="71" customFormat="1" ht="15.6">
      <c r="B21" s="1266" t="s">
        <v>241</v>
      </c>
      <c r="C21" s="788" t="s">
        <v>242</v>
      </c>
      <c r="E21" s="71" t="s">
        <v>243</v>
      </c>
      <c r="G21" s="71" t="s">
        <v>169</v>
      </c>
      <c r="H21" s="106">
        <f>'WP-AA'!F39</f>
        <v>2824595.57</v>
      </c>
      <c r="I21" s="56"/>
      <c r="J21" s="106">
        <f>'WP-AH'!J36</f>
        <v>1198365.870485954</v>
      </c>
      <c r="L21" s="71" t="s">
        <v>244</v>
      </c>
      <c r="M21" s="71" t="s">
        <v>245</v>
      </c>
      <c r="N21" s="1119"/>
      <c r="O21"/>
      <c r="P21"/>
    </row>
    <row r="22" spans="2:16" s="71" customFormat="1" ht="15.6">
      <c r="B22" s="1266" t="s">
        <v>246</v>
      </c>
      <c r="C22" s="788">
        <v>926</v>
      </c>
      <c r="E22" s="71" t="s">
        <v>247</v>
      </c>
      <c r="G22" s="71" t="s">
        <v>169</v>
      </c>
      <c r="H22" s="106">
        <f>'WP-AA'!F40+'WP-AA'!F41</f>
        <v>33412069.78561978</v>
      </c>
      <c r="I22" s="116"/>
      <c r="J22" s="106"/>
      <c r="M22" s="71" t="s">
        <v>248</v>
      </c>
      <c r="O22"/>
      <c r="P22"/>
    </row>
    <row r="23" spans="2:16" s="71" customFormat="1" ht="15.6">
      <c r="B23" s="1266" t="s">
        <v>249</v>
      </c>
      <c r="C23" s="788">
        <v>928</v>
      </c>
      <c r="E23" s="71" t="s">
        <v>250</v>
      </c>
      <c r="G23" s="71" t="s">
        <v>169</v>
      </c>
      <c r="H23" s="106">
        <f>'WP-AA'!F42</f>
        <v>5975280</v>
      </c>
      <c r="I23" s="116"/>
      <c r="J23" s="106">
        <f>'WP-AA'!D42</f>
        <v>0</v>
      </c>
      <c r="L23" s="71" t="s">
        <v>251</v>
      </c>
      <c r="M23" s="71" t="s">
        <v>252</v>
      </c>
      <c r="O23"/>
      <c r="P23"/>
    </row>
    <row r="24" spans="2:16" s="71" customFormat="1" ht="15.6">
      <c r="B24" s="1266" t="s">
        <v>253</v>
      </c>
      <c r="C24" s="788" t="s">
        <v>254</v>
      </c>
      <c r="E24" s="71" t="s">
        <v>255</v>
      </c>
      <c r="G24" s="71" t="s">
        <v>169</v>
      </c>
      <c r="H24" s="106">
        <f>'WP-AA'!F43</f>
        <v>447202.36000000266</v>
      </c>
      <c r="I24" s="116"/>
      <c r="J24" s="106"/>
      <c r="M24" s="71" t="s">
        <v>256</v>
      </c>
      <c r="O24"/>
      <c r="P24"/>
    </row>
    <row r="25" spans="2:16" s="71" customFormat="1" ht="15.6">
      <c r="B25" s="1266" t="s">
        <v>257</v>
      </c>
      <c r="C25" s="788" t="s">
        <v>258</v>
      </c>
      <c r="E25" s="71" t="s">
        <v>259</v>
      </c>
      <c r="G25" s="71" t="s">
        <v>169</v>
      </c>
      <c r="H25" s="106">
        <f>'WP-AA'!F44</f>
        <v>646489.25263206393</v>
      </c>
      <c r="I25" s="116"/>
      <c r="J25" s="106"/>
      <c r="M25" s="71" t="s">
        <v>260</v>
      </c>
      <c r="O25"/>
      <c r="P25"/>
    </row>
    <row r="26" spans="2:16" s="71" customFormat="1" ht="15.6">
      <c r="B26" s="1266" t="s">
        <v>261</v>
      </c>
      <c r="C26" s="788" t="s">
        <v>262</v>
      </c>
      <c r="E26" s="71" t="s">
        <v>263</v>
      </c>
      <c r="G26" s="71" t="s">
        <v>169</v>
      </c>
      <c r="H26" s="106">
        <f>'WP-AA'!F45</f>
        <v>12457505.882208694</v>
      </c>
      <c r="I26" s="116"/>
      <c r="J26" s="106"/>
      <c r="M26" s="71" t="s">
        <v>264</v>
      </c>
      <c r="O26"/>
      <c r="P26"/>
    </row>
    <row r="27" spans="2:16" s="71" customFormat="1" ht="15.6">
      <c r="B27" s="1266" t="s">
        <v>265</v>
      </c>
      <c r="C27" s="788" t="s">
        <v>266</v>
      </c>
      <c r="E27" s="71" t="s">
        <v>267</v>
      </c>
      <c r="G27" s="71" t="s">
        <v>268</v>
      </c>
      <c r="H27" s="106">
        <f>'WP-AA'!F46</f>
        <v>8035310.8399999999</v>
      </c>
      <c r="I27" s="116"/>
      <c r="J27" s="106">
        <f>('WP-AA'!D46)+(('WP-AA'!E46)*'E1-Allocator'!F21)</f>
        <v>3337404.9335191986</v>
      </c>
      <c r="L27" s="126" t="s">
        <v>268</v>
      </c>
      <c r="M27" s="71" t="s">
        <v>269</v>
      </c>
      <c r="O27"/>
      <c r="P27"/>
    </row>
    <row r="28" spans="2:16" s="71" customFormat="1" ht="15.6">
      <c r="B28" s="1266" t="s">
        <v>270</v>
      </c>
      <c r="C28" s="788">
        <v>931</v>
      </c>
      <c r="E28" s="71" t="s">
        <v>271</v>
      </c>
      <c r="G28" s="71" t="s">
        <v>169</v>
      </c>
      <c r="H28" s="106">
        <f>'WP-AA'!F47</f>
        <v>2229311.9563391977</v>
      </c>
      <c r="I28" s="116"/>
      <c r="J28" s="116"/>
      <c r="M28" s="71" t="s">
        <v>272</v>
      </c>
      <c r="O28"/>
      <c r="P28"/>
    </row>
    <row r="29" spans="2:16" s="71" customFormat="1" ht="15.6">
      <c r="B29" s="1266" t="s">
        <v>273</v>
      </c>
      <c r="C29" s="788">
        <v>935</v>
      </c>
      <c r="E29" s="71" t="s">
        <v>274</v>
      </c>
      <c r="G29" s="71" t="s">
        <v>169</v>
      </c>
      <c r="H29" s="1441">
        <f>'WP-AA'!F48</f>
        <v>5060479.7300000004</v>
      </c>
      <c r="I29" s="116"/>
      <c r="J29" s="117"/>
      <c r="M29" s="71" t="s">
        <v>275</v>
      </c>
      <c r="O29"/>
      <c r="P29"/>
    </row>
    <row r="30" spans="2:16" s="71" customFormat="1" ht="15.6">
      <c r="B30" s="1263" t="s">
        <v>146</v>
      </c>
      <c r="C30" s="1120" t="s">
        <v>146</v>
      </c>
      <c r="D30" s="121"/>
      <c r="E30" s="121" t="s">
        <v>146</v>
      </c>
      <c r="F30" s="121"/>
      <c r="G30" s="121" t="s">
        <v>146</v>
      </c>
      <c r="H30" s="1442"/>
      <c r="I30" s="107"/>
      <c r="J30" s="107"/>
      <c r="K30" s="121"/>
      <c r="L30" s="121"/>
      <c r="M30" s="121"/>
      <c r="O30"/>
      <c r="P30"/>
    </row>
    <row r="31" spans="2:16" s="71" customFormat="1" ht="15.6">
      <c r="B31" s="1266">
        <v>2</v>
      </c>
      <c r="C31" s="1116"/>
      <c r="E31" s="1266" t="s">
        <v>276</v>
      </c>
      <c r="G31" s="71" t="s">
        <v>181</v>
      </c>
      <c r="H31" s="1111">
        <f>SUM(H16:H29)</f>
        <v>182151357.50819343</v>
      </c>
      <c r="I31" s="123"/>
      <c r="J31" s="123"/>
      <c r="O31"/>
      <c r="P31"/>
    </row>
    <row r="32" spans="2:16" s="71" customFormat="1" ht="15.6">
      <c r="B32" s="1266"/>
      <c r="C32" s="1116"/>
      <c r="E32" s="1266"/>
      <c r="H32" s="1111"/>
      <c r="I32" s="123"/>
      <c r="J32" s="123"/>
      <c r="O32"/>
      <c r="P32"/>
    </row>
    <row r="33" spans="1:16" s="71" customFormat="1" ht="15.6">
      <c r="B33" s="1266" t="s">
        <v>183</v>
      </c>
      <c r="C33" s="1116"/>
      <c r="E33" s="71" t="s">
        <v>277</v>
      </c>
      <c r="G33" s="71" t="s">
        <v>278</v>
      </c>
      <c r="H33" s="1441">
        <f>-H20</f>
        <v>-7017442.4399999995</v>
      </c>
      <c r="I33" s="116"/>
      <c r="J33" s="116"/>
      <c r="M33" s="71" t="s">
        <v>240</v>
      </c>
      <c r="O33"/>
      <c r="P33"/>
    </row>
    <row r="34" spans="1:16" s="71" customFormat="1" ht="17.25" customHeight="1">
      <c r="B34" s="1266" t="s">
        <v>185</v>
      </c>
      <c r="C34" s="1116"/>
      <c r="E34" s="71" t="s">
        <v>279</v>
      </c>
      <c r="G34" s="71" t="s">
        <v>280</v>
      </c>
      <c r="H34" s="1441">
        <f>-H21</f>
        <v>-2824595.57</v>
      </c>
      <c r="I34" s="117"/>
      <c r="J34" s="117"/>
      <c r="M34" s="71" t="s">
        <v>245</v>
      </c>
      <c r="O34"/>
      <c r="P34"/>
    </row>
    <row r="35" spans="1:16" s="71" customFormat="1" ht="15.6">
      <c r="B35" s="1266" t="s">
        <v>188</v>
      </c>
      <c r="C35" s="1116"/>
      <c r="E35" s="71" t="s">
        <v>281</v>
      </c>
      <c r="G35" s="71" t="s">
        <v>282</v>
      </c>
      <c r="H35" s="1441">
        <v>0</v>
      </c>
      <c r="I35" s="117"/>
      <c r="J35" s="117"/>
      <c r="O35"/>
      <c r="P35"/>
    </row>
    <row r="36" spans="1:16" s="71" customFormat="1" ht="15.6">
      <c r="B36" s="1266" t="s">
        <v>191</v>
      </c>
      <c r="C36" s="1116"/>
      <c r="E36" s="71" t="s">
        <v>283</v>
      </c>
      <c r="G36" s="71" t="s">
        <v>284</v>
      </c>
      <c r="H36" s="1441">
        <f>-H23</f>
        <v>-5975280</v>
      </c>
      <c r="I36" s="117"/>
      <c r="J36" s="117"/>
      <c r="M36" s="71" t="s">
        <v>252</v>
      </c>
      <c r="O36"/>
      <c r="P36"/>
    </row>
    <row r="37" spans="1:16" s="71" customFormat="1" ht="15.6">
      <c r="B37" s="1266" t="s">
        <v>194</v>
      </c>
      <c r="C37" s="1116"/>
      <c r="E37" s="126" t="s">
        <v>285</v>
      </c>
      <c r="F37" s="126"/>
      <c r="G37" s="126" t="s">
        <v>286</v>
      </c>
      <c r="H37" s="1443">
        <f>-H27</f>
        <v>-8035310.8399999999</v>
      </c>
      <c r="I37" s="1108"/>
      <c r="J37" s="117"/>
      <c r="L37" s="126" t="s">
        <v>287</v>
      </c>
      <c r="O37"/>
      <c r="P37"/>
    </row>
    <row r="38" spans="1:16" s="71" customFormat="1" ht="15.6">
      <c r="B38" s="1266" t="s">
        <v>197</v>
      </c>
      <c r="C38" s="1116"/>
      <c r="E38" s="71" t="s">
        <v>288</v>
      </c>
      <c r="G38" s="71" t="s">
        <v>289</v>
      </c>
      <c r="H38" s="1441">
        <f>'WP-AF'!H21</f>
        <v>37140985</v>
      </c>
      <c r="I38" s="117"/>
      <c r="J38" s="117"/>
      <c r="O38"/>
      <c r="P38"/>
    </row>
    <row r="39" spans="1:16" s="71" customFormat="1" ht="15.6">
      <c r="B39" s="1263" t="s">
        <v>146</v>
      </c>
      <c r="C39" s="1116"/>
      <c r="D39" s="121"/>
      <c r="E39" s="121" t="s">
        <v>146</v>
      </c>
      <c r="F39" s="121"/>
      <c r="G39" s="121" t="s">
        <v>146</v>
      </c>
      <c r="H39" s="1442"/>
      <c r="I39" s="107"/>
      <c r="J39" s="107"/>
      <c r="K39" s="121"/>
      <c r="L39" s="121"/>
      <c r="M39" s="121"/>
    </row>
    <row r="40" spans="1:16" s="71" customFormat="1" ht="15.6">
      <c r="B40" s="1266">
        <v>4</v>
      </c>
      <c r="C40" s="1116"/>
      <c r="E40" s="70" t="s">
        <v>290</v>
      </c>
      <c r="G40" s="126" t="s">
        <v>291</v>
      </c>
      <c r="H40" s="1111">
        <f>SUM(H31:H39)</f>
        <v>195439713.65819344</v>
      </c>
      <c r="I40" s="323">
        <f>'E1-Allocator'!F21</f>
        <v>0.36604951377740613</v>
      </c>
      <c r="J40" s="1111">
        <f>H40*I40</f>
        <v>71540612.157377183</v>
      </c>
      <c r="L40" s="1121" t="s">
        <v>292</v>
      </c>
    </row>
    <row r="41" spans="1:16" s="71" customFormat="1" ht="15.6">
      <c r="B41" s="1266"/>
      <c r="C41" s="1116"/>
      <c r="E41" s="70"/>
      <c r="G41" s="126"/>
      <c r="H41" s="123"/>
      <c r="I41" s="123"/>
      <c r="J41" s="123"/>
      <c r="L41" s="115" t="s">
        <v>293</v>
      </c>
    </row>
    <row r="42" spans="1:16" s="71" customFormat="1" ht="15.6">
      <c r="B42" s="1266">
        <v>5</v>
      </c>
      <c r="C42" s="1116"/>
      <c r="E42" s="70" t="s">
        <v>294</v>
      </c>
      <c r="G42" s="126" t="s">
        <v>295</v>
      </c>
      <c r="H42" s="116"/>
      <c r="I42" s="116"/>
      <c r="J42" s="1444">
        <f>SUM(J16:J40)</f>
        <v>77936479.938557401</v>
      </c>
      <c r="L42" s="115" t="s">
        <v>296</v>
      </c>
    </row>
    <row r="43" spans="1:16" s="71" customFormat="1" ht="15">
      <c r="C43" s="1116"/>
      <c r="H43" s="1109"/>
      <c r="J43" s="1109"/>
    </row>
    <row r="44" spans="1:16" s="71" customFormat="1" ht="15">
      <c r="A44" s="121" t="s">
        <v>297</v>
      </c>
      <c r="B44" s="121"/>
      <c r="C44" s="1120"/>
      <c r="D44" s="121"/>
      <c r="E44" s="121"/>
    </row>
    <row r="45" spans="1:16" s="71" customFormat="1" ht="15">
      <c r="A45" s="126" t="s">
        <v>298</v>
      </c>
      <c r="B45" s="126"/>
      <c r="C45" s="1122"/>
      <c r="D45" s="126"/>
      <c r="E45" s="126"/>
      <c r="F45" s="126"/>
      <c r="G45" s="126"/>
      <c r="H45" s="126"/>
      <c r="I45" s="126"/>
      <c r="J45" s="126"/>
      <c r="K45" s="126"/>
      <c r="L45" s="126"/>
      <c r="M45" s="126"/>
    </row>
    <row r="46" spans="1:16" s="71" customFormat="1" ht="15">
      <c r="A46" s="126" t="s">
        <v>299</v>
      </c>
      <c r="B46" s="126"/>
      <c r="C46" s="1122"/>
      <c r="D46" s="126"/>
      <c r="E46" s="126"/>
      <c r="F46" s="126"/>
      <c r="G46" s="126"/>
      <c r="H46" s="126"/>
      <c r="I46" s="126"/>
      <c r="J46" s="126"/>
      <c r="K46" s="126"/>
      <c r="L46" s="126"/>
      <c r="M46" s="126"/>
    </row>
    <row r="47" spans="1:16" ht="17.399999999999999">
      <c r="A47" s="126" t="s">
        <v>300</v>
      </c>
      <c r="B47" s="382"/>
      <c r="C47" s="548"/>
      <c r="D47" s="382"/>
      <c r="E47" s="382"/>
      <c r="F47" s="382"/>
      <c r="G47" s="382"/>
      <c r="H47" s="382"/>
      <c r="I47" s="382"/>
      <c r="J47" s="382"/>
      <c r="K47" s="382"/>
      <c r="L47" s="382"/>
      <c r="M47" s="382"/>
    </row>
    <row r="48" spans="1:16" ht="17.399999999999999">
      <c r="A48" s="1123" t="s">
        <v>146</v>
      </c>
      <c r="B48" s="1123"/>
      <c r="C48" s="1124"/>
      <c r="D48" s="1123"/>
      <c r="E48" s="1123"/>
      <c r="F48" s="1123"/>
      <c r="G48" s="1123"/>
      <c r="H48" s="1123"/>
      <c r="I48" s="1123"/>
      <c r="J48" s="1123"/>
      <c r="K48" s="1123"/>
      <c r="L48" s="1123"/>
      <c r="M48" s="1123"/>
      <c r="N48" s="395"/>
    </row>
  </sheetData>
  <customSheetViews>
    <customSheetView guid="{343BF296-013A-41F5-BDAB-AD6220EA7F78}" scale="90" colorId="22" showPageBreaks="1" showGridLines="0" fitToPage="1" printArea="1" view="pageBreakPreview" topLeftCell="D1">
      <selection activeCell="D33" sqref="D33"/>
      <colBreaks count="2" manualBreakCount="2">
        <brk id="14" max="1048575" man="1"/>
        <brk id="15" max="1048575" man="1"/>
      </colBreaks>
      <pageMargins left="0" right="0" top="0" bottom="0" header="0" footer="0"/>
      <printOptions horizontalCentered="1"/>
      <pageSetup scale="60" orientation="landscape" r:id="rId1"/>
      <headerFooter alignWithMargins="0"/>
    </customSheetView>
    <customSheetView guid="{B321D76C-CDE5-48BB-9CDE-80FF97D58FCF}" scale="110" colorId="22" showPageBreaks="1" showGridLines="0" fitToPage="1" printArea="1" view="pageBreakPreview" topLeftCell="H22">
      <selection activeCell="D33" sqref="D33"/>
      <colBreaks count="2" manualBreakCount="2">
        <brk id="14" max="1048575" man="1"/>
        <brk id="15" max="1048575" man="1"/>
      </colBreaks>
      <pageMargins left="0" right="0" top="0" bottom="0" header="0" footer="0"/>
      <printOptions horizontalCentered="1"/>
      <pageSetup scale="60" orientation="landscape" r:id="rId2"/>
      <headerFooter alignWithMargins="0"/>
    </customSheetView>
  </customSheetViews>
  <mergeCells count="5">
    <mergeCell ref="A3:M3"/>
    <mergeCell ref="A4:M4"/>
    <mergeCell ref="A8:M8"/>
    <mergeCell ref="A5:M5"/>
    <mergeCell ref="A7:M7"/>
  </mergeCells>
  <phoneticPr fontId="0" type="noConversion"/>
  <printOptions horizontalCentered="1"/>
  <pageMargins left="0.25" right="0.25" top="0.25" bottom="0.25" header="0.5" footer="0.5"/>
  <pageSetup scale="62" orientation="landscape" r:id="rId3"/>
  <headerFooter alignWithMargins="0"/>
  <colBreaks count="2" manualBreakCount="2">
    <brk id="14" max="1048575" man="1"/>
    <brk id="15" max="1048575" man="1"/>
  </col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6">
    <tabColor rgb="FF0070C0"/>
    <pageSetUpPr fitToPage="1"/>
  </sheetPr>
  <dimension ref="A1:T58"/>
  <sheetViews>
    <sheetView showGridLines="0" defaultGridColor="0" view="pageBreakPreview" colorId="22" zoomScale="90" zoomScaleNormal="55" zoomScaleSheetLayoutView="90" zoomScalePageLayoutView="80" workbookViewId="0">
      <selection activeCell="W48" sqref="W48"/>
    </sheetView>
  </sheetViews>
  <sheetFormatPr defaultColWidth="13.33203125" defaultRowHeight="12"/>
  <cols>
    <col min="1" max="1" width="9" style="216" bestFit="1" customWidth="1"/>
    <col min="2" max="2" width="2.21875" style="216" customWidth="1"/>
    <col min="3" max="3" width="7.33203125" style="216" customWidth="1"/>
    <col min="4" max="4" width="2.21875" style="216" customWidth="1"/>
    <col min="5" max="5" width="27.77734375" style="216" customWidth="1"/>
    <col min="6" max="6" width="23.33203125" style="216" customWidth="1"/>
    <col min="7" max="7" width="16.77734375" style="216" customWidth="1"/>
    <col min="8" max="8" width="19.21875" style="216" customWidth="1"/>
    <col min="9" max="9" width="5.77734375" style="216" customWidth="1"/>
    <col min="10" max="10" width="20.33203125" style="216" customWidth="1"/>
    <col min="11" max="11" width="5.5546875" style="216" customWidth="1"/>
    <col min="12" max="12" width="18.109375" style="216" customWidth="1"/>
    <col min="13" max="13" width="6.33203125" style="216" customWidth="1"/>
    <col min="14" max="14" width="17.109375" style="216" bestFit="1" customWidth="1"/>
    <col min="15" max="15" width="6.109375" style="216" customWidth="1"/>
    <col min="16" max="16" width="13.77734375" style="216" customWidth="1"/>
    <col min="17" max="17" width="2.33203125" style="216" customWidth="1"/>
    <col min="18" max="16384" width="13.33203125" style="216"/>
  </cols>
  <sheetData>
    <row r="1" spans="1:20" s="214" customFormat="1" ht="21">
      <c r="A1" s="865"/>
      <c r="B1" s="71"/>
      <c r="C1" s="71"/>
      <c r="D1" s="71"/>
      <c r="E1" s="725"/>
      <c r="F1" s="71"/>
      <c r="G1" s="71"/>
      <c r="H1" s="71"/>
      <c r="I1" s="71"/>
      <c r="J1" s="71"/>
      <c r="K1" s="71"/>
      <c r="L1" s="71"/>
      <c r="M1" s="71"/>
      <c r="N1" s="71"/>
      <c r="O1" s="71"/>
      <c r="P1" s="72"/>
      <c r="Q1" s="1266"/>
      <c r="S1" s="1214"/>
      <c r="T1" s="1215"/>
    </row>
    <row r="2" spans="1:20" ht="17.399999999999999">
      <c r="B2" s="218"/>
      <c r="C2" s="218"/>
      <c r="D2" s="218"/>
      <c r="F2" s="218"/>
      <c r="G2" s="218"/>
      <c r="H2" s="218"/>
      <c r="I2" s="218"/>
      <c r="J2" s="218"/>
      <c r="K2" s="218"/>
      <c r="L2" s="218"/>
      <c r="M2" s="218"/>
      <c r="N2" s="218"/>
      <c r="O2" s="218"/>
      <c r="S2" s="1214"/>
      <c r="T2" s="1215"/>
    </row>
    <row r="3" spans="1:20" ht="17.399999999999999">
      <c r="B3" s="218"/>
      <c r="C3" s="218"/>
      <c r="D3" s="218"/>
      <c r="F3" s="218"/>
      <c r="G3" s="218"/>
      <c r="H3" s="218"/>
      <c r="I3" s="218"/>
      <c r="J3" s="218"/>
      <c r="K3" s="218"/>
      <c r="L3" s="218"/>
      <c r="M3" s="218"/>
      <c r="N3" s="218"/>
      <c r="O3" s="218"/>
      <c r="P3" s="218"/>
      <c r="Q3" s="218"/>
      <c r="S3" s="1214"/>
      <c r="T3" s="1215"/>
    </row>
    <row r="4" spans="1:20" ht="17.399999999999999">
      <c r="A4" s="1463" t="s">
        <v>20</v>
      </c>
      <c r="B4" s="1463"/>
      <c r="C4" s="1463"/>
      <c r="D4" s="1463"/>
      <c r="E4" s="1463"/>
      <c r="F4" s="1463"/>
      <c r="G4" s="1463"/>
      <c r="H4" s="1463"/>
      <c r="I4" s="1463"/>
      <c r="J4" s="1463"/>
      <c r="K4" s="1463"/>
      <c r="L4" s="1463"/>
      <c r="M4" s="1463"/>
      <c r="N4" s="1463"/>
      <c r="O4" s="1463"/>
      <c r="P4" s="1463"/>
      <c r="Q4" s="1463"/>
      <c r="S4" s="1214"/>
      <c r="T4" s="1215"/>
    </row>
    <row r="5" spans="1:20" ht="17.399999999999999">
      <c r="A5" s="1463" t="s">
        <v>1</v>
      </c>
      <c r="B5" s="1463"/>
      <c r="C5" s="1463"/>
      <c r="D5" s="1463"/>
      <c r="E5" s="1463"/>
      <c r="F5" s="1463"/>
      <c r="G5" s="1463"/>
      <c r="H5" s="1463"/>
      <c r="I5" s="1463"/>
      <c r="J5" s="1463"/>
      <c r="K5" s="1463"/>
      <c r="L5" s="1463"/>
      <c r="M5" s="1463"/>
      <c r="N5" s="1463"/>
      <c r="O5" s="1463"/>
      <c r="P5" s="1463"/>
      <c r="Q5" s="1463"/>
      <c r="S5" s="1214"/>
      <c r="T5" s="1215"/>
    </row>
    <row r="6" spans="1:20" ht="17.399999999999999">
      <c r="A6" s="1464" t="str">
        <f>SUMMARY!A7</f>
        <v>YEAR ENDING DECEMBER 31, 2022</v>
      </c>
      <c r="B6" s="1464"/>
      <c r="C6" s="1464"/>
      <c r="D6" s="1464"/>
      <c r="E6" s="1464"/>
      <c r="F6" s="1464"/>
      <c r="G6" s="1464"/>
      <c r="H6" s="1464"/>
      <c r="I6" s="1464"/>
      <c r="J6" s="1464"/>
      <c r="K6" s="1464"/>
      <c r="L6" s="1464"/>
      <c r="M6" s="1464"/>
      <c r="N6" s="1464"/>
      <c r="O6" s="1464"/>
      <c r="P6" s="1464"/>
      <c r="Q6" s="1464"/>
      <c r="S6" s="1214"/>
      <c r="T6" s="1215"/>
    </row>
    <row r="7" spans="1:20">
      <c r="S7" s="1214"/>
      <c r="T7" s="1215"/>
    </row>
    <row r="8" spans="1:20" ht="17.399999999999999">
      <c r="A8" s="1463" t="s">
        <v>301</v>
      </c>
      <c r="B8" s="1463"/>
      <c r="C8" s="1463"/>
      <c r="D8" s="1463"/>
      <c r="E8" s="1463"/>
      <c r="F8" s="1463"/>
      <c r="G8" s="1463"/>
      <c r="H8" s="1463"/>
      <c r="I8" s="1463"/>
      <c r="J8" s="1463"/>
      <c r="K8" s="1463"/>
      <c r="L8" s="1463"/>
      <c r="M8" s="1463"/>
      <c r="N8" s="1463"/>
      <c r="O8" s="1463"/>
      <c r="P8" s="1463"/>
      <c r="Q8" s="1463"/>
      <c r="S8" s="1214"/>
      <c r="T8" s="1215"/>
    </row>
    <row r="9" spans="1:20" ht="17.399999999999999">
      <c r="A9" s="1463" t="s">
        <v>302</v>
      </c>
      <c r="B9" s="1463"/>
      <c r="C9" s="1463"/>
      <c r="D9" s="1463"/>
      <c r="E9" s="1463"/>
      <c r="F9" s="1463"/>
      <c r="G9" s="1463"/>
      <c r="H9" s="1463"/>
      <c r="I9" s="1463"/>
      <c r="J9" s="1463"/>
      <c r="K9" s="1463"/>
      <c r="L9" s="1463"/>
      <c r="M9" s="1463"/>
      <c r="N9" s="1463"/>
      <c r="O9" s="1463"/>
      <c r="P9" s="1463"/>
      <c r="Q9" s="1463"/>
    </row>
    <row r="10" spans="1:20" ht="17.399999999999999">
      <c r="B10" s="218"/>
      <c r="C10" s="218"/>
      <c r="D10" s="218"/>
      <c r="E10" s="218"/>
      <c r="F10" s="218"/>
      <c r="G10" s="218"/>
      <c r="H10" s="218"/>
      <c r="I10" s="218"/>
      <c r="J10" s="218"/>
      <c r="K10" s="218"/>
      <c r="L10" s="218"/>
      <c r="M10" s="218"/>
      <c r="N10" s="218"/>
      <c r="O10" s="218"/>
      <c r="P10" s="218"/>
      <c r="Q10" s="218"/>
    </row>
    <row r="11" spans="1:20" ht="17.399999999999999">
      <c r="B11" s="218"/>
      <c r="C11" s="218"/>
      <c r="D11" s="218"/>
      <c r="E11" s="218"/>
      <c r="F11" s="218"/>
      <c r="G11" s="218"/>
      <c r="H11" s="218"/>
      <c r="I11" s="218"/>
      <c r="J11" s="218"/>
      <c r="K11" s="218"/>
      <c r="M11" s="218"/>
      <c r="N11" s="218"/>
      <c r="O11" s="218"/>
      <c r="P11" s="218"/>
      <c r="Q11" s="218"/>
    </row>
    <row r="12" spans="1:20" s="492" customFormat="1" ht="15.6">
      <c r="N12" s="1266"/>
      <c r="O12" s="1266"/>
      <c r="P12" s="1266" t="s">
        <v>157</v>
      </c>
    </row>
    <row r="13" spans="1:20" s="492" customFormat="1" ht="15.6">
      <c r="N13" s="1266" t="s">
        <v>303</v>
      </c>
      <c r="O13" s="1266"/>
      <c r="P13" s="1266" t="s">
        <v>304</v>
      </c>
    </row>
    <row r="14" spans="1:20" s="71" customFormat="1" ht="15.6">
      <c r="C14" s="1266" t="s">
        <v>153</v>
      </c>
      <c r="L14" s="1266" t="s">
        <v>220</v>
      </c>
      <c r="N14" s="1266" t="s">
        <v>221</v>
      </c>
      <c r="P14" s="1266" t="s">
        <v>305</v>
      </c>
    </row>
    <row r="15" spans="1:20" s="71" customFormat="1" ht="15.6">
      <c r="A15" s="110" t="s">
        <v>7</v>
      </c>
      <c r="C15" s="110" t="s">
        <v>154</v>
      </c>
      <c r="E15" s="324" t="s">
        <v>155</v>
      </c>
      <c r="G15" s="110" t="s">
        <v>156</v>
      </c>
      <c r="H15" s="110" t="s">
        <v>220</v>
      </c>
      <c r="J15" s="110" t="s">
        <v>303</v>
      </c>
      <c r="L15" s="110" t="s">
        <v>223</v>
      </c>
      <c r="N15" s="110" t="s">
        <v>306</v>
      </c>
      <c r="P15" s="110" t="s">
        <v>307</v>
      </c>
    </row>
    <row r="16" spans="1:20" s="71" customFormat="1" ht="15.6">
      <c r="G16" s="1266" t="s">
        <v>110</v>
      </c>
      <c r="H16" s="1266" t="s">
        <v>111</v>
      </c>
      <c r="J16" s="1266" t="s">
        <v>160</v>
      </c>
      <c r="L16" s="1266" t="s">
        <v>161</v>
      </c>
      <c r="N16" s="1266" t="s">
        <v>226</v>
      </c>
      <c r="P16" s="1011" t="s">
        <v>163</v>
      </c>
      <c r="Q16" s="1266"/>
    </row>
    <row r="17" spans="1:17" s="71" customFormat="1" ht="15.6">
      <c r="H17" s="1266"/>
      <c r="J17" s="1266"/>
      <c r="L17" s="1266"/>
      <c r="N17" s="1266"/>
      <c r="P17" s="1266"/>
      <c r="Q17" s="1266"/>
    </row>
    <row r="18" spans="1:17" s="71" customFormat="1" ht="15.6">
      <c r="A18" s="114" t="s">
        <v>167</v>
      </c>
      <c r="B18" s="115"/>
      <c r="C18" s="108">
        <v>352</v>
      </c>
      <c r="D18" s="115"/>
      <c r="E18" s="115" t="s">
        <v>308</v>
      </c>
      <c r="F18" s="97"/>
      <c r="G18" s="71" t="s">
        <v>309</v>
      </c>
      <c r="H18" s="106">
        <f>'WP-BA'!K128</f>
        <v>1860534</v>
      </c>
      <c r="I18" s="123"/>
      <c r="J18" s="123"/>
    </row>
    <row r="19" spans="1:17" s="71" customFormat="1" ht="15.6">
      <c r="A19" s="114" t="s">
        <v>171</v>
      </c>
      <c r="B19" s="115"/>
      <c r="C19" s="108">
        <v>353</v>
      </c>
      <c r="D19" s="115"/>
      <c r="E19" s="115" t="s">
        <v>189</v>
      </c>
      <c r="G19" s="71" t="s">
        <v>309</v>
      </c>
      <c r="H19" s="106">
        <f>'WP-BA'!K140</f>
        <v>22307721</v>
      </c>
      <c r="I19" s="123"/>
      <c r="J19" s="123"/>
    </row>
    <row r="20" spans="1:17" s="71" customFormat="1" ht="15.6">
      <c r="A20" s="114" t="s">
        <v>174</v>
      </c>
      <c r="B20" s="115"/>
      <c r="C20" s="108">
        <v>354</v>
      </c>
      <c r="D20" s="115"/>
      <c r="E20" s="115" t="s">
        <v>310</v>
      </c>
      <c r="G20" s="71" t="s">
        <v>309</v>
      </c>
      <c r="H20" s="106">
        <f>'WP-BA'!K150</f>
        <v>4328348</v>
      </c>
      <c r="I20" s="123"/>
      <c r="J20" s="123"/>
    </row>
    <row r="21" spans="1:17" s="71" customFormat="1" ht="15.6">
      <c r="A21" s="114" t="s">
        <v>177</v>
      </c>
      <c r="B21" s="115"/>
      <c r="C21" s="108">
        <v>355</v>
      </c>
      <c r="D21" s="115"/>
      <c r="E21" s="115" t="s">
        <v>311</v>
      </c>
      <c r="G21" s="71" t="s">
        <v>309</v>
      </c>
      <c r="H21" s="106">
        <f>'WP-BA'!K159</f>
        <v>11032884</v>
      </c>
      <c r="I21" s="123"/>
      <c r="J21" s="123"/>
    </row>
    <row r="22" spans="1:17" s="71" customFormat="1" ht="15.6">
      <c r="A22" s="114" t="s">
        <v>237</v>
      </c>
      <c r="B22" s="115"/>
      <c r="C22" s="108">
        <v>356</v>
      </c>
      <c r="D22" s="115"/>
      <c r="E22" s="115" t="s">
        <v>312</v>
      </c>
      <c r="G22" s="71" t="s">
        <v>309</v>
      </c>
      <c r="H22" s="106">
        <f>'WP-BA'!K169</f>
        <v>7027645</v>
      </c>
      <c r="I22" s="123"/>
      <c r="J22" s="123"/>
    </row>
    <row r="23" spans="1:17" s="71" customFormat="1" ht="15.6">
      <c r="A23" s="114" t="s">
        <v>241</v>
      </c>
      <c r="B23" s="115"/>
      <c r="C23" s="108">
        <v>357</v>
      </c>
      <c r="D23" s="115"/>
      <c r="E23" s="115" t="s">
        <v>313</v>
      </c>
      <c r="G23" s="71" t="s">
        <v>309</v>
      </c>
      <c r="H23" s="106">
        <f>'WP-BA'!K176</f>
        <v>649507</v>
      </c>
      <c r="I23" s="123"/>
      <c r="J23" s="123"/>
    </row>
    <row r="24" spans="1:17" s="71" customFormat="1" ht="15.6">
      <c r="A24" s="114" t="s">
        <v>246</v>
      </c>
      <c r="B24" s="115"/>
      <c r="C24" s="108">
        <v>358</v>
      </c>
      <c r="D24" s="115"/>
      <c r="E24" s="115" t="s">
        <v>314</v>
      </c>
      <c r="G24" s="71" t="s">
        <v>309</v>
      </c>
      <c r="H24" s="106">
        <f>'WP-BA'!K183</f>
        <v>1091788</v>
      </c>
      <c r="I24" s="123"/>
      <c r="J24" s="123"/>
    </row>
    <row r="25" spans="1:17" s="71" customFormat="1" ht="15.6">
      <c r="A25" s="114" t="s">
        <v>249</v>
      </c>
      <c r="B25" s="115"/>
      <c r="C25" s="108">
        <v>359</v>
      </c>
      <c r="D25" s="115"/>
      <c r="E25" s="115" t="s">
        <v>315</v>
      </c>
      <c r="G25" s="71" t="s">
        <v>309</v>
      </c>
      <c r="H25" s="1441">
        <f>'WP-BA'!K193</f>
        <v>751952</v>
      </c>
      <c r="I25" s="123"/>
      <c r="J25" s="123"/>
    </row>
    <row r="26" spans="1:17" s="71" customFormat="1" ht="15.6">
      <c r="A26" s="118" t="s">
        <v>146</v>
      </c>
      <c r="B26" s="119"/>
      <c r="C26" s="120" t="s">
        <v>146</v>
      </c>
      <c r="D26" s="119"/>
      <c r="E26" s="119" t="s">
        <v>146</v>
      </c>
      <c r="F26" s="121"/>
      <c r="G26" s="121" t="s">
        <v>146</v>
      </c>
      <c r="H26" s="1442"/>
      <c r="I26" s="123"/>
      <c r="J26" s="123"/>
    </row>
    <row r="27" spans="1:17" s="71" customFormat="1" ht="15.6">
      <c r="A27" s="70">
        <v>2</v>
      </c>
      <c r="B27" s="115"/>
      <c r="C27" s="122" t="s">
        <v>316</v>
      </c>
      <c r="D27" s="115"/>
      <c r="H27" s="1111">
        <f>'WP-BA'!K197</f>
        <v>49050379</v>
      </c>
      <c r="I27" s="123"/>
      <c r="J27" s="123"/>
    </row>
    <row r="28" spans="1:17" s="71" customFormat="1" ht="15.6">
      <c r="A28" s="70"/>
      <c r="B28" s="115"/>
      <c r="C28" s="124"/>
      <c r="D28" s="115"/>
      <c r="H28" s="123"/>
      <c r="I28" s="123"/>
      <c r="J28" s="123"/>
    </row>
    <row r="29" spans="1:17" s="71" customFormat="1" ht="15.6">
      <c r="A29" s="114" t="s">
        <v>183</v>
      </c>
      <c r="B29" s="115"/>
      <c r="C29" s="108">
        <v>390</v>
      </c>
      <c r="D29" s="115"/>
      <c r="E29" s="115" t="s">
        <v>308</v>
      </c>
      <c r="G29" s="71" t="s">
        <v>309</v>
      </c>
      <c r="H29" s="56"/>
      <c r="I29" s="116"/>
      <c r="J29" s="1437">
        <f>'WP-BA'!K23</f>
        <v>7086493</v>
      </c>
    </row>
    <row r="30" spans="1:17" s="71" customFormat="1" ht="15.6">
      <c r="A30" s="114" t="s">
        <v>185</v>
      </c>
      <c r="B30" s="115"/>
      <c r="C30" s="108">
        <v>391</v>
      </c>
      <c r="D30" s="115"/>
      <c r="E30" s="115" t="s">
        <v>317</v>
      </c>
      <c r="F30" s="125"/>
      <c r="G30" s="71" t="s">
        <v>309</v>
      </c>
      <c r="H30" s="56"/>
      <c r="I30" s="116"/>
      <c r="J30" s="1437">
        <f>'WP-BA'!K41</f>
        <v>38022923</v>
      </c>
    </row>
    <row r="31" spans="1:17" s="71" customFormat="1" ht="15.6">
      <c r="A31" s="114" t="s">
        <v>188</v>
      </c>
      <c r="B31" s="115"/>
      <c r="C31" s="108">
        <v>392</v>
      </c>
      <c r="D31" s="115"/>
      <c r="E31" s="115" t="s">
        <v>318</v>
      </c>
      <c r="G31" s="71" t="s">
        <v>309</v>
      </c>
      <c r="H31" s="56"/>
      <c r="I31" s="116"/>
      <c r="J31" s="1437">
        <f>'WP-BA'!K50</f>
        <v>2068891</v>
      </c>
    </row>
    <row r="32" spans="1:17" s="71" customFormat="1" ht="15.6">
      <c r="A32" s="114" t="s">
        <v>191</v>
      </c>
      <c r="B32" s="115"/>
      <c r="C32" s="108">
        <v>393</v>
      </c>
      <c r="D32" s="115"/>
      <c r="E32" s="115" t="s">
        <v>319</v>
      </c>
      <c r="G32" s="71" t="s">
        <v>309</v>
      </c>
      <c r="H32" s="56"/>
      <c r="I32" s="116"/>
      <c r="J32" s="1437">
        <f>'WP-BA'!K58</f>
        <v>33991</v>
      </c>
    </row>
    <row r="33" spans="1:17" s="71" customFormat="1" ht="15.6">
      <c r="A33" s="114" t="s">
        <v>194</v>
      </c>
      <c r="B33" s="115"/>
      <c r="C33" s="108">
        <v>394</v>
      </c>
      <c r="D33" s="115"/>
      <c r="E33" s="115" t="s">
        <v>320</v>
      </c>
      <c r="G33" s="71" t="s">
        <v>309</v>
      </c>
      <c r="H33" s="56"/>
      <c r="I33" s="116"/>
      <c r="J33" s="1437">
        <f>'WP-BA'!K67</f>
        <v>670761</v>
      </c>
    </row>
    <row r="34" spans="1:17" s="71" customFormat="1" ht="15.6">
      <c r="A34" s="114" t="s">
        <v>197</v>
      </c>
      <c r="B34" s="115"/>
      <c r="C34" s="108">
        <v>395</v>
      </c>
      <c r="D34" s="115"/>
      <c r="E34" s="115" t="s">
        <v>321</v>
      </c>
      <c r="G34" s="71" t="s">
        <v>309</v>
      </c>
      <c r="H34" s="56"/>
      <c r="I34" s="128"/>
      <c r="J34" s="1437">
        <f>'WP-BA'!K76</f>
        <v>256016</v>
      </c>
    </row>
    <row r="35" spans="1:17" s="71" customFormat="1" ht="15.6">
      <c r="A35" s="114" t="s">
        <v>322</v>
      </c>
      <c r="B35" s="115"/>
      <c r="C35" s="108">
        <v>396</v>
      </c>
      <c r="D35" s="115"/>
      <c r="E35" s="115" t="s">
        <v>323</v>
      </c>
      <c r="G35" s="71" t="s">
        <v>309</v>
      </c>
      <c r="H35" s="56"/>
      <c r="I35" s="116"/>
      <c r="J35" s="1437">
        <f>'WP-BA'!K85</f>
        <v>1047924</v>
      </c>
    </row>
    <row r="36" spans="1:17" s="71" customFormat="1" ht="15.6">
      <c r="A36" s="114" t="s">
        <v>324</v>
      </c>
      <c r="B36" s="115"/>
      <c r="C36" s="108">
        <v>397</v>
      </c>
      <c r="D36" s="115"/>
      <c r="E36" s="115" t="s">
        <v>325</v>
      </c>
      <c r="G36" s="71" t="s">
        <v>309</v>
      </c>
      <c r="H36" s="56"/>
      <c r="I36" s="116"/>
      <c r="J36" s="1437">
        <f>'WP-BA'!K96</f>
        <v>2722737</v>
      </c>
    </row>
    <row r="37" spans="1:17" s="71" customFormat="1" ht="15.6">
      <c r="A37" s="114" t="s">
        <v>326</v>
      </c>
      <c r="B37" s="115"/>
      <c r="C37" s="108">
        <v>398</v>
      </c>
      <c r="D37" s="115"/>
      <c r="E37" s="115" t="s">
        <v>327</v>
      </c>
      <c r="G37" s="71" t="s">
        <v>309</v>
      </c>
      <c r="H37" s="56"/>
      <c r="I37" s="116"/>
      <c r="J37" s="1437">
        <f>'WP-BA'!K105</f>
        <v>19888335</v>
      </c>
    </row>
    <row r="38" spans="1:17" s="71" customFormat="1" ht="15.6">
      <c r="A38" s="114" t="s">
        <v>328</v>
      </c>
      <c r="B38" s="115"/>
      <c r="C38" s="108">
        <v>399</v>
      </c>
      <c r="D38" s="115"/>
      <c r="E38" s="115" t="s">
        <v>329</v>
      </c>
      <c r="G38" s="71" t="s">
        <v>309</v>
      </c>
      <c r="H38" s="56"/>
      <c r="I38" s="116"/>
      <c r="J38" s="1443">
        <f>'WP-BA'!K112</f>
        <v>162840</v>
      </c>
    </row>
    <row r="39" spans="1:17" s="71" customFormat="1" ht="15.6">
      <c r="A39" s="118" t="s">
        <v>146</v>
      </c>
      <c r="B39" s="119"/>
      <c r="C39" s="120" t="s">
        <v>146</v>
      </c>
      <c r="D39" s="119"/>
      <c r="E39" s="119" t="s">
        <v>146</v>
      </c>
      <c r="F39" s="121"/>
      <c r="G39" s="121" t="s">
        <v>146</v>
      </c>
      <c r="H39" s="56"/>
      <c r="I39" s="116"/>
      <c r="J39" s="1442"/>
    </row>
    <row r="40" spans="1:17" s="71" customFormat="1" ht="15.6">
      <c r="A40" s="70">
        <v>4</v>
      </c>
      <c r="B40" s="115"/>
      <c r="C40" s="122" t="s">
        <v>330</v>
      </c>
      <c r="D40" s="124"/>
      <c r="E40" s="124"/>
      <c r="H40" s="56"/>
      <c r="I40" s="123"/>
      <c r="J40" s="1111">
        <f>SUM(J29:J39)</f>
        <v>71960911</v>
      </c>
    </row>
    <row r="41" spans="1:17" s="71" customFormat="1" ht="15.6">
      <c r="A41" s="70"/>
      <c r="B41" s="115"/>
      <c r="C41" s="115"/>
      <c r="D41" s="115"/>
      <c r="E41" s="124"/>
      <c r="H41" s="123"/>
      <c r="I41" s="123"/>
      <c r="J41" s="123"/>
    </row>
    <row r="42" spans="1:17" s="71" customFormat="1" ht="15.6">
      <c r="A42" s="70"/>
      <c r="B42" s="115"/>
      <c r="C42" s="122" t="s">
        <v>331</v>
      </c>
      <c r="D42" s="115"/>
      <c r="H42" s="123"/>
      <c r="I42" s="123"/>
      <c r="J42" s="123"/>
    </row>
    <row r="43" spans="1:17" s="71" customFormat="1" ht="15.6">
      <c r="A43" s="114" t="s">
        <v>332</v>
      </c>
      <c r="B43" s="115"/>
      <c r="C43" s="115"/>
      <c r="D43" s="115"/>
      <c r="E43" s="126" t="s">
        <v>333</v>
      </c>
      <c r="F43" s="126"/>
      <c r="G43" s="127" t="s">
        <v>334</v>
      </c>
      <c r="H43" s="1437">
        <f>'B2-Plant'!L37</f>
        <v>2178735.56</v>
      </c>
      <c r="I43" s="106"/>
      <c r="J43" s="1111"/>
      <c r="K43" s="1109"/>
      <c r="L43" s="1109"/>
      <c r="M43" s="1109"/>
      <c r="N43" s="1109"/>
      <c r="O43" s="1109"/>
      <c r="P43" s="1109"/>
      <c r="Q43" s="1109"/>
    </row>
    <row r="44" spans="1:17" s="71" customFormat="1" ht="15.6">
      <c r="A44" s="114" t="s">
        <v>335</v>
      </c>
      <c r="E44" s="126" t="s">
        <v>336</v>
      </c>
      <c r="F44" s="126"/>
      <c r="G44" s="127" t="s">
        <v>337</v>
      </c>
      <c r="H44" s="1437">
        <f>'B2-Plant'!L36</f>
        <v>-1004224</v>
      </c>
      <c r="I44" s="106"/>
      <c r="J44" s="106"/>
      <c r="K44" s="1109"/>
      <c r="L44" s="1109"/>
      <c r="M44" s="1109"/>
      <c r="N44" s="1109"/>
      <c r="O44" s="1109"/>
      <c r="P44" s="1109"/>
      <c r="Q44" s="1109"/>
    </row>
    <row r="45" spans="1:17" s="71" customFormat="1" ht="15.6">
      <c r="A45" s="114" t="s">
        <v>338</v>
      </c>
      <c r="E45" s="126" t="s">
        <v>339</v>
      </c>
      <c r="F45" s="126"/>
      <c r="G45" s="127" t="s">
        <v>340</v>
      </c>
      <c r="H45" s="1437">
        <f>'B2-Plant'!L34</f>
        <v>-1838654</v>
      </c>
      <c r="I45" s="106"/>
      <c r="J45" s="106"/>
      <c r="K45" s="1109"/>
      <c r="L45" s="1109"/>
      <c r="M45" s="1109"/>
      <c r="N45" s="1109"/>
      <c r="O45" s="1109"/>
      <c r="P45" s="1109"/>
      <c r="Q45" s="1109"/>
    </row>
    <row r="46" spans="1:17" s="71" customFormat="1" ht="15.6">
      <c r="A46" s="114" t="s">
        <v>341</v>
      </c>
      <c r="E46" s="126" t="s">
        <v>205</v>
      </c>
      <c r="F46" s="126"/>
      <c r="G46" s="127" t="s">
        <v>342</v>
      </c>
      <c r="H46" s="1437">
        <f>'B2-Plant'!L35</f>
        <v>-1212269</v>
      </c>
      <c r="I46" s="106"/>
      <c r="J46" s="106"/>
      <c r="K46" s="1109"/>
      <c r="L46" s="1109"/>
      <c r="M46" s="1109"/>
      <c r="N46" s="1109"/>
      <c r="O46" s="1109"/>
      <c r="P46" s="1109"/>
      <c r="Q46" s="1109"/>
    </row>
    <row r="47" spans="1:17" s="71" customFormat="1" ht="15.6">
      <c r="A47" s="114" t="s">
        <v>343</v>
      </c>
      <c r="B47" s="115"/>
      <c r="E47" s="129" t="s">
        <v>344</v>
      </c>
      <c r="F47" s="126"/>
      <c r="G47" s="129" t="s">
        <v>345</v>
      </c>
      <c r="H47" s="618"/>
      <c r="I47" s="106"/>
      <c r="J47" s="106">
        <f>-'WP-BG'!H51</f>
        <v>-19394939</v>
      </c>
      <c r="K47" s="1109"/>
      <c r="L47" s="1109"/>
      <c r="M47" s="1109"/>
      <c r="N47" s="1109"/>
      <c r="O47" s="1109"/>
      <c r="P47" s="1109"/>
      <c r="Q47" s="1109"/>
    </row>
    <row r="48" spans="1:17" s="71" customFormat="1" ht="15.6">
      <c r="A48" s="118" t="s">
        <v>146</v>
      </c>
      <c r="B48" s="119"/>
      <c r="C48" s="121"/>
      <c r="D48" s="121"/>
      <c r="E48" s="119" t="s">
        <v>146</v>
      </c>
      <c r="F48" s="121"/>
      <c r="G48" s="119" t="s">
        <v>146</v>
      </c>
      <c r="H48" s="232"/>
      <c r="I48" s="1433"/>
      <c r="J48" s="1433"/>
      <c r="K48" s="1109"/>
      <c r="L48" s="1109"/>
      <c r="M48" s="1109"/>
      <c r="N48" s="1109"/>
      <c r="O48" s="1109"/>
      <c r="P48" s="1109"/>
      <c r="Q48" s="1109"/>
    </row>
    <row r="49" spans="1:17" s="71" customFormat="1" ht="16.2" thickBot="1">
      <c r="A49" s="70"/>
      <c r="H49" s="116"/>
      <c r="I49" s="116"/>
      <c r="J49" s="116"/>
    </row>
    <row r="50" spans="1:17" s="71" customFormat="1" ht="16.8" thickTop="1" thickBot="1">
      <c r="A50" s="70">
        <v>6</v>
      </c>
      <c r="E50" s="1266" t="s">
        <v>276</v>
      </c>
      <c r="G50" s="126" t="s">
        <v>346</v>
      </c>
      <c r="H50" s="1111">
        <f>SUM(H27:H47)</f>
        <v>47173967.560000002</v>
      </c>
      <c r="I50" s="106"/>
      <c r="J50" s="1111">
        <f>SUM(J40:J49)</f>
        <v>52565972</v>
      </c>
      <c r="L50" s="1023">
        <f>+'E1-Allocator'!F21</f>
        <v>0.36604951377740613</v>
      </c>
      <c r="M50" s="70" t="s">
        <v>282</v>
      </c>
      <c r="N50" s="1111">
        <f>J50*L50</f>
        <v>19241748.491836745</v>
      </c>
      <c r="O50" s="1111"/>
      <c r="P50" s="1112">
        <f>H50+N50</f>
        <v>66415716.051836744</v>
      </c>
    </row>
    <row r="51" spans="1:17" s="71" customFormat="1" ht="16.2" thickTop="1">
      <c r="H51" s="1111"/>
    </row>
    <row r="52" spans="1:17" s="71" customFormat="1" ht="15.6">
      <c r="A52" s="71" t="s">
        <v>347</v>
      </c>
      <c r="H52" s="1111"/>
    </row>
    <row r="53" spans="1:17" s="492" customFormat="1" ht="15.6">
      <c r="C53" s="493"/>
      <c r="D53" s="493"/>
      <c r="E53" s="493"/>
      <c r="F53" s="493"/>
      <c r="H53" s="1113"/>
    </row>
    <row r="54" spans="1:17" s="492" customFormat="1" ht="15.6">
      <c r="B54" s="493"/>
      <c r="C54" s="493"/>
      <c r="D54" s="493"/>
      <c r="E54" s="493"/>
      <c r="F54" s="493"/>
      <c r="G54" s="493"/>
      <c r="H54" s="493"/>
      <c r="J54" s="1114"/>
    </row>
    <row r="55" spans="1:17" s="492" customFormat="1" ht="15.6"/>
    <row r="56" spans="1:17" ht="17.399999999999999">
      <c r="B56" s="218"/>
      <c r="C56" s="218"/>
      <c r="D56" s="218"/>
      <c r="E56" s="218"/>
      <c r="F56" s="218"/>
      <c r="G56" s="218"/>
      <c r="H56" s="218"/>
      <c r="I56" s="218"/>
      <c r="J56" s="218"/>
      <c r="K56" s="218"/>
      <c r="L56" s="218"/>
      <c r="M56" s="218"/>
      <c r="N56" s="218"/>
      <c r="O56" s="218"/>
      <c r="P56" s="218"/>
      <c r="Q56" s="218"/>
    </row>
    <row r="57" spans="1:17" ht="17.399999999999999">
      <c r="B57" s="218"/>
      <c r="C57" s="218"/>
      <c r="D57" s="218"/>
      <c r="E57" s="218"/>
      <c r="F57" s="218"/>
      <c r="G57" s="218"/>
      <c r="H57" s="218"/>
      <c r="I57" s="218"/>
      <c r="J57" s="218"/>
      <c r="K57" s="218"/>
      <c r="L57" s="218"/>
      <c r="M57" s="218"/>
      <c r="N57" s="218"/>
      <c r="O57" s="218"/>
      <c r="P57" s="218"/>
      <c r="Q57" s="218"/>
    </row>
    <row r="58" spans="1:17" ht="17.399999999999999">
      <c r="B58" s="218"/>
      <c r="C58" s="218"/>
      <c r="D58" s="218"/>
      <c r="E58" s="218"/>
      <c r="F58" s="218"/>
      <c r="G58" s="218"/>
      <c r="H58" s="218"/>
      <c r="I58" s="218"/>
      <c r="J58" s="218"/>
      <c r="K58" s="218"/>
      <c r="L58" s="218"/>
      <c r="M58" s="218"/>
      <c r="N58" s="218"/>
      <c r="O58" s="218"/>
      <c r="P58" s="218"/>
      <c r="Q58" s="218"/>
    </row>
  </sheetData>
  <customSheetViews>
    <customSheetView guid="{343BF296-013A-41F5-BDAB-AD6220EA7F78}" colorId="22" showPageBreaks="1" showGridLines="0" fitToPage="1" printArea="1" view="pageBreakPreview" topLeftCell="G31">
      <selection activeCell="D33" sqref="D33"/>
      <colBreaks count="1" manualBreakCount="1">
        <brk id="22" max="1048575" man="1"/>
      </colBreaks>
      <pageMargins left="0" right="0" top="0" bottom="0" header="0" footer="0"/>
      <printOptions horizontalCentered="1"/>
      <pageSetup scale="63" orientation="landscape" r:id="rId1"/>
      <headerFooter alignWithMargins="0"/>
    </customSheetView>
    <customSheetView guid="{B321D76C-CDE5-48BB-9CDE-80FF97D58FCF}" colorId="22" showPageBreaks="1" showGridLines="0" fitToPage="1" printArea="1" view="pageBreakPreview" topLeftCell="G31">
      <selection activeCell="D33" sqref="D33"/>
      <colBreaks count="1" manualBreakCount="1">
        <brk id="22" max="1048575" man="1"/>
      </colBreaks>
      <pageMargins left="0" right="0" top="0" bottom="0" header="0" footer="0"/>
      <printOptions horizontalCentered="1"/>
      <pageSetup scale="63" orientation="landscape" r:id="rId2"/>
      <headerFooter alignWithMargins="0"/>
    </customSheetView>
  </customSheetViews>
  <mergeCells count="5">
    <mergeCell ref="A4:Q4"/>
    <mergeCell ref="A5:Q5"/>
    <mergeCell ref="A9:Q9"/>
    <mergeCell ref="A6:Q6"/>
    <mergeCell ref="A8:Q8"/>
  </mergeCells>
  <printOptions horizontalCentered="1"/>
  <pageMargins left="0.25" right="0.25" top="0.25" bottom="0.25" header="0.5" footer="0.5"/>
  <pageSetup scale="60" orientation="landscape" r:id="rId3"/>
  <headerFooter alignWithMargins="0"/>
  <colBreaks count="1" manualBreakCount="1">
    <brk id="22" max="1048575" man="1"/>
  </col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0070C0"/>
    <pageSetUpPr fitToPage="1"/>
  </sheetPr>
  <dimension ref="A1:AC91"/>
  <sheetViews>
    <sheetView view="pageBreakPreview" topLeftCell="G1" zoomScaleNormal="100" zoomScaleSheetLayoutView="100" workbookViewId="0">
      <selection activeCell="N27" sqref="N27"/>
    </sheetView>
  </sheetViews>
  <sheetFormatPr defaultColWidth="9" defaultRowHeight="13.5" customHeight="1"/>
  <cols>
    <col min="1" max="1" width="0.77734375" style="222" customWidth="1"/>
    <col min="2" max="2" width="5" style="222" customWidth="1"/>
    <col min="3" max="3" width="0.33203125" style="222" customWidth="1"/>
    <col min="4" max="5" width="18.33203125" style="222" customWidth="1"/>
    <col min="6" max="6" width="10.33203125" style="1064" customWidth="1"/>
    <col min="7" max="7" width="33.33203125" style="222" bestFit="1" customWidth="1"/>
    <col min="8" max="8" width="23" style="222" customWidth="1"/>
    <col min="9" max="9" width="15.88671875" style="222" customWidth="1"/>
    <col min="10" max="10" width="14.77734375" style="222" customWidth="1"/>
    <col min="11" max="11" width="15.6640625" style="222" customWidth="1"/>
    <col min="12" max="18" width="14.77734375" style="222" customWidth="1"/>
    <col min="19" max="19" width="1.33203125" style="222" customWidth="1"/>
    <col min="20" max="20" width="14.77734375" style="222" customWidth="1"/>
    <col min="21" max="21" width="1.33203125" style="73" customWidth="1"/>
    <col min="22" max="22" width="3.109375" style="73" customWidth="1"/>
    <col min="23" max="23" width="13.5546875" style="73" bestFit="1" customWidth="1"/>
    <col min="24" max="24" width="14" style="73" bestFit="1" customWidth="1"/>
    <col min="25" max="25" width="9" style="73"/>
    <col min="26" max="26" width="15.44140625" style="73" bestFit="1" customWidth="1"/>
    <col min="27" max="27" width="14.77734375" style="73" bestFit="1" customWidth="1"/>
    <col min="28" max="16384" width="9" style="73"/>
  </cols>
  <sheetData>
    <row r="1" spans="1:29" s="71" customFormat="1" ht="21">
      <c r="A1" s="222"/>
      <c r="B1" s="964"/>
      <c r="C1" s="222"/>
      <c r="D1" s="222"/>
      <c r="F1" s="1064"/>
      <c r="G1" s="222"/>
      <c r="H1" s="222"/>
      <c r="I1" s="222"/>
      <c r="J1" s="222"/>
      <c r="K1" s="222"/>
      <c r="L1" s="222"/>
      <c r="M1" s="222"/>
      <c r="N1" s="222"/>
      <c r="O1" s="222"/>
      <c r="P1" s="222"/>
      <c r="Q1" s="222"/>
      <c r="R1" s="222"/>
      <c r="S1" s="1065"/>
      <c r="T1" s="1066"/>
      <c r="X1" s="1214"/>
      <c r="Y1" s="1215"/>
    </row>
    <row r="2" spans="1:29" ht="15.75" customHeight="1">
      <c r="T2" s="1067"/>
      <c r="U2" s="108"/>
      <c r="X2" s="1214"/>
      <c r="Y2" s="1215"/>
    </row>
    <row r="3" spans="1:29" ht="15.6">
      <c r="A3" s="1469" t="s">
        <v>20</v>
      </c>
      <c r="B3" s="1469"/>
      <c r="C3" s="1469"/>
      <c r="D3" s="1469"/>
      <c r="E3" s="1469"/>
      <c r="F3" s="1469"/>
      <c r="G3" s="1469"/>
      <c r="H3" s="1469"/>
      <c r="I3" s="1469"/>
      <c r="J3" s="1469"/>
      <c r="K3" s="1469"/>
      <c r="L3" s="1469"/>
      <c r="M3" s="1469"/>
      <c r="N3" s="1469"/>
      <c r="O3" s="1469"/>
      <c r="P3" s="1469"/>
      <c r="Q3" s="1469"/>
      <c r="R3" s="1469"/>
      <c r="S3" s="1469"/>
      <c r="T3" s="1469"/>
      <c r="U3" s="1469"/>
      <c r="X3" s="1214"/>
      <c r="Y3" s="1215"/>
    </row>
    <row r="4" spans="1:29" ht="15.6">
      <c r="A4" s="1469" t="s">
        <v>1</v>
      </c>
      <c r="B4" s="1469"/>
      <c r="C4" s="1469"/>
      <c r="D4" s="1469"/>
      <c r="E4" s="1469"/>
      <c r="F4" s="1469"/>
      <c r="G4" s="1469"/>
      <c r="H4" s="1469"/>
      <c r="I4" s="1469"/>
      <c r="J4" s="1469"/>
      <c r="K4" s="1469"/>
      <c r="L4" s="1469"/>
      <c r="M4" s="1469"/>
      <c r="N4" s="1469"/>
      <c r="O4" s="1469"/>
      <c r="P4" s="1469"/>
      <c r="Q4" s="1469"/>
      <c r="R4" s="1469"/>
      <c r="S4" s="1469"/>
      <c r="T4" s="1469"/>
      <c r="U4" s="1469"/>
      <c r="X4" s="1214"/>
      <c r="Y4" s="1215"/>
    </row>
    <row r="5" spans="1:29" ht="15.6">
      <c r="A5" s="1461" t="str">
        <f>SUMMARY!A7</f>
        <v>YEAR ENDING DECEMBER 31, 2022</v>
      </c>
      <c r="B5" s="1461"/>
      <c r="C5" s="1461"/>
      <c r="D5" s="1461"/>
      <c r="E5" s="1461"/>
      <c r="F5" s="1461"/>
      <c r="G5" s="1461"/>
      <c r="H5" s="1461"/>
      <c r="I5" s="1461"/>
      <c r="J5" s="1461"/>
      <c r="K5" s="1461"/>
      <c r="L5" s="1461"/>
      <c r="M5" s="1461"/>
      <c r="N5" s="1461"/>
      <c r="O5" s="1461"/>
      <c r="P5" s="1461"/>
      <c r="Q5" s="1461"/>
      <c r="R5" s="1461"/>
      <c r="S5" s="1461"/>
      <c r="T5" s="1461"/>
      <c r="U5" s="1266"/>
      <c r="X5" s="1214"/>
      <c r="Y5" s="1215"/>
    </row>
    <row r="6" spans="1:29" ht="13.8">
      <c r="X6" s="1214"/>
      <c r="Y6" s="1215"/>
    </row>
    <row r="7" spans="1:29" ht="15.6">
      <c r="A7" s="1469" t="s">
        <v>348</v>
      </c>
      <c r="B7" s="1469"/>
      <c r="C7" s="1469"/>
      <c r="D7" s="1469"/>
      <c r="E7" s="1469"/>
      <c r="F7" s="1469"/>
      <c r="G7" s="1469"/>
      <c r="H7" s="1469"/>
      <c r="I7" s="1469"/>
      <c r="J7" s="1469"/>
      <c r="K7" s="1469"/>
      <c r="L7" s="1469"/>
      <c r="M7" s="1469"/>
      <c r="N7" s="1469"/>
      <c r="O7" s="1469"/>
      <c r="P7" s="1469"/>
      <c r="Q7" s="1469"/>
      <c r="R7" s="1469"/>
      <c r="S7" s="1469"/>
      <c r="T7" s="1469"/>
      <c r="U7" s="1469"/>
      <c r="X7" s="1214"/>
      <c r="Y7" s="1215"/>
    </row>
    <row r="8" spans="1:29" ht="15.6">
      <c r="A8" s="1469" t="s">
        <v>33</v>
      </c>
      <c r="B8" s="1469"/>
      <c r="C8" s="1469"/>
      <c r="D8" s="1469"/>
      <c r="E8" s="1469"/>
      <c r="F8" s="1469"/>
      <c r="G8" s="1469"/>
      <c r="H8" s="1469"/>
      <c r="I8" s="1469"/>
      <c r="J8" s="1469"/>
      <c r="K8" s="1469"/>
      <c r="L8" s="1469"/>
      <c r="M8" s="1469"/>
      <c r="N8" s="1469"/>
      <c r="O8" s="1469"/>
      <c r="P8" s="1469"/>
      <c r="Q8" s="1469"/>
      <c r="R8" s="1469"/>
      <c r="S8" s="1469"/>
      <c r="T8" s="1469"/>
      <c r="U8" s="1469"/>
      <c r="X8" s="1214"/>
      <c r="Y8" s="1215"/>
    </row>
    <row r="9" spans="1:29" ht="13.8">
      <c r="D9" s="1065"/>
      <c r="E9" s="1065"/>
      <c r="F9" s="1049"/>
      <c r="G9" s="1065"/>
      <c r="H9" s="1065"/>
      <c r="I9" s="1065"/>
      <c r="J9" s="1065"/>
      <c r="K9" s="1065"/>
      <c r="L9" s="1065"/>
      <c r="M9" s="1065"/>
      <c r="N9" s="1065"/>
      <c r="O9" s="1065"/>
      <c r="P9" s="1065"/>
      <c r="Q9" s="1065"/>
      <c r="R9" s="1065"/>
      <c r="S9" s="1065"/>
      <c r="T9" s="1065"/>
    </row>
    <row r="10" spans="1:29" ht="13.8">
      <c r="D10" s="1065"/>
      <c r="E10" s="1065"/>
      <c r="F10" s="1049"/>
      <c r="G10" s="1065"/>
      <c r="H10" s="1065"/>
      <c r="I10" s="1065"/>
      <c r="J10" s="1065"/>
      <c r="K10" s="1065"/>
      <c r="L10" s="1065"/>
      <c r="Q10" s="1065"/>
      <c r="R10" s="1065"/>
      <c r="S10" s="1065"/>
      <c r="T10" s="1065"/>
    </row>
    <row r="11" spans="1:29" s="222" customFormat="1" ht="18" customHeight="1">
      <c r="D11" s="1065"/>
      <c r="F11" s="1064"/>
      <c r="I11" s="1466">
        <v>2022</v>
      </c>
      <c r="J11" s="1467"/>
      <c r="K11" s="1467"/>
      <c r="L11" s="1468"/>
      <c r="M11" s="1466">
        <v>2021</v>
      </c>
      <c r="N11" s="1467"/>
      <c r="O11" s="1467"/>
      <c r="P11" s="1468"/>
      <c r="Q11" s="1466" t="s">
        <v>349</v>
      </c>
      <c r="R11" s="1467"/>
      <c r="S11" s="1467"/>
      <c r="T11" s="1468"/>
    </row>
    <row r="12" spans="1:29" s="222" customFormat="1" ht="18" customHeight="1">
      <c r="D12" s="1065"/>
      <c r="F12" s="1064"/>
      <c r="L12" s="1065"/>
      <c r="Q12" s="1327"/>
      <c r="R12" s="1327"/>
      <c r="S12" s="1328"/>
      <c r="T12" s="1049" t="s">
        <v>350</v>
      </c>
    </row>
    <row r="13" spans="1:29" ht="18" customHeight="1">
      <c r="A13" s="73"/>
      <c r="B13" s="162" t="s">
        <v>351</v>
      </c>
      <c r="C13" s="73"/>
      <c r="D13" s="1065"/>
      <c r="E13" s="73"/>
      <c r="F13" s="353"/>
      <c r="G13" s="73"/>
      <c r="H13" s="73"/>
      <c r="I13" s="162" t="s">
        <v>352</v>
      </c>
      <c r="J13" s="162" t="s">
        <v>353</v>
      </c>
      <c r="K13" s="162" t="s">
        <v>352</v>
      </c>
      <c r="L13" s="162" t="s">
        <v>305</v>
      </c>
      <c r="M13" s="162" t="s">
        <v>352</v>
      </c>
      <c r="N13" s="162" t="s">
        <v>353</v>
      </c>
      <c r="O13" s="162" t="s">
        <v>352</v>
      </c>
      <c r="P13" s="162" t="s">
        <v>305</v>
      </c>
      <c r="Q13" s="162" t="s">
        <v>352</v>
      </c>
      <c r="R13" s="162" t="s">
        <v>353</v>
      </c>
      <c r="S13" s="306"/>
      <c r="T13" s="162" t="s">
        <v>352</v>
      </c>
    </row>
    <row r="14" spans="1:29" ht="18" customHeight="1">
      <c r="A14" s="73"/>
      <c r="B14" s="165" t="s">
        <v>354</v>
      </c>
      <c r="C14" s="73"/>
      <c r="D14" s="1065"/>
      <c r="E14" s="73"/>
      <c r="F14" s="165"/>
      <c r="G14" s="408"/>
      <c r="H14" s="408"/>
      <c r="I14" s="165" t="s">
        <v>355</v>
      </c>
      <c r="J14" s="165" t="s">
        <v>356</v>
      </c>
      <c r="K14" s="165" t="s">
        <v>357</v>
      </c>
      <c r="L14" s="165" t="s">
        <v>358</v>
      </c>
      <c r="M14" s="165" t="s">
        <v>355</v>
      </c>
      <c r="N14" s="165" t="s">
        <v>356</v>
      </c>
      <c r="O14" s="165" t="s">
        <v>357</v>
      </c>
      <c r="P14" s="165" t="s">
        <v>358</v>
      </c>
      <c r="Q14" s="165" t="s">
        <v>355</v>
      </c>
      <c r="R14" s="165" t="s">
        <v>356</v>
      </c>
      <c r="S14" s="165"/>
      <c r="T14" s="165" t="s">
        <v>355</v>
      </c>
    </row>
    <row r="15" spans="1:29" ht="18" customHeight="1">
      <c r="A15" s="73"/>
      <c r="B15" s="1068"/>
      <c r="C15" s="73"/>
      <c r="D15" s="73"/>
      <c r="E15" s="73"/>
      <c r="F15" s="353"/>
      <c r="G15" s="73"/>
      <c r="H15" s="73"/>
      <c r="I15" s="359" t="s">
        <v>8</v>
      </c>
      <c r="J15" s="359" t="s">
        <v>9</v>
      </c>
      <c r="K15" s="359" t="s">
        <v>359</v>
      </c>
      <c r="L15" s="359" t="s">
        <v>360</v>
      </c>
      <c r="M15" s="359" t="s">
        <v>162</v>
      </c>
      <c r="N15" s="359" t="s">
        <v>163</v>
      </c>
      <c r="O15" s="359" t="s">
        <v>228</v>
      </c>
      <c r="P15" s="359" t="s">
        <v>361</v>
      </c>
      <c r="Q15" s="359" t="s">
        <v>362</v>
      </c>
      <c r="R15" s="359" t="s">
        <v>363</v>
      </c>
      <c r="S15" s="353"/>
      <c r="T15" s="359" t="s">
        <v>364</v>
      </c>
      <c r="W15"/>
      <c r="X15"/>
      <c r="Y15"/>
      <c r="Z15"/>
      <c r="AA15"/>
      <c r="AB15"/>
      <c r="AC15"/>
    </row>
    <row r="16" spans="1:29" ht="18" customHeight="1">
      <c r="A16" s="73"/>
      <c r="B16" s="1068"/>
      <c r="C16" s="73"/>
      <c r="D16" s="73"/>
      <c r="E16" s="73"/>
      <c r="F16" s="353"/>
      <c r="G16" s="1465" t="s">
        <v>159</v>
      </c>
      <c r="H16" s="1465"/>
      <c r="I16" s="359"/>
      <c r="J16" s="359"/>
      <c r="K16" s="359"/>
      <c r="L16" s="73"/>
      <c r="M16" s="359"/>
      <c r="N16" s="359"/>
      <c r="O16" s="359"/>
      <c r="P16" s="73"/>
      <c r="Q16" s="359"/>
      <c r="R16" s="359"/>
      <c r="S16" s="353"/>
      <c r="T16" s="359"/>
      <c r="W16"/>
      <c r="X16"/>
      <c r="Y16"/>
      <c r="Z16"/>
      <c r="AA16"/>
      <c r="AB16"/>
      <c r="AC16"/>
    </row>
    <row r="17" spans="2:29" s="73" customFormat="1" ht="29.25" customHeight="1">
      <c r="B17" s="1068"/>
      <c r="D17" s="306" t="s">
        <v>365</v>
      </c>
      <c r="F17" s="306" t="s">
        <v>156</v>
      </c>
      <c r="G17" s="1069" t="s">
        <v>366</v>
      </c>
      <c r="H17" s="1069" t="s">
        <v>367</v>
      </c>
      <c r="I17" s="359"/>
      <c r="J17" s="359"/>
      <c r="K17" s="359"/>
      <c r="M17" s="359"/>
      <c r="N17" s="359"/>
      <c r="O17" s="359"/>
      <c r="Q17" s="359"/>
      <c r="R17" s="359"/>
      <c r="S17" s="353"/>
      <c r="T17" s="359"/>
      <c r="W17"/>
      <c r="X17"/>
      <c r="Y17"/>
      <c r="Z17"/>
      <c r="AA17"/>
      <c r="AB17"/>
      <c r="AC17"/>
    </row>
    <row r="18" spans="2:29" s="73" customFormat="1" ht="18" customHeight="1">
      <c r="B18" s="162">
        <v>1</v>
      </c>
      <c r="D18" s="1329" t="s">
        <v>368</v>
      </c>
      <c r="E18" s="1330"/>
      <c r="F18" s="1331" t="s">
        <v>369</v>
      </c>
      <c r="G18" s="1330" t="s">
        <v>370</v>
      </c>
      <c r="H18" s="1330"/>
      <c r="I18" s="1332">
        <f>SUM('WP-BC'!G35:G52)</f>
        <v>104903172</v>
      </c>
      <c r="J18" s="1333">
        <f>SUM('WP-BC'!H35:H52)</f>
        <v>0</v>
      </c>
      <c r="K18" s="1333">
        <f>SUM('WP-BC'!I35:I52)</f>
        <v>104903172</v>
      </c>
      <c r="L18" s="1333">
        <f>SUM('WP-BC'!J35:J52)</f>
        <v>0</v>
      </c>
      <c r="M18" s="1333">
        <f>SUM('WP-BC'!K35:K52)</f>
        <v>104903172.59</v>
      </c>
      <c r="N18" s="1333">
        <f>SUM('WP-BC'!L35:L52)</f>
        <v>0</v>
      </c>
      <c r="O18" s="1333">
        <f>SUM('WP-BC'!M35:M52)</f>
        <v>104903172.59</v>
      </c>
      <c r="P18" s="1333">
        <f>SUM('WP-BC'!N35:N52)</f>
        <v>0</v>
      </c>
      <c r="Q18" s="1333">
        <f t="shared" ref="Q18:R21" si="0">AVERAGE(I18,M18)</f>
        <v>104903172.295</v>
      </c>
      <c r="R18" s="1333">
        <f t="shared" si="0"/>
        <v>0</v>
      </c>
      <c r="S18" s="1333"/>
      <c r="T18" s="1334">
        <f>Q18-R18</f>
        <v>104903172.295</v>
      </c>
      <c r="W18"/>
      <c r="X18"/>
      <c r="Y18"/>
      <c r="Z18"/>
      <c r="AA18"/>
      <c r="AB18"/>
      <c r="AC18"/>
    </row>
    <row r="19" spans="2:29" s="73" customFormat="1" ht="18" customHeight="1">
      <c r="B19" s="162">
        <f>B18+1</f>
        <v>2</v>
      </c>
      <c r="D19" s="1070" t="s">
        <v>371</v>
      </c>
      <c r="F19" s="353" t="s">
        <v>369</v>
      </c>
      <c r="G19" s="73" t="s">
        <v>372</v>
      </c>
      <c r="H19" s="73" t="s">
        <v>373</v>
      </c>
      <c r="I19" s="1071">
        <f>'WP-BC'!G104</f>
        <v>2447219441</v>
      </c>
      <c r="J19" s="1072">
        <f>'WP-BC'!H104</f>
        <v>1021322189</v>
      </c>
      <c r="K19" s="1072">
        <f>'WP-BC'!I104</f>
        <v>1425897249</v>
      </c>
      <c r="L19" s="1072">
        <f>'WP-BC'!J104</f>
        <v>55145741</v>
      </c>
      <c r="M19" s="1072">
        <f>'WP-BC'!K104</f>
        <v>2425314047.6399989</v>
      </c>
      <c r="N19" s="1072">
        <f>'WP-BC'!L104</f>
        <v>971437069.1298089</v>
      </c>
      <c r="O19" s="1072">
        <f>'WP-BC'!M104</f>
        <v>1453876978.5101907</v>
      </c>
      <c r="P19" s="1072">
        <f>'WP-BC'!N104</f>
        <v>51904510.279808827</v>
      </c>
      <c r="Q19" s="1072">
        <f t="shared" si="0"/>
        <v>2436266744.3199997</v>
      </c>
      <c r="R19" s="1072">
        <f t="shared" si="0"/>
        <v>996379629.06490445</v>
      </c>
      <c r="S19" s="1072"/>
      <c r="T19" s="1073">
        <f>Q19-R19</f>
        <v>1439887115.2550952</v>
      </c>
      <c r="W19"/>
      <c r="X19"/>
      <c r="Y19"/>
      <c r="Z19"/>
      <c r="AA19"/>
      <c r="AB19"/>
      <c r="AC19"/>
    </row>
    <row r="20" spans="2:29" s="1074" customFormat="1" ht="18" customHeight="1">
      <c r="B20" s="162">
        <f>B19+1</f>
        <v>3</v>
      </c>
      <c r="D20" s="1070" t="s">
        <v>374</v>
      </c>
      <c r="F20" s="353" t="s">
        <v>369</v>
      </c>
      <c r="G20" s="73" t="s">
        <v>375</v>
      </c>
      <c r="H20" s="73" t="s">
        <v>376</v>
      </c>
      <c r="I20" s="1075">
        <f>'WP-BC'!G166</f>
        <v>1251760454</v>
      </c>
      <c r="J20" s="1076">
        <f>'WP-BC'!H166</f>
        <v>896209006</v>
      </c>
      <c r="K20" s="1076">
        <f>'WP-BC'!I166</f>
        <v>355551446</v>
      </c>
      <c r="L20" s="1076">
        <f>'WP-BC'!J166</f>
        <v>187581075.62</v>
      </c>
      <c r="M20" s="1076">
        <f>'WP-BC'!K166</f>
        <v>2399695600.5</v>
      </c>
      <c r="N20" s="1076">
        <f>'WP-BC'!L166</f>
        <v>1468958517.4201913</v>
      </c>
      <c r="O20" s="1076">
        <f>'WP-BC'!M166</f>
        <v>930737083.07980895</v>
      </c>
      <c r="P20" s="1076">
        <f>'WP-BC'!N166</f>
        <v>87411180.900191173</v>
      </c>
      <c r="Q20" s="1076">
        <f t="shared" si="0"/>
        <v>1825728027.25</v>
      </c>
      <c r="R20" s="1076">
        <f t="shared" si="0"/>
        <v>1182583761.7100956</v>
      </c>
      <c r="S20" s="1076"/>
      <c r="T20" s="1077">
        <f>Q20-R20</f>
        <v>643144265.53990436</v>
      </c>
      <c r="W20"/>
      <c r="X20"/>
      <c r="Y20"/>
      <c r="Z20"/>
      <c r="AA20"/>
      <c r="AB20"/>
      <c r="AC20"/>
    </row>
    <row r="21" spans="2:29" s="73" customFormat="1" ht="18" customHeight="1">
      <c r="B21" s="162">
        <f>B20+1</f>
        <v>4</v>
      </c>
      <c r="D21" s="1078"/>
      <c r="E21" s="406"/>
      <c r="F21" s="1268"/>
      <c r="G21" s="406"/>
      <c r="H21" s="406"/>
      <c r="I21" s="1079">
        <f t="shared" ref="I21:P21" si="1">SUM(I18:I20)</f>
        <v>3803883067</v>
      </c>
      <c r="J21" s="1080">
        <f t="shared" si="1"/>
        <v>1917531195</v>
      </c>
      <c r="K21" s="1080">
        <f t="shared" si="1"/>
        <v>1886351867</v>
      </c>
      <c r="L21" s="1080">
        <f t="shared" si="1"/>
        <v>242726816.62</v>
      </c>
      <c r="M21" s="1080">
        <f t="shared" si="1"/>
        <v>4929912820.7299995</v>
      </c>
      <c r="N21" s="1080">
        <f t="shared" si="1"/>
        <v>2440395586.5500002</v>
      </c>
      <c r="O21" s="1080">
        <f t="shared" si="1"/>
        <v>2489517234.1799994</v>
      </c>
      <c r="P21" s="1080">
        <f t="shared" si="1"/>
        <v>139315691.18000001</v>
      </c>
      <c r="Q21" s="1080">
        <f t="shared" si="0"/>
        <v>4366897943.8649998</v>
      </c>
      <c r="R21" s="1080">
        <f t="shared" si="0"/>
        <v>2178963390.7750001</v>
      </c>
      <c r="S21" s="1080"/>
      <c r="T21" s="1081">
        <f>Q21-R21</f>
        <v>2187934553.0899997</v>
      </c>
      <c r="W21"/>
      <c r="X21"/>
      <c r="Y21"/>
      <c r="Z21"/>
      <c r="AA21"/>
      <c r="AB21"/>
      <c r="AC21"/>
    </row>
    <row r="22" spans="2:29" s="73" customFormat="1" ht="18" customHeight="1">
      <c r="B22" s="162"/>
      <c r="F22" s="353"/>
      <c r="I22" s="312"/>
      <c r="J22" s="312"/>
      <c r="K22" s="312"/>
      <c r="L22" s="312"/>
      <c r="M22" s="312"/>
      <c r="N22" s="312"/>
      <c r="O22" s="312"/>
      <c r="P22" s="312"/>
      <c r="Q22" s="1082"/>
      <c r="R22" s="1082"/>
      <c r="S22" s="1072"/>
      <c r="T22" s="1082"/>
      <c r="W22"/>
      <c r="X22"/>
      <c r="Y22"/>
      <c r="Z22"/>
      <c r="AA22"/>
      <c r="AB22"/>
      <c r="AC22"/>
    </row>
    <row r="23" spans="2:29" s="73" customFormat="1" ht="18" customHeight="1">
      <c r="B23" s="162"/>
      <c r="D23" s="306" t="s">
        <v>377</v>
      </c>
      <c r="F23" s="353"/>
      <c r="G23" s="166"/>
      <c r="H23" s="166"/>
      <c r="I23" s="312"/>
      <c r="J23" s="312"/>
      <c r="K23" s="312"/>
      <c r="L23" s="312"/>
      <c r="M23" s="312"/>
      <c r="N23" s="312"/>
      <c r="O23" s="312"/>
      <c r="P23" s="312"/>
      <c r="Q23" s="1082"/>
      <c r="R23" s="1082"/>
      <c r="S23" s="1072"/>
      <c r="T23" s="1082"/>
      <c r="W23"/>
      <c r="X23"/>
      <c r="Y23"/>
      <c r="Z23"/>
      <c r="AA23"/>
      <c r="AB23"/>
      <c r="AC23"/>
    </row>
    <row r="24" spans="2:29" s="73" customFormat="1" ht="18" customHeight="1">
      <c r="B24" s="162">
        <f>B21+1</f>
        <v>5</v>
      </c>
      <c r="D24" s="1329" t="s">
        <v>378</v>
      </c>
      <c r="E24" s="1330"/>
      <c r="F24" s="1331" t="s">
        <v>369</v>
      </c>
      <c r="G24" s="1335" t="s">
        <v>379</v>
      </c>
      <c r="H24" s="1335"/>
      <c r="I24" s="1332">
        <f>SUM('WP-BC'!G18:G24,'WP-BC'!G32:G34)</f>
        <v>47378023</v>
      </c>
      <c r="J24" s="1333">
        <f>SUM('WP-BC'!H18:H24,'WP-BC'!H32:H34)</f>
        <v>0</v>
      </c>
      <c r="K24" s="1333">
        <f>SUM('WP-BC'!I18:I24,'WP-BC'!I32:I34)</f>
        <v>47378023</v>
      </c>
      <c r="L24" s="1333">
        <f>SUM('WP-BC'!J18:J24,'WP-BC'!J32:J34)</f>
        <v>0</v>
      </c>
      <c r="M24" s="1333">
        <f>SUM('WP-BC'!K18:K24,'WP-BC'!K32:K34)</f>
        <v>47378023.490000002</v>
      </c>
      <c r="N24" s="1333">
        <f>SUM('WP-BC'!L18:L24,'WP-BC'!L32:L34)</f>
        <v>0</v>
      </c>
      <c r="O24" s="1333">
        <f>SUM('WP-BC'!M18:M24,'WP-BC'!M32:M34)</f>
        <v>47378023.490000002</v>
      </c>
      <c r="P24" s="1333">
        <f>SUM('WP-BC'!N18:N24,'WP-BC'!N32:N34)</f>
        <v>0</v>
      </c>
      <c r="Q24" s="1333">
        <f t="shared" ref="Q24:R26" si="2">AVERAGE(I24,M24)</f>
        <v>47378023.245000005</v>
      </c>
      <c r="R24" s="1333">
        <f t="shared" si="2"/>
        <v>0</v>
      </c>
      <c r="S24" s="1333"/>
      <c r="T24" s="1334">
        <f>Q24-R24</f>
        <v>47378023.245000005</v>
      </c>
      <c r="W24"/>
      <c r="X24"/>
      <c r="Y24"/>
      <c r="Z24"/>
      <c r="AA24"/>
      <c r="AB24"/>
      <c r="AC24"/>
    </row>
    <row r="25" spans="2:29" s="73" customFormat="1" ht="18" customHeight="1">
      <c r="B25" s="162">
        <f>B24+1</f>
        <v>6</v>
      </c>
      <c r="D25" s="1070" t="s">
        <v>220</v>
      </c>
      <c r="F25" s="353" t="s">
        <v>369</v>
      </c>
      <c r="G25" s="73" t="s">
        <v>380</v>
      </c>
      <c r="H25" s="73" t="s">
        <v>381</v>
      </c>
      <c r="I25" s="1083">
        <f>'WP-BC'!G242</f>
        <v>3127742140</v>
      </c>
      <c r="J25" s="1084">
        <f>'WP-BC'!H242</f>
        <v>1404167049</v>
      </c>
      <c r="K25" s="1084">
        <f>'WP-BC'!I242</f>
        <v>1723575090</v>
      </c>
      <c r="L25" s="1084">
        <f>'WP-BC'!J242</f>
        <v>55302960</v>
      </c>
      <c r="M25" s="1084">
        <f>'WP-BC'!K242</f>
        <v>2913039763.0599995</v>
      </c>
      <c r="N25" s="1084">
        <f>'WP-BC'!L242</f>
        <v>1405100686.1100001</v>
      </c>
      <c r="O25" s="1084">
        <f>'WP-BC'!M242</f>
        <v>1507939076.95</v>
      </c>
      <c r="P25" s="1084">
        <f>'WP-BC'!N242</f>
        <v>50522989.669999994</v>
      </c>
      <c r="Q25" s="1084">
        <f t="shared" si="2"/>
        <v>3020390951.5299997</v>
      </c>
      <c r="R25" s="1084">
        <f t="shared" si="2"/>
        <v>1404633867.5550001</v>
      </c>
      <c r="S25" s="1084"/>
      <c r="T25" s="1085">
        <f>Q25-R25</f>
        <v>1615757083.9749997</v>
      </c>
      <c r="W25"/>
      <c r="X25"/>
      <c r="Y25"/>
      <c r="Z25"/>
      <c r="AA25"/>
      <c r="AB25"/>
      <c r="AC25"/>
    </row>
    <row r="26" spans="2:29" s="73" customFormat="1" ht="18" customHeight="1">
      <c r="B26" s="162">
        <f>B25+1</f>
        <v>7</v>
      </c>
      <c r="D26" s="1070"/>
      <c r="F26" s="353"/>
      <c r="I26" s="1071">
        <f t="shared" ref="I26:P26" si="3">I24+I25</f>
        <v>3175120163</v>
      </c>
      <c r="J26" s="1072">
        <f t="shared" si="3"/>
        <v>1404167049</v>
      </c>
      <c r="K26" s="1072">
        <f t="shared" si="3"/>
        <v>1770953113</v>
      </c>
      <c r="L26" s="1072">
        <f t="shared" si="3"/>
        <v>55302960</v>
      </c>
      <c r="M26" s="1072">
        <f t="shared" si="3"/>
        <v>2960417786.5499992</v>
      </c>
      <c r="N26" s="1072">
        <f t="shared" si="3"/>
        <v>1405100686.1100001</v>
      </c>
      <c r="O26" s="1072">
        <f t="shared" si="3"/>
        <v>1555317100.4400001</v>
      </c>
      <c r="P26" s="1072">
        <f t="shared" si="3"/>
        <v>50522989.669999994</v>
      </c>
      <c r="Q26" s="1072">
        <f t="shared" si="2"/>
        <v>3067768974.7749996</v>
      </c>
      <c r="R26" s="1072">
        <f t="shared" si="2"/>
        <v>1404633867.5550001</v>
      </c>
      <c r="S26" s="1072"/>
      <c r="T26" s="1073">
        <f>Q26-R26</f>
        <v>1663135107.2199996</v>
      </c>
      <c r="W26"/>
      <c r="X26"/>
      <c r="Y26"/>
      <c r="Z26"/>
      <c r="AA26"/>
      <c r="AB26"/>
      <c r="AC26"/>
    </row>
    <row r="27" spans="2:29" s="73" customFormat="1" ht="18" customHeight="1">
      <c r="B27" s="162"/>
      <c r="D27" s="1070"/>
      <c r="F27" s="353"/>
      <c r="G27" s="188"/>
      <c r="H27" s="188"/>
      <c r="I27" s="1071"/>
      <c r="J27" s="1072"/>
      <c r="K27" s="1072"/>
      <c r="L27" s="1072"/>
      <c r="M27" s="1072"/>
      <c r="N27" s="1072"/>
      <c r="O27" s="1072"/>
      <c r="P27" s="1072"/>
      <c r="Q27" s="1072"/>
      <c r="R27" s="1072"/>
      <c r="S27" s="1072"/>
      <c r="T27" s="1073"/>
      <c r="W27"/>
      <c r="X27"/>
      <c r="Y27"/>
      <c r="Z27"/>
      <c r="AA27"/>
      <c r="AB27"/>
      <c r="AC27"/>
    </row>
    <row r="28" spans="2:29" s="73" customFormat="1" ht="18" customHeight="1">
      <c r="B28" s="162">
        <f>B26+1</f>
        <v>8</v>
      </c>
      <c r="D28" s="1070" t="s">
        <v>382</v>
      </c>
      <c r="F28" s="353" t="s">
        <v>369</v>
      </c>
      <c r="I28" s="1071">
        <f>-'WP-BC'!G239</f>
        <v>0</v>
      </c>
      <c r="J28" s="1072">
        <f>-'WP-BC'!H239</f>
        <v>156190323</v>
      </c>
      <c r="K28" s="1072">
        <f>-'WP-BC'!I239</f>
        <v>-156190323</v>
      </c>
      <c r="L28" s="1072">
        <f>-'WP-BC'!J239</f>
        <v>0</v>
      </c>
      <c r="M28" s="1072">
        <f>-'WP-BC'!K239</f>
        <v>0</v>
      </c>
      <c r="N28" s="1072">
        <f>-'WP-BC'!L239</f>
        <v>143886520</v>
      </c>
      <c r="O28" s="1072">
        <f>-'WP-BC'!M239</f>
        <v>-143886520</v>
      </c>
      <c r="P28" s="1072">
        <f>-'WP-BC'!N239</f>
        <v>0</v>
      </c>
      <c r="Q28" s="1072">
        <f>AVERAGE(I28,M28)</f>
        <v>0</v>
      </c>
      <c r="R28" s="1072">
        <f>AVERAGE(J28,N28)</f>
        <v>150038421.5</v>
      </c>
      <c r="S28" s="1072"/>
      <c r="T28" s="1073">
        <f>Q28-R28</f>
        <v>-150038421.5</v>
      </c>
      <c r="W28"/>
      <c r="X28"/>
      <c r="Y28"/>
      <c r="Z28"/>
      <c r="AA28"/>
      <c r="AB28"/>
      <c r="AC28"/>
    </row>
    <row r="29" spans="2:29" s="73" customFormat="1" ht="18" customHeight="1">
      <c r="B29" s="162"/>
      <c r="D29" s="1070"/>
      <c r="F29" s="162"/>
      <c r="I29" s="1071"/>
      <c r="J29" s="1072"/>
      <c r="K29" s="1072"/>
      <c r="L29" s="1072"/>
      <c r="M29" s="1072"/>
      <c r="N29" s="1072"/>
      <c r="O29" s="1072"/>
      <c r="P29" s="1072"/>
      <c r="Q29" s="1072"/>
      <c r="R29" s="1072"/>
      <c r="S29" s="1072"/>
      <c r="T29" s="1073"/>
      <c r="W29"/>
      <c r="X29"/>
      <c r="Y29"/>
      <c r="Z29"/>
      <c r="AA29"/>
      <c r="AB29"/>
      <c r="AC29"/>
    </row>
    <row r="30" spans="2:29" s="73" customFormat="1" ht="18" customHeight="1">
      <c r="B30" s="162">
        <f>B28+1</f>
        <v>9</v>
      </c>
      <c r="D30" s="1086" t="s">
        <v>383</v>
      </c>
      <c r="F30" s="353" t="s">
        <v>384</v>
      </c>
      <c r="I30" s="1083">
        <f>-'WP-BB'!K$75</f>
        <v>-284118317</v>
      </c>
      <c r="J30" s="1084">
        <f>-'WP-BB'!L$75</f>
        <v>-204693362</v>
      </c>
      <c r="K30" s="1084">
        <f>-'WP-BB'!M$75</f>
        <v>-79424955</v>
      </c>
      <c r="L30" s="1084">
        <f>-'WP-BB'!N$75</f>
        <v>-6252581</v>
      </c>
      <c r="M30" s="1084">
        <f>-'WP-BB'!O$75</f>
        <v>-362392669.38999999</v>
      </c>
      <c r="N30" s="1084">
        <f>-'WP-BB'!P$75</f>
        <v>-243055637.28999996</v>
      </c>
      <c r="O30" s="1084">
        <f>-'WP-BB'!Q$75</f>
        <v>-119337032.09999999</v>
      </c>
      <c r="P30" s="1084">
        <f>-'WP-BB'!R$75</f>
        <v>-8749988</v>
      </c>
      <c r="Q30" s="1084">
        <f>AVERAGE(I30,M30)</f>
        <v>-323255493.19499999</v>
      </c>
      <c r="R30" s="1084">
        <f>AVERAGE(J30,N30)</f>
        <v>-223874499.64499998</v>
      </c>
      <c r="S30" s="1072"/>
      <c r="T30" s="1085">
        <f>Q30-R30</f>
        <v>-99380993.550000012</v>
      </c>
      <c r="W30"/>
      <c r="X30"/>
      <c r="Y30"/>
      <c r="Z30"/>
      <c r="AA30"/>
      <c r="AB30"/>
      <c r="AC30"/>
    </row>
    <row r="31" spans="2:29" s="73" customFormat="1" ht="18" customHeight="1">
      <c r="B31" s="162"/>
      <c r="D31" s="1070"/>
      <c r="F31" s="353"/>
      <c r="I31" s="1071"/>
      <c r="J31" s="1072"/>
      <c r="K31" s="1072"/>
      <c r="L31" s="1072"/>
      <c r="M31" s="1072"/>
      <c r="N31" s="1072"/>
      <c r="O31" s="1072"/>
      <c r="P31" s="1072"/>
      <c r="Q31" s="1072"/>
      <c r="R31" s="1072"/>
      <c r="S31" s="1072"/>
      <c r="T31" s="1073"/>
      <c r="W31"/>
      <c r="X31"/>
      <c r="Y31"/>
      <c r="Z31"/>
      <c r="AA31"/>
      <c r="AB31"/>
      <c r="AC31"/>
    </row>
    <row r="32" spans="2:29" s="73" customFormat="1" ht="18" customHeight="1">
      <c r="B32" s="162"/>
      <c r="D32" s="1087" t="s">
        <v>385</v>
      </c>
      <c r="F32" s="353"/>
      <c r="I32" s="1088"/>
      <c r="J32" s="312"/>
      <c r="K32" s="312"/>
      <c r="L32" s="312"/>
      <c r="M32" s="312"/>
      <c r="N32" s="312"/>
      <c r="O32" s="312"/>
      <c r="P32" s="312"/>
      <c r="Q32" s="1072"/>
      <c r="R32" s="1072"/>
      <c r="S32" s="1072"/>
      <c r="T32" s="1073"/>
      <c r="W32"/>
      <c r="X32"/>
      <c r="Y32"/>
      <c r="Z32"/>
      <c r="AA32"/>
      <c r="AB32"/>
      <c r="AC32"/>
    </row>
    <row r="33" spans="2:29" s="73" customFormat="1" ht="18" customHeight="1">
      <c r="B33" s="162">
        <f>B30+1</f>
        <v>10</v>
      </c>
      <c r="D33" s="1070" t="s">
        <v>386</v>
      </c>
      <c r="F33" s="353" t="s">
        <v>369</v>
      </c>
      <c r="G33" s="188"/>
      <c r="H33" s="188"/>
      <c r="I33" s="1071">
        <f>-'WP-BC'!G238</f>
        <v>30000000</v>
      </c>
      <c r="J33" s="1072">
        <f>-'WP-BC'!H238</f>
        <v>0</v>
      </c>
      <c r="K33" s="1072">
        <f>-'WP-BC'!I238</f>
        <v>30000000</v>
      </c>
      <c r="L33" s="1072">
        <f>-'WP-BC'!J238</f>
        <v>0</v>
      </c>
      <c r="M33" s="1072">
        <f>-'WP-BC'!K238</f>
        <v>30000000</v>
      </c>
      <c r="N33" s="1072">
        <f>-'WP-BC'!L238</f>
        <v>0</v>
      </c>
      <c r="O33" s="1072">
        <f>-'WP-BC'!M238</f>
        <v>30000000</v>
      </c>
      <c r="P33" s="1072">
        <f>-'WP-BC'!N238</f>
        <v>0</v>
      </c>
      <c r="Q33" s="1072">
        <f>AVERAGE(I33,M33)</f>
        <v>30000000</v>
      </c>
      <c r="R33" s="1072">
        <f>AVERAGE(J33,N33)</f>
        <v>0</v>
      </c>
      <c r="S33" s="1072"/>
      <c r="T33" s="1073">
        <f>Q33-R33</f>
        <v>30000000</v>
      </c>
      <c r="W33"/>
      <c r="X33"/>
      <c r="Y33"/>
      <c r="Z33"/>
      <c r="AA33"/>
      <c r="AB33"/>
      <c r="AC33"/>
    </row>
    <row r="34" spans="2:29" s="73" customFormat="1" ht="18" customHeight="1">
      <c r="B34" s="162">
        <f>B33+1</f>
        <v>11</v>
      </c>
      <c r="D34" s="1070" t="s">
        <v>339</v>
      </c>
      <c r="E34" s="306"/>
      <c r="F34" s="353" t="s">
        <v>369</v>
      </c>
      <c r="G34" s="188"/>
      <c r="H34" s="188"/>
      <c r="I34" s="1071">
        <f>-('WP-BC'!G34+'WP-BC'!G195)</f>
        <v>-83123861</v>
      </c>
      <c r="J34" s="1072">
        <f>-('WP-BC'!H34+'WP-BC'!H195)</f>
        <v>-17384916</v>
      </c>
      <c r="K34" s="1072">
        <f>-('WP-BC'!I34+'WP-BC'!I195)</f>
        <v>-65738945</v>
      </c>
      <c r="L34" s="1072">
        <f>-('WP-BC'!J34+'WP-BC'!J195)</f>
        <v>-1838654</v>
      </c>
      <c r="M34" s="1072">
        <f>-('WP-BC'!K34+'WP-BC'!K195)</f>
        <v>-83123860.969999999</v>
      </c>
      <c r="N34" s="1072">
        <f>-('WP-BC'!L34+'WP-BC'!L195)</f>
        <v>-15546261.970000001</v>
      </c>
      <c r="O34" s="1072">
        <f>-('WP-BC'!M34+'WP-BC'!M195)</f>
        <v>-67577599</v>
      </c>
      <c r="P34" s="1072">
        <f>-('WP-BC'!N34+'WP-BC'!N195)</f>
        <v>-1663426</v>
      </c>
      <c r="Q34" s="1072">
        <f t="shared" ref="Q34:R36" si="4">AVERAGE(I34,M34)</f>
        <v>-83123860.984999999</v>
      </c>
      <c r="R34" s="1072">
        <f t="shared" si="4"/>
        <v>-16465588.984999999</v>
      </c>
      <c r="S34" s="1072"/>
      <c r="T34" s="1073">
        <f>Q34-R34</f>
        <v>-66658272</v>
      </c>
      <c r="W34"/>
      <c r="X34"/>
      <c r="Y34"/>
      <c r="Z34"/>
      <c r="AA34"/>
      <c r="AB34"/>
      <c r="AC34"/>
    </row>
    <row r="35" spans="2:29" s="73" customFormat="1" ht="18" customHeight="1">
      <c r="B35" s="162">
        <f t="shared" ref="B35:B41" si="5">B34+1</f>
        <v>12</v>
      </c>
      <c r="D35" s="1070" t="s">
        <v>387</v>
      </c>
      <c r="F35" s="353" t="s">
        <v>388</v>
      </c>
      <c r="G35" s="188"/>
      <c r="H35" s="188"/>
      <c r="I35" s="1071">
        <f>-'WP-BF'!F62</f>
        <v>-73786856</v>
      </c>
      <c r="J35" s="1072">
        <f>'WP-BF'!H62</f>
        <v>-24347040</v>
      </c>
      <c r="K35" s="1072">
        <f>I35-J35</f>
        <v>-49439816</v>
      </c>
      <c r="L35" s="1072">
        <f>-'WP-BF'!L62</f>
        <v>-1212269</v>
      </c>
      <c r="M35" s="1072">
        <f>-'WP-BF'!N62</f>
        <v>-75571142.170000002</v>
      </c>
      <c r="N35" s="1072">
        <f>'WP-BF'!P62</f>
        <v>-24843377.169999998</v>
      </c>
      <c r="O35" s="1072">
        <f>M35-N35</f>
        <v>-50727765</v>
      </c>
      <c r="P35" s="1072">
        <f>-'WP-BF'!T62</f>
        <v>-1421673.3399999999</v>
      </c>
      <c r="Q35" s="1072">
        <f t="shared" si="4"/>
        <v>-74678999.085000008</v>
      </c>
      <c r="R35" s="1072">
        <f t="shared" si="4"/>
        <v>-24595208.585000001</v>
      </c>
      <c r="S35" s="1072"/>
      <c r="T35" s="1073">
        <f>Q35-R35</f>
        <v>-50083790.500000007</v>
      </c>
      <c r="W35"/>
      <c r="X35"/>
      <c r="Y35"/>
      <c r="Z35"/>
      <c r="AA35"/>
      <c r="AB35"/>
      <c r="AC35"/>
    </row>
    <row r="36" spans="2:29" s="73" customFormat="1" ht="18" customHeight="1">
      <c r="B36" s="162">
        <f t="shared" si="5"/>
        <v>13</v>
      </c>
      <c r="D36" s="1070" t="s">
        <v>336</v>
      </c>
      <c r="F36" s="353" t="s">
        <v>389</v>
      </c>
      <c r="G36" s="188"/>
      <c r="H36" s="188"/>
      <c r="I36" s="1071">
        <f>-'WP-BE'!F41</f>
        <v>-44743652</v>
      </c>
      <c r="J36" s="1072">
        <f>'WP-BE'!G41</f>
        <v>-18839026</v>
      </c>
      <c r="K36" s="1072">
        <f>I36-J36</f>
        <v>-25904626</v>
      </c>
      <c r="L36" s="1072">
        <f>'WP-BE'!I41</f>
        <v>-1004224</v>
      </c>
      <c r="M36" s="1072">
        <f>-'WP-BE'!J41</f>
        <v>-44743653.020000003</v>
      </c>
      <c r="N36" s="1072">
        <f>'WP-BE'!K41</f>
        <v>-17834798.019999992</v>
      </c>
      <c r="O36" s="1072">
        <f>M36-N36</f>
        <v>-26908855.000000011</v>
      </c>
      <c r="P36" s="1072">
        <f>'WP-BE'!M41</f>
        <v>-990508</v>
      </c>
      <c r="Q36" s="1072">
        <f t="shared" si="4"/>
        <v>-44743652.510000005</v>
      </c>
      <c r="R36" s="1072">
        <f t="shared" si="4"/>
        <v>-18336912.009999998</v>
      </c>
      <c r="S36" s="1072"/>
      <c r="T36" s="1073">
        <f>Q36-R36</f>
        <v>-26406740.500000007</v>
      </c>
      <c r="V36" s="166"/>
      <c r="W36"/>
      <c r="X36"/>
      <c r="Y36"/>
      <c r="Z36"/>
      <c r="AA36"/>
      <c r="AB36"/>
      <c r="AC36"/>
    </row>
    <row r="37" spans="2:29" s="73" customFormat="1" ht="18" customHeight="1">
      <c r="B37" s="162">
        <f t="shared" si="5"/>
        <v>14</v>
      </c>
      <c r="D37" s="1070" t="s">
        <v>390</v>
      </c>
      <c r="F37" s="162"/>
      <c r="G37" s="188"/>
      <c r="H37" s="188"/>
      <c r="I37" s="1071"/>
      <c r="J37" s="1072"/>
      <c r="K37" s="1072"/>
      <c r="L37" s="1072">
        <f>'WP-BD'!H44</f>
        <v>2178735.56</v>
      </c>
      <c r="M37" s="1072"/>
      <c r="N37" s="1072"/>
      <c r="O37" s="1072"/>
      <c r="P37" s="1072">
        <f>'WP-BD'!H43</f>
        <v>2178735.56</v>
      </c>
      <c r="Q37" s="1072"/>
      <c r="R37" s="1072"/>
      <c r="S37" s="1072"/>
      <c r="T37" s="1073"/>
      <c r="W37"/>
      <c r="X37"/>
      <c r="Y37"/>
      <c r="Z37"/>
      <c r="AA37"/>
      <c r="AB37"/>
      <c r="AC37"/>
    </row>
    <row r="38" spans="2:29" s="73" customFormat="1" ht="18" customHeight="1">
      <c r="B38" s="1089">
        <f t="shared" si="5"/>
        <v>15</v>
      </c>
      <c r="C38" s="310"/>
      <c r="D38" s="1090" t="s">
        <v>146</v>
      </c>
      <c r="E38" s="310"/>
      <c r="F38" s="1089"/>
      <c r="G38" s="195"/>
      <c r="H38" s="195"/>
      <c r="I38" s="1091"/>
      <c r="J38" s="1092"/>
      <c r="K38" s="1092"/>
      <c r="L38" s="1092"/>
      <c r="M38" s="1092"/>
      <c r="N38" s="1092"/>
      <c r="O38" s="1092"/>
      <c r="P38" s="1092"/>
      <c r="Q38" s="1092"/>
      <c r="R38" s="1092"/>
      <c r="S38" s="1092"/>
      <c r="T38" s="1093"/>
      <c r="W38"/>
      <c r="X38"/>
      <c r="Y38"/>
      <c r="Z38"/>
      <c r="AA38"/>
      <c r="AB38"/>
      <c r="AC38"/>
    </row>
    <row r="39" spans="2:29" s="73" customFormat="1" ht="18" customHeight="1">
      <c r="B39" s="162">
        <f>B38+1</f>
        <v>16</v>
      </c>
      <c r="D39" s="1070" t="s">
        <v>391</v>
      </c>
      <c r="F39" s="162"/>
      <c r="G39" s="306"/>
      <c r="H39" s="306"/>
      <c r="I39" s="1071">
        <f>SUM(I33:I38)</f>
        <v>-171654369</v>
      </c>
      <c r="J39" s="1072">
        <f t="shared" ref="J39:O39" si="6">SUM(J33:J38)</f>
        <v>-60570982</v>
      </c>
      <c r="K39" s="1072">
        <f t="shared" si="6"/>
        <v>-111083387</v>
      </c>
      <c r="L39" s="1072">
        <f t="shared" si="6"/>
        <v>-1876411.44</v>
      </c>
      <c r="M39" s="1072">
        <f t="shared" si="6"/>
        <v>-173438656.16</v>
      </c>
      <c r="N39" s="1072">
        <f t="shared" si="6"/>
        <v>-58224437.159999996</v>
      </c>
      <c r="O39" s="1072">
        <f t="shared" si="6"/>
        <v>-115214219.00000001</v>
      </c>
      <c r="P39" s="1072">
        <f>SUM(P33:P38)</f>
        <v>-1896871.7799999998</v>
      </c>
      <c r="Q39" s="1072">
        <f>SUM(Q33:Q38)</f>
        <v>-172546512.58000001</v>
      </c>
      <c r="R39" s="1072">
        <f t="shared" ref="R39:T39" si="7">SUM(R33:R38)</f>
        <v>-59397709.579999998</v>
      </c>
      <c r="S39" s="1072">
        <f t="shared" si="7"/>
        <v>0</v>
      </c>
      <c r="T39" s="1073">
        <f t="shared" si="7"/>
        <v>-113148803</v>
      </c>
      <c r="W39"/>
      <c r="X39"/>
      <c r="Y39"/>
      <c r="Z39"/>
      <c r="AA39"/>
      <c r="AB39"/>
      <c r="AC39"/>
    </row>
    <row r="40" spans="2:29" s="73" customFormat="1" ht="18" customHeight="1">
      <c r="B40" s="162">
        <f t="shared" si="5"/>
        <v>17</v>
      </c>
      <c r="D40" s="1070"/>
      <c r="F40" s="353"/>
      <c r="I40" s="1071"/>
      <c r="J40" s="1072"/>
      <c r="K40" s="1072"/>
      <c r="L40" s="1072"/>
      <c r="M40" s="1072"/>
      <c r="N40" s="1072"/>
      <c r="O40" s="1072"/>
      <c r="P40" s="1072"/>
      <c r="Q40" s="1072"/>
      <c r="R40" s="1072"/>
      <c r="S40" s="1072"/>
      <c r="T40" s="1073"/>
      <c r="W40"/>
      <c r="X40"/>
      <c r="Y40"/>
      <c r="Z40"/>
      <c r="AA40"/>
      <c r="AB40"/>
      <c r="AC40"/>
    </row>
    <row r="41" spans="2:29" s="73" customFormat="1" ht="18" customHeight="1">
      <c r="B41" s="162">
        <f t="shared" si="5"/>
        <v>18</v>
      </c>
      <c r="D41" s="1094" t="s">
        <v>392</v>
      </c>
      <c r="E41" s="1095"/>
      <c r="F41" s="1096"/>
      <c r="G41" s="1095"/>
      <c r="H41" s="1095"/>
      <c r="I41" s="1079">
        <f>I39+I26+I28+I30</f>
        <v>2719347477</v>
      </c>
      <c r="J41" s="1080">
        <f t="shared" ref="J41:T41" si="8">J39+J26+J28+J30</f>
        <v>1295093028</v>
      </c>
      <c r="K41" s="1080">
        <f t="shared" si="8"/>
        <v>1424254448</v>
      </c>
      <c r="L41" s="1080">
        <f t="shared" si="8"/>
        <v>47173967.560000002</v>
      </c>
      <c r="M41" s="1080">
        <f t="shared" si="8"/>
        <v>2424586460.9999995</v>
      </c>
      <c r="N41" s="1080">
        <f t="shared" si="8"/>
        <v>1247707131.6600001</v>
      </c>
      <c r="O41" s="1080">
        <f t="shared" si="8"/>
        <v>1176879329.3400002</v>
      </c>
      <c r="P41" s="1080">
        <f t="shared" si="8"/>
        <v>39876129.889999993</v>
      </c>
      <c r="Q41" s="1080">
        <f t="shared" si="8"/>
        <v>2571966968.9999995</v>
      </c>
      <c r="R41" s="1080">
        <f t="shared" si="8"/>
        <v>1271400079.8300002</v>
      </c>
      <c r="S41" s="1080">
        <f t="shared" si="8"/>
        <v>0</v>
      </c>
      <c r="T41" s="1081">
        <f t="shared" si="8"/>
        <v>1300566889.1699996</v>
      </c>
      <c r="W41"/>
      <c r="X41"/>
      <c r="Y41"/>
      <c r="Z41"/>
      <c r="AA41"/>
      <c r="AB41"/>
      <c r="AC41"/>
    </row>
    <row r="42" spans="2:29" s="73" customFormat="1" ht="18" customHeight="1">
      <c r="B42" s="162"/>
      <c r="F42" s="353"/>
      <c r="I42" s="1082"/>
      <c r="J42" s="1082"/>
      <c r="K42" s="1082"/>
      <c r="L42" s="1082"/>
      <c r="M42" s="1082"/>
      <c r="N42" s="1082"/>
      <c r="O42" s="1082"/>
      <c r="P42" s="1082"/>
      <c r="Q42" s="1082"/>
      <c r="R42" s="1082"/>
      <c r="S42" s="1072"/>
      <c r="T42" s="1082"/>
      <c r="W42"/>
      <c r="X42"/>
      <c r="Y42"/>
      <c r="Z42"/>
      <c r="AA42"/>
      <c r="AB42"/>
      <c r="AC42"/>
    </row>
    <row r="43" spans="2:29" s="73" customFormat="1" ht="18" customHeight="1">
      <c r="B43" s="162"/>
      <c r="F43" s="353"/>
      <c r="I43" s="1082"/>
      <c r="J43" s="1082"/>
      <c r="K43" s="1082"/>
      <c r="L43" s="1082"/>
      <c r="M43" s="1082"/>
      <c r="N43" s="1082"/>
      <c r="O43" s="1082"/>
      <c r="P43" s="1082"/>
      <c r="Q43" s="1082"/>
      <c r="R43" s="1082"/>
      <c r="S43" s="1072"/>
      <c r="T43" s="1082"/>
      <c r="W43"/>
      <c r="X43"/>
      <c r="Y43"/>
      <c r="Z43"/>
      <c r="AA43"/>
      <c r="AB43"/>
      <c r="AC43"/>
    </row>
    <row r="44" spans="2:29" s="73" customFormat="1" ht="18" customHeight="1">
      <c r="B44" s="162"/>
      <c r="D44" s="306" t="s">
        <v>393</v>
      </c>
      <c r="F44" s="353"/>
      <c r="I44" s="1082"/>
      <c r="J44" s="1082"/>
      <c r="K44" s="1082"/>
      <c r="L44" s="1082"/>
      <c r="M44" s="1082"/>
      <c r="N44" s="1082"/>
      <c r="O44" s="1082"/>
      <c r="P44" s="1082"/>
      <c r="Q44" s="1082"/>
      <c r="R44" s="1082"/>
      <c r="S44" s="1072"/>
      <c r="T44" s="1082"/>
      <c r="W44"/>
      <c r="X44"/>
      <c r="Y44"/>
      <c r="Z44"/>
      <c r="AA44"/>
      <c r="AB44"/>
      <c r="AC44"/>
    </row>
    <row r="45" spans="2:29" s="73" customFormat="1" ht="18" customHeight="1">
      <c r="B45" s="162">
        <f>B41+1</f>
        <v>19</v>
      </c>
      <c r="D45" s="1329" t="s">
        <v>394</v>
      </c>
      <c r="E45" s="1330"/>
      <c r="F45" s="1331" t="s">
        <v>369</v>
      </c>
      <c r="G45" s="1330" t="s">
        <v>395</v>
      </c>
      <c r="H45" s="1330"/>
      <c r="I45" s="1332">
        <f>SUM('WP-BC'!G25:G31)</f>
        <v>11611691</v>
      </c>
      <c r="J45" s="1333">
        <f>SUM('WP-BC'!H25:H31)</f>
        <v>0</v>
      </c>
      <c r="K45" s="1333">
        <f>SUM('WP-BC'!I25:I31)</f>
        <v>11611691</v>
      </c>
      <c r="L45" s="1333">
        <f>SUM('WP-BC'!N25:N31)</f>
        <v>0</v>
      </c>
      <c r="M45" s="1333">
        <f>SUM('WP-BC'!K25:K31)</f>
        <v>11611691</v>
      </c>
      <c r="N45" s="1333">
        <f>SUM('WP-BC'!L25:L31)</f>
        <v>0</v>
      </c>
      <c r="O45" s="1333">
        <f>SUM('WP-BC'!M25:M31)</f>
        <v>11611691</v>
      </c>
      <c r="P45" s="1333">
        <f>SUM('WP-BC'!N25:N31)</f>
        <v>0</v>
      </c>
      <c r="Q45" s="1333">
        <f t="shared" ref="Q45:R47" si="9">AVERAGE(I45,M45)</f>
        <v>11611691</v>
      </c>
      <c r="R45" s="1333">
        <f t="shared" si="9"/>
        <v>0</v>
      </c>
      <c r="S45" s="1333"/>
      <c r="T45" s="1334">
        <f>Q45-R45</f>
        <v>11611691</v>
      </c>
      <c r="W45"/>
      <c r="X45"/>
      <c r="Y45"/>
      <c r="Z45"/>
      <c r="AA45"/>
      <c r="AB45"/>
      <c r="AC45"/>
    </row>
    <row r="46" spans="2:29" s="73" customFormat="1" ht="18" customHeight="1">
      <c r="B46" s="162">
        <f>B45+1</f>
        <v>20</v>
      </c>
      <c r="D46" s="1070" t="s">
        <v>396</v>
      </c>
      <c r="F46" s="353" t="s">
        <v>369</v>
      </c>
      <c r="G46" s="73" t="s">
        <v>397</v>
      </c>
      <c r="H46" s="73" t="s">
        <v>398</v>
      </c>
      <c r="I46" s="1083">
        <f>'WP-BC'!G353</f>
        <v>1645391716.1500001</v>
      </c>
      <c r="J46" s="1084">
        <f>'WP-BC'!H353</f>
        <v>613823276.54999995</v>
      </c>
      <c r="K46" s="1084">
        <f>'WP-BC'!I353</f>
        <v>1031568438.15</v>
      </c>
      <c r="L46" s="1084">
        <f>'WP-BC'!J353</f>
        <v>74958843.200000003</v>
      </c>
      <c r="M46" s="1084">
        <f>'WP-BC'!K353</f>
        <v>1516304155.5099998</v>
      </c>
      <c r="N46" s="1084">
        <f>'WP-BC'!L353</f>
        <v>546999288.08579993</v>
      </c>
      <c r="O46" s="1084">
        <f>'WP-BC'!M353</f>
        <v>969304867.57000005</v>
      </c>
      <c r="P46" s="1084">
        <f>'WP-BC'!N353</f>
        <v>59032531.010000013</v>
      </c>
      <c r="Q46" s="1084">
        <f t="shared" si="9"/>
        <v>1580847935.8299999</v>
      </c>
      <c r="R46" s="1084">
        <f t="shared" si="9"/>
        <v>580411282.31789994</v>
      </c>
      <c r="S46" s="1084"/>
      <c r="T46" s="1085">
        <f>Q46-R46</f>
        <v>1000436653.5121</v>
      </c>
      <c r="W46"/>
      <c r="X46"/>
      <c r="Y46"/>
      <c r="Z46"/>
      <c r="AA46"/>
      <c r="AB46"/>
      <c r="AC46"/>
    </row>
    <row r="47" spans="2:29" s="73" customFormat="1" ht="18" customHeight="1">
      <c r="B47" s="162">
        <f>B46+1</f>
        <v>21</v>
      </c>
      <c r="D47" s="1070"/>
      <c r="F47" s="353"/>
      <c r="G47" s="73" t="s">
        <v>399</v>
      </c>
      <c r="I47" s="1071">
        <f t="shared" ref="I47:P47" si="10">SUM(I45:I46)</f>
        <v>1657003407.1500001</v>
      </c>
      <c r="J47" s="1072">
        <f t="shared" si="10"/>
        <v>613823276.54999995</v>
      </c>
      <c r="K47" s="1072">
        <f t="shared" si="10"/>
        <v>1043180129.15</v>
      </c>
      <c r="L47" s="1072">
        <f t="shared" si="10"/>
        <v>74958843.200000003</v>
      </c>
      <c r="M47" s="1072">
        <f t="shared" si="10"/>
        <v>1527915846.5099998</v>
      </c>
      <c r="N47" s="1072">
        <f t="shared" si="10"/>
        <v>546999288.08579993</v>
      </c>
      <c r="O47" s="1072">
        <f t="shared" si="10"/>
        <v>980916558.57000005</v>
      </c>
      <c r="P47" s="1072">
        <f t="shared" si="10"/>
        <v>59032531.010000013</v>
      </c>
      <c r="Q47" s="1072">
        <f t="shared" si="9"/>
        <v>1592459626.8299999</v>
      </c>
      <c r="R47" s="1072">
        <f t="shared" si="9"/>
        <v>580411282.31789994</v>
      </c>
      <c r="S47" s="1072"/>
      <c r="T47" s="1073">
        <f>Q47-R47</f>
        <v>1012048344.5121</v>
      </c>
      <c r="W47"/>
      <c r="X47"/>
      <c r="Y47"/>
      <c r="Z47"/>
      <c r="AA47"/>
      <c r="AB47"/>
      <c r="AC47"/>
    </row>
    <row r="48" spans="2:29" s="73" customFormat="1" ht="18" customHeight="1">
      <c r="B48" s="162"/>
      <c r="D48" s="1087" t="s">
        <v>385</v>
      </c>
      <c r="F48" s="353"/>
      <c r="I48" s="1071"/>
      <c r="J48" s="1072"/>
      <c r="K48" s="1072"/>
      <c r="L48" s="1072"/>
      <c r="M48" s="1072"/>
      <c r="N48" s="1072"/>
      <c r="O48" s="1072"/>
      <c r="P48" s="1072"/>
      <c r="Q48" s="1072"/>
      <c r="R48" s="1072"/>
      <c r="S48" s="1072"/>
      <c r="T48" s="1073"/>
      <c r="W48"/>
      <c r="X48"/>
      <c r="Y48"/>
      <c r="Z48"/>
      <c r="AA48"/>
      <c r="AB48"/>
      <c r="AC48"/>
    </row>
    <row r="49" spans="1:23" ht="18" customHeight="1">
      <c r="A49" s="73"/>
      <c r="B49" s="162">
        <f>B47+1</f>
        <v>22</v>
      </c>
      <c r="C49" s="73"/>
      <c r="D49" s="1070" t="s">
        <v>400</v>
      </c>
      <c r="E49" s="73"/>
      <c r="F49" s="353"/>
      <c r="G49" s="73"/>
      <c r="H49" s="73"/>
      <c r="I49" s="1071">
        <v>0</v>
      </c>
      <c r="J49" s="1072">
        <v>0</v>
      </c>
      <c r="K49" s="1072">
        <v>0</v>
      </c>
      <c r="L49" s="1072">
        <v>0</v>
      </c>
      <c r="M49" s="1072">
        <v>0</v>
      </c>
      <c r="N49" s="1072">
        <v>0</v>
      </c>
      <c r="O49" s="1072">
        <v>0</v>
      </c>
      <c r="P49" s="1072">
        <v>0</v>
      </c>
      <c r="Q49" s="1072">
        <f t="shared" ref="Q49:R52" si="11">AVERAGE(I49,M49)</f>
        <v>0</v>
      </c>
      <c r="R49" s="1072">
        <f t="shared" si="11"/>
        <v>0</v>
      </c>
      <c r="S49" s="1072"/>
      <c r="T49" s="1073">
        <f>Q49-R49</f>
        <v>0</v>
      </c>
      <c r="W49" s="104"/>
    </row>
    <row r="50" spans="1:23" ht="18" customHeight="1">
      <c r="A50" s="73"/>
      <c r="B50" s="162">
        <f>B49+1</f>
        <v>23</v>
      </c>
      <c r="C50" s="73"/>
      <c r="D50" s="1070" t="s">
        <v>401</v>
      </c>
      <c r="E50" s="73"/>
      <c r="F50" s="353" t="s">
        <v>369</v>
      </c>
      <c r="G50" s="73"/>
      <c r="H50" s="73"/>
      <c r="I50" s="1071">
        <f>-'WP-BC'!G347</f>
        <v>0</v>
      </c>
      <c r="J50" s="1072">
        <f>-'WP-BC'!H347</f>
        <v>3695090</v>
      </c>
      <c r="K50" s="1072">
        <f>-'WP-BC'!I347</f>
        <v>-3695090</v>
      </c>
      <c r="L50" s="1072">
        <f>-'WP-BC'!J347</f>
        <v>0</v>
      </c>
      <c r="M50" s="1072">
        <f>-'WP-BC'!K347</f>
        <v>0</v>
      </c>
      <c r="N50" s="1072">
        <f>-'WP-BC'!L347</f>
        <v>3691987</v>
      </c>
      <c r="O50" s="1072">
        <f>-'WP-BC'!M347</f>
        <v>-3691987</v>
      </c>
      <c r="P50" s="1072">
        <f>-'WP-BC'!N347</f>
        <v>0</v>
      </c>
      <c r="Q50" s="1072">
        <f t="shared" si="11"/>
        <v>0</v>
      </c>
      <c r="R50" s="1072">
        <f t="shared" si="11"/>
        <v>3693538.5</v>
      </c>
      <c r="S50" s="1072"/>
      <c r="T50" s="1073">
        <f>Q50-R50</f>
        <v>-3693538.5</v>
      </c>
      <c r="W50" s="104"/>
    </row>
    <row r="51" spans="1:23" ht="18" customHeight="1">
      <c r="A51" s="73"/>
      <c r="B51" s="162">
        <f>B50+1</f>
        <v>24</v>
      </c>
      <c r="C51" s="73"/>
      <c r="D51" s="1070" t="s">
        <v>402</v>
      </c>
      <c r="E51" s="73"/>
      <c r="F51" s="353" t="s">
        <v>403</v>
      </c>
      <c r="G51" s="306"/>
      <c r="H51" s="306"/>
      <c r="I51" s="1071">
        <f>-'WP-BG'!E51</f>
        <v>-728683776</v>
      </c>
      <c r="J51" s="1072">
        <f>-'WP-BG'!F51</f>
        <v>-251430908</v>
      </c>
      <c r="K51" s="1072">
        <f>-'WP-BG'!G51</f>
        <v>-477252868</v>
      </c>
      <c r="L51" s="1072">
        <f>-'WP-BG'!H51</f>
        <v>-19394939</v>
      </c>
      <c r="M51" s="1072">
        <f>-'WP-BG'!I51</f>
        <v>-726373806.02999997</v>
      </c>
      <c r="N51" s="1072">
        <f>-'WP-BG'!J51</f>
        <v>-232035968.03</v>
      </c>
      <c r="O51" s="1072">
        <f>-'WP-BG'!K51</f>
        <v>-494337838</v>
      </c>
      <c r="P51" s="1072">
        <f>-'WP-BG'!L51</f>
        <v>-16918105.529999997</v>
      </c>
      <c r="Q51" s="1072">
        <f t="shared" si="11"/>
        <v>-727528791.01499999</v>
      </c>
      <c r="R51" s="1072">
        <f t="shared" si="11"/>
        <v>-241733438.01499999</v>
      </c>
      <c r="S51" s="1072"/>
      <c r="T51" s="1073">
        <f>Q51-R51</f>
        <v>-485795353</v>
      </c>
      <c r="W51" s="104"/>
    </row>
    <row r="52" spans="1:23" ht="18" customHeight="1">
      <c r="A52" s="73"/>
      <c r="B52" s="162">
        <f>B51+1</f>
        <v>25</v>
      </c>
      <c r="C52" s="73"/>
      <c r="D52" s="1086" t="s">
        <v>404</v>
      </c>
      <c r="E52" s="73"/>
      <c r="F52" s="353" t="s">
        <v>369</v>
      </c>
      <c r="G52" s="73"/>
      <c r="H52" s="73"/>
      <c r="I52" s="1071">
        <f>-SUM('WP-BC'!G30:G31,'WP-BC'!G303:G345)</f>
        <v>-57457286.149999999</v>
      </c>
      <c r="J52" s="1072">
        <f>-SUM('WP-BC'!H30:H31,'WP-BC'!H303:H345)</f>
        <v>-20665476</v>
      </c>
      <c r="K52" s="1072">
        <f>-SUM('WP-BC'!I30:I31,'WP-BC'!I303:I345)</f>
        <v>-36791811.149999999</v>
      </c>
      <c r="L52" s="1072">
        <f>-SUM('WP-BC'!J30:J31,'WP-BC'!J303:J345)</f>
        <v>-2997932.2</v>
      </c>
      <c r="M52" s="1072">
        <f>-SUM('WP-BC'!K30:K31,'WP-BC'!K303:K345)</f>
        <v>-39971173.625800006</v>
      </c>
      <c r="N52" s="1072">
        <f>-SUM('WP-BC'!L30:L31,'WP-BC'!L303:L345)</f>
        <v>-17852236.615800001</v>
      </c>
      <c r="O52" s="1072">
        <f>-SUM('WP-BC'!M30:M31,'WP-BC'!M303:M345)</f>
        <v>-22118937.010000009</v>
      </c>
      <c r="P52" s="1072">
        <f>-SUM('WP-BC'!N30:N31,'WP-BC'!N303:N345)</f>
        <v>-1493108.0799999998</v>
      </c>
      <c r="Q52" s="1072">
        <f t="shared" si="11"/>
        <v>-48714229.887900002</v>
      </c>
      <c r="R52" s="1072">
        <f t="shared" si="11"/>
        <v>-19258856.3079</v>
      </c>
      <c r="S52" s="1072"/>
      <c r="T52" s="1073">
        <f>Q52-R52</f>
        <v>-29455373.580000002</v>
      </c>
      <c r="W52" s="104"/>
    </row>
    <row r="53" spans="1:23" ht="18" customHeight="1">
      <c r="A53" s="73"/>
      <c r="B53" s="1089">
        <f t="shared" ref="B53" si="12">B52+1</f>
        <v>26</v>
      </c>
      <c r="C53" s="310"/>
      <c r="D53" s="1090" t="s">
        <v>146</v>
      </c>
      <c r="E53" s="310"/>
      <c r="F53" s="1089"/>
      <c r="G53" s="195"/>
      <c r="H53" s="195"/>
      <c r="I53" s="1097">
        <v>0</v>
      </c>
      <c r="J53" s="1098">
        <v>0</v>
      </c>
      <c r="K53" s="1098">
        <v>0</v>
      </c>
      <c r="L53" s="1098">
        <v>0</v>
      </c>
      <c r="M53" s="1098">
        <v>0</v>
      </c>
      <c r="N53" s="1098">
        <v>0</v>
      </c>
      <c r="O53" s="1098">
        <v>0</v>
      </c>
      <c r="P53" s="1098">
        <v>0</v>
      </c>
      <c r="Q53" s="1098">
        <f>AVERAGE(I53,M53)</f>
        <v>0</v>
      </c>
      <c r="R53" s="1098">
        <f t="shared" ref="R53" si="13">AVERAGE(J53,N53)</f>
        <v>0</v>
      </c>
      <c r="S53" s="1092"/>
      <c r="T53" s="1099">
        <f>Q53-R53</f>
        <v>0</v>
      </c>
      <c r="W53" s="104"/>
    </row>
    <row r="54" spans="1:23" ht="18" customHeight="1">
      <c r="A54" s="73"/>
      <c r="B54" s="162">
        <f>B53+1</f>
        <v>27</v>
      </c>
      <c r="C54" s="73"/>
      <c r="D54" s="1070" t="s">
        <v>391</v>
      </c>
      <c r="E54" s="73"/>
      <c r="F54" s="162"/>
      <c r="G54" s="306"/>
      <c r="H54" s="306"/>
      <c r="I54" s="1071">
        <f t="shared" ref="I54:R54" si="14">SUM(I49:I52)</f>
        <v>-786141062.14999998</v>
      </c>
      <c r="J54" s="1072">
        <f t="shared" si="14"/>
        <v>-268401294</v>
      </c>
      <c r="K54" s="1072">
        <f t="shared" si="14"/>
        <v>-517739769.14999998</v>
      </c>
      <c r="L54" s="1072">
        <f t="shared" si="14"/>
        <v>-22392871.199999999</v>
      </c>
      <c r="M54" s="1072">
        <f t="shared" si="14"/>
        <v>-766344979.65579998</v>
      </c>
      <c r="N54" s="1072">
        <f t="shared" si="14"/>
        <v>-246196217.64579999</v>
      </c>
      <c r="O54" s="1072">
        <f t="shared" si="14"/>
        <v>-520148762.00999999</v>
      </c>
      <c r="P54" s="1072">
        <f t="shared" si="14"/>
        <v>-18411213.609999996</v>
      </c>
      <c r="Q54" s="1072">
        <f t="shared" si="14"/>
        <v>-776243020.90289998</v>
      </c>
      <c r="R54" s="1072">
        <f t="shared" si="14"/>
        <v>-257298755.8229</v>
      </c>
      <c r="S54" s="1072"/>
      <c r="T54" s="1073">
        <f>SUM(T49:T52)</f>
        <v>-518944265.07999998</v>
      </c>
      <c r="W54" s="104"/>
    </row>
    <row r="55" spans="1:23" ht="18" customHeight="1">
      <c r="A55" s="73"/>
      <c r="B55" s="73"/>
      <c r="C55" s="73"/>
      <c r="D55" s="1070"/>
      <c r="E55" s="73"/>
      <c r="F55" s="353"/>
      <c r="G55" s="73"/>
      <c r="H55" s="73"/>
      <c r="I55" s="1088"/>
      <c r="J55" s="312"/>
      <c r="K55" s="312"/>
      <c r="L55" s="312"/>
      <c r="M55" s="312"/>
      <c r="N55" s="312"/>
      <c r="O55" s="312"/>
      <c r="P55" s="312"/>
      <c r="Q55" s="312"/>
      <c r="R55" s="312"/>
      <c r="S55" s="312"/>
      <c r="T55" s="1100"/>
      <c r="W55" s="104"/>
    </row>
    <row r="56" spans="1:23" ht="18" customHeight="1">
      <c r="A56" s="73"/>
      <c r="B56" s="162">
        <f>B54+1</f>
        <v>28</v>
      </c>
      <c r="C56" s="73"/>
      <c r="D56" s="1094" t="s">
        <v>405</v>
      </c>
      <c r="E56" s="1095"/>
      <c r="F56" s="1268"/>
      <c r="G56" s="406"/>
      <c r="H56" s="406"/>
      <c r="I56" s="1101">
        <f t="shared" ref="I56:R56" si="15">I47+I54</f>
        <v>870862345.00000012</v>
      </c>
      <c r="J56" s="1102">
        <f t="shared" si="15"/>
        <v>345421982.54999995</v>
      </c>
      <c r="K56" s="1102">
        <f t="shared" si="15"/>
        <v>525440360</v>
      </c>
      <c r="L56" s="1102">
        <f t="shared" si="15"/>
        <v>52565972</v>
      </c>
      <c r="M56" s="1102">
        <f t="shared" si="15"/>
        <v>761570866.85419977</v>
      </c>
      <c r="N56" s="1102">
        <f t="shared" si="15"/>
        <v>300803070.43999994</v>
      </c>
      <c r="O56" s="1102">
        <f t="shared" si="15"/>
        <v>460767796.56000006</v>
      </c>
      <c r="P56" s="1102">
        <f t="shared" si="15"/>
        <v>40621317.400000021</v>
      </c>
      <c r="Q56" s="1102">
        <f t="shared" si="15"/>
        <v>816216605.92709994</v>
      </c>
      <c r="R56" s="1102">
        <f t="shared" si="15"/>
        <v>323112526.49499995</v>
      </c>
      <c r="S56" s="1080"/>
      <c r="T56" s="1103">
        <f>T47+T54</f>
        <v>493104079.4321</v>
      </c>
      <c r="W56" s="104"/>
    </row>
    <row r="57" spans="1:23" ht="18" customHeight="1">
      <c r="A57" s="73"/>
      <c r="B57" s="162"/>
      <c r="C57" s="73"/>
      <c r="D57" s="73"/>
      <c r="E57" s="73"/>
      <c r="F57" s="162"/>
      <c r="G57" s="306"/>
      <c r="H57" s="306"/>
      <c r="I57" s="1104"/>
      <c r="J57" s="1104"/>
      <c r="K57" s="1104"/>
      <c r="L57" s="1104"/>
      <c r="M57" s="1104"/>
      <c r="N57" s="1104"/>
      <c r="O57" s="1104"/>
      <c r="P57" s="1104"/>
      <c r="Q57" s="1104"/>
      <c r="R57" s="1104"/>
      <c r="S57" s="1104"/>
      <c r="T57" s="1104"/>
    </row>
    <row r="58" spans="1:23" ht="18" customHeight="1">
      <c r="A58" s="73"/>
      <c r="B58" s="162"/>
      <c r="C58" s="73"/>
      <c r="D58" s="73" t="s">
        <v>6</v>
      </c>
      <c r="E58" s="73"/>
      <c r="F58" s="353"/>
      <c r="G58" s="73"/>
      <c r="H58" s="73"/>
      <c r="I58" s="1105"/>
      <c r="J58" s="1105"/>
      <c r="K58" s="1105"/>
      <c r="L58" s="1105"/>
      <c r="M58" s="1105"/>
      <c r="N58" s="1105"/>
      <c r="O58" s="1105"/>
      <c r="P58" s="1105"/>
      <c r="Q58" s="1105"/>
      <c r="R58" s="1105"/>
      <c r="S58" s="1104"/>
      <c r="T58" s="1105"/>
    </row>
    <row r="59" spans="1:23" ht="18" customHeight="1">
      <c r="A59" s="73"/>
      <c r="B59" s="162"/>
      <c r="C59" s="73"/>
      <c r="D59" s="164" t="s">
        <v>406</v>
      </c>
      <c r="E59" s="73"/>
      <c r="F59" s="353"/>
      <c r="G59" s="73"/>
      <c r="H59" s="73"/>
      <c r="I59" s="1105"/>
      <c r="J59" s="1105"/>
      <c r="K59" s="1105"/>
      <c r="L59" s="1105"/>
      <c r="M59" s="1105"/>
      <c r="N59" s="1105"/>
      <c r="O59" s="1105"/>
      <c r="P59" s="1105"/>
      <c r="Q59" s="1105"/>
      <c r="R59" s="1105"/>
      <c r="S59" s="1104"/>
      <c r="T59" s="1105"/>
    </row>
    <row r="60" spans="1:23" ht="18" customHeight="1">
      <c r="A60" s="73"/>
      <c r="B60" s="73"/>
      <c r="C60" s="73"/>
      <c r="D60" s="73" t="s">
        <v>407</v>
      </c>
      <c r="E60" s="73"/>
      <c r="F60" s="353"/>
      <c r="G60" s="73"/>
      <c r="H60" s="73"/>
      <c r="I60" s="1105"/>
      <c r="J60" s="73"/>
      <c r="K60" s="73"/>
      <c r="L60" s="73"/>
      <c r="M60" s="73"/>
      <c r="N60" s="73"/>
      <c r="O60" s="73"/>
      <c r="P60" s="73"/>
      <c r="Q60" s="73"/>
      <c r="R60" s="73"/>
      <c r="S60" s="73"/>
      <c r="T60" s="73"/>
    </row>
    <row r="61" spans="1:23" ht="18" customHeight="1">
      <c r="A61" s="73"/>
      <c r="B61" s="73"/>
      <c r="C61" s="73"/>
      <c r="D61" s="73" t="s">
        <v>408</v>
      </c>
      <c r="E61" s="73"/>
      <c r="F61" s="353"/>
      <c r="G61" s="73"/>
      <c r="H61" s="73"/>
      <c r="I61" s="73"/>
      <c r="J61" s="73"/>
      <c r="K61" s="73"/>
      <c r="L61" s="73"/>
      <c r="M61" s="73"/>
      <c r="N61" s="73"/>
      <c r="O61" s="73"/>
      <c r="P61" s="73"/>
      <c r="Q61" s="73"/>
      <c r="R61" s="73"/>
      <c r="S61" s="73"/>
      <c r="T61" s="73"/>
    </row>
    <row r="62" spans="1:23" ht="18" customHeight="1">
      <c r="A62" s="73"/>
      <c r="B62" s="162"/>
      <c r="C62" s="73"/>
      <c r="D62" s="73" t="s">
        <v>409</v>
      </c>
      <c r="E62" s="73"/>
      <c r="F62" s="353"/>
      <c r="G62" s="73"/>
      <c r="H62" s="73"/>
      <c r="I62" s="73"/>
      <c r="J62" s="73"/>
      <c r="K62" s="73"/>
      <c r="L62" s="73"/>
      <c r="M62" s="73"/>
      <c r="N62" s="73"/>
      <c r="O62" s="73"/>
      <c r="P62" s="73"/>
      <c r="Q62" s="73"/>
      <c r="R62" s="73"/>
      <c r="S62" s="1104"/>
      <c r="T62" s="73"/>
    </row>
    <row r="63" spans="1:23" ht="18" customHeight="1">
      <c r="A63" s="73"/>
      <c r="B63" s="73"/>
      <c r="C63" s="73"/>
      <c r="D63" s="73" t="s">
        <v>410</v>
      </c>
      <c r="E63" s="73"/>
      <c r="F63" s="353"/>
      <c r="G63" s="73"/>
      <c r="H63" s="73"/>
      <c r="I63" s="73"/>
      <c r="J63" s="73"/>
      <c r="K63" s="73"/>
      <c r="L63" s="73"/>
      <c r="M63" s="73"/>
      <c r="N63" s="73"/>
      <c r="O63" s="73"/>
      <c r="P63" s="73"/>
      <c r="Q63" s="73"/>
      <c r="R63" s="73"/>
      <c r="S63" s="73"/>
      <c r="T63" s="73"/>
    </row>
    <row r="64" spans="1:23" ht="16.5" customHeight="1">
      <c r="D64" s="73" t="s">
        <v>411</v>
      </c>
    </row>
    <row r="65" spans="1:20" ht="13.5" customHeight="1">
      <c r="A65" s="73"/>
      <c r="B65" s="73"/>
      <c r="C65" s="73"/>
      <c r="D65" s="310" t="s">
        <v>146</v>
      </c>
      <c r="E65" s="310"/>
      <c r="F65" s="1106"/>
      <c r="G65" s="310"/>
      <c r="H65" s="310"/>
      <c r="I65" s="310"/>
      <c r="J65" s="310"/>
      <c r="K65" s="310"/>
      <c r="L65" s="310"/>
      <c r="M65" s="310"/>
      <c r="N65" s="310"/>
      <c r="O65" s="310"/>
      <c r="P65" s="310"/>
      <c r="Q65" s="310"/>
      <c r="R65" s="310"/>
      <c r="S65" s="310"/>
      <c r="T65" s="310"/>
    </row>
    <row r="66" spans="1:20" ht="13.5" customHeight="1">
      <c r="A66" s="73"/>
      <c r="B66" s="73"/>
      <c r="C66" s="73"/>
      <c r="D66" s="163"/>
      <c r="E66" s="164"/>
      <c r="F66" s="353"/>
      <c r="G66" s="73"/>
      <c r="H66" s="73"/>
      <c r="I66" s="73"/>
      <c r="J66" s="73"/>
      <c r="K66" s="73"/>
      <c r="L66" s="73"/>
      <c r="M66" s="73"/>
      <c r="N66" s="73"/>
      <c r="O66" s="73"/>
      <c r="P66" s="73"/>
      <c r="Q66" s="73"/>
      <c r="R66" s="73"/>
      <c r="S66" s="73"/>
      <c r="T66" s="73"/>
    </row>
    <row r="67" spans="1:20" ht="13.5" customHeight="1">
      <c r="A67" s="73"/>
      <c r="B67" s="73"/>
      <c r="C67" s="73"/>
      <c r="D67" s="163"/>
      <c r="E67" s="164"/>
      <c r="F67" s="353"/>
      <c r="G67" s="73"/>
      <c r="H67" s="73"/>
      <c r="I67" s="73"/>
      <c r="J67" s="73"/>
      <c r="K67" s="73"/>
      <c r="L67" s="73"/>
      <c r="M67" s="73"/>
      <c r="N67" s="73"/>
      <c r="O67" s="73"/>
      <c r="P67" s="73"/>
      <c r="Q67" s="73"/>
      <c r="R67" s="73"/>
      <c r="S67" s="73"/>
      <c r="T67" s="73"/>
    </row>
    <row r="68" spans="1:20" ht="13.5" customHeight="1">
      <c r="A68" s="73"/>
      <c r="B68" s="73"/>
      <c r="C68" s="73"/>
      <c r="D68" s="73"/>
      <c r="E68" s="73"/>
      <c r="F68" s="353"/>
      <c r="G68" s="73"/>
      <c r="H68" s="73"/>
      <c r="I68" s="73"/>
      <c r="J68" s="73"/>
      <c r="K68" s="73"/>
      <c r="L68" s="73"/>
      <c r="M68" s="73"/>
      <c r="N68" s="73"/>
      <c r="O68" s="73"/>
      <c r="P68" s="73"/>
      <c r="Q68" s="73"/>
      <c r="R68" s="73"/>
      <c r="S68" s="73"/>
      <c r="T68" s="73"/>
    </row>
    <row r="69" spans="1:20" ht="13.5" customHeight="1">
      <c r="A69" s="73"/>
      <c r="B69" s="73"/>
      <c r="C69" s="73"/>
      <c r="D69" s="73"/>
      <c r="E69" s="73"/>
      <c r="F69" s="353"/>
      <c r="G69" s="73"/>
      <c r="H69" s="73"/>
      <c r="I69" s="73"/>
      <c r="J69" s="73"/>
      <c r="K69" s="73"/>
      <c r="L69" s="73"/>
      <c r="M69" s="73"/>
      <c r="N69" s="73"/>
      <c r="O69" s="73"/>
      <c r="P69" s="73"/>
      <c r="Q69" s="73"/>
      <c r="R69" s="73"/>
      <c r="S69" s="73"/>
      <c r="T69" s="73"/>
    </row>
    <row r="70" spans="1:20" ht="13.5" customHeight="1">
      <c r="A70" s="73"/>
      <c r="B70" s="73"/>
      <c r="C70" s="73"/>
      <c r="D70" s="73"/>
      <c r="E70" s="73"/>
      <c r="F70" s="353"/>
      <c r="G70" s="73"/>
      <c r="H70" s="73"/>
      <c r="I70" s="73"/>
      <c r="J70" s="73"/>
      <c r="K70" s="73"/>
      <c r="L70" s="73"/>
      <c r="M70" s="73"/>
      <c r="N70" s="73"/>
      <c r="O70" s="73"/>
      <c r="P70" s="73"/>
      <c r="Q70" s="73"/>
      <c r="R70" s="73"/>
      <c r="S70" s="73"/>
      <c r="T70" s="73"/>
    </row>
    <row r="71" spans="1:20" ht="13.5" customHeight="1">
      <c r="A71" s="73"/>
      <c r="B71" s="73"/>
      <c r="C71" s="73"/>
      <c r="D71" s="73"/>
      <c r="E71" s="73"/>
      <c r="F71" s="353"/>
      <c r="G71" s="73"/>
      <c r="H71" s="73"/>
      <c r="I71" s="73"/>
      <c r="J71" s="73"/>
      <c r="K71" s="73"/>
      <c r="L71" s="73"/>
      <c r="M71" s="73"/>
      <c r="N71" s="73"/>
      <c r="O71" s="73"/>
      <c r="P71" s="73"/>
      <c r="Q71" s="73"/>
      <c r="R71" s="73"/>
      <c r="S71" s="73"/>
      <c r="T71" s="73"/>
    </row>
    <row r="72" spans="1:20" ht="13.5" customHeight="1">
      <c r="A72" s="73"/>
      <c r="B72" s="73"/>
      <c r="C72" s="73"/>
      <c r="D72" s="73"/>
      <c r="E72" s="73"/>
      <c r="F72" s="353"/>
      <c r="G72" s="73"/>
      <c r="H72" s="73"/>
      <c r="I72" s="73"/>
      <c r="J72" s="73"/>
      <c r="K72" s="73"/>
      <c r="L72" s="73"/>
      <c r="M72" s="73"/>
      <c r="N72" s="73"/>
      <c r="O72" s="73"/>
      <c r="P72" s="73"/>
      <c r="Q72" s="73"/>
      <c r="R72" s="73"/>
      <c r="S72" s="73"/>
      <c r="T72" s="73"/>
    </row>
    <row r="73" spans="1:20" ht="13.5" customHeight="1">
      <c r="A73" s="73"/>
      <c r="B73" s="73"/>
      <c r="C73" s="73"/>
      <c r="D73" s="73"/>
      <c r="E73" s="73"/>
      <c r="F73" s="353"/>
      <c r="G73" s="73"/>
      <c r="H73" s="73"/>
      <c r="I73" s="73"/>
      <c r="J73" s="73"/>
      <c r="K73" s="73"/>
      <c r="L73" s="73"/>
      <c r="M73" s="73"/>
      <c r="N73" s="73"/>
      <c r="O73" s="73"/>
      <c r="P73" s="73"/>
      <c r="Q73" s="73"/>
      <c r="R73" s="73"/>
      <c r="S73" s="73"/>
      <c r="T73" s="73"/>
    </row>
    <row r="74" spans="1:20" ht="13.5" customHeight="1">
      <c r="A74" s="73"/>
      <c r="B74" s="73"/>
      <c r="C74" s="73"/>
      <c r="D74" s="73"/>
      <c r="E74" s="73"/>
      <c r="F74" s="353"/>
      <c r="G74" s="73"/>
      <c r="H74" s="73"/>
      <c r="I74" s="73"/>
      <c r="J74" s="73"/>
      <c r="K74" s="73"/>
      <c r="L74" s="73"/>
      <c r="M74" s="73"/>
      <c r="N74" s="73"/>
      <c r="O74" s="73"/>
      <c r="P74" s="73"/>
      <c r="Q74" s="73"/>
      <c r="R74" s="73"/>
      <c r="S74" s="73"/>
      <c r="T74" s="73"/>
    </row>
    <row r="75" spans="1:20" ht="13.5" customHeight="1">
      <c r="A75" s="73"/>
      <c r="B75" s="73"/>
      <c r="C75" s="73"/>
      <c r="D75" s="73"/>
      <c r="E75" s="73"/>
      <c r="F75" s="353"/>
      <c r="G75" s="73"/>
      <c r="H75" s="73"/>
      <c r="I75" s="73"/>
      <c r="J75" s="73"/>
      <c r="K75" s="73"/>
      <c r="L75" s="73"/>
      <c r="M75" s="73"/>
      <c r="N75" s="73"/>
      <c r="O75" s="73"/>
      <c r="P75" s="73"/>
      <c r="Q75" s="73"/>
      <c r="R75" s="73"/>
      <c r="S75" s="73"/>
      <c r="T75" s="73"/>
    </row>
    <row r="76" spans="1:20" ht="13.5" customHeight="1">
      <c r="A76" s="73"/>
      <c r="B76" s="73"/>
      <c r="C76" s="73"/>
      <c r="D76" s="73"/>
      <c r="E76" s="73"/>
      <c r="F76" s="353"/>
      <c r="G76" s="73"/>
      <c r="H76" s="73"/>
      <c r="I76" s="73"/>
      <c r="J76" s="73"/>
      <c r="K76" s="73"/>
      <c r="L76" s="73"/>
      <c r="M76" s="73"/>
      <c r="N76" s="73"/>
      <c r="O76" s="73"/>
      <c r="P76" s="73"/>
      <c r="Q76" s="73"/>
      <c r="R76" s="73"/>
      <c r="S76" s="73"/>
      <c r="T76" s="73"/>
    </row>
    <row r="77" spans="1:20" ht="13.5" customHeight="1">
      <c r="A77" s="73"/>
      <c r="B77" s="73"/>
      <c r="C77" s="73"/>
      <c r="D77" s="73"/>
      <c r="E77" s="73"/>
      <c r="F77" s="353"/>
      <c r="G77" s="73"/>
      <c r="H77" s="73"/>
      <c r="I77" s="73"/>
      <c r="J77" s="73"/>
      <c r="K77" s="73"/>
      <c r="L77" s="73"/>
      <c r="M77" s="73"/>
      <c r="N77" s="73"/>
      <c r="O77" s="73"/>
      <c r="P77" s="73"/>
      <c r="Q77" s="73"/>
      <c r="R77" s="73"/>
      <c r="S77" s="73"/>
      <c r="T77" s="73"/>
    </row>
    <row r="90" spans="11:15" ht="13.5" customHeight="1">
      <c r="K90" s="1107"/>
      <c r="N90" s="1107"/>
      <c r="O90" s="1107"/>
    </row>
    <row r="91" spans="11:15" ht="13.5" customHeight="1">
      <c r="K91" s="1107"/>
      <c r="N91" s="1107"/>
      <c r="O91" s="1107"/>
    </row>
  </sheetData>
  <customSheetViews>
    <customSheetView guid="{343BF296-013A-41F5-BDAB-AD6220EA7F78}" scale="80" showPageBreaks="1" fitToPage="1" printArea="1" view="pageBreakPreview" topLeftCell="A11">
      <selection activeCell="D33" sqref="D33"/>
      <rowBreaks count="1" manualBreakCount="1">
        <brk id="60" max="20" man="1"/>
      </rowBreaks>
      <pageMargins left="0" right="0" top="0" bottom="0" header="0" footer="0"/>
      <printOptions horizontalCentered="1"/>
      <pageSetup scale="47" orientation="landscape" r:id="rId1"/>
    </customSheetView>
    <customSheetView guid="{B321D76C-CDE5-48BB-9CDE-80FF97D58FCF}" scale="115" showPageBreaks="1" fitToPage="1" printArea="1" view="pageBreakPreview" topLeftCell="I49">
      <selection activeCell="D33" sqref="D33"/>
      <rowBreaks count="1" manualBreakCount="1">
        <brk id="60" max="20" man="1"/>
      </rowBreaks>
      <pageMargins left="0" right="0" top="0" bottom="0" header="0" footer="0"/>
      <printOptions horizontalCentered="1"/>
      <pageSetup scale="47" orientation="landscape" r:id="rId2"/>
    </customSheetView>
  </customSheetViews>
  <mergeCells count="9">
    <mergeCell ref="G16:H16"/>
    <mergeCell ref="A5:T5"/>
    <mergeCell ref="Q11:T11"/>
    <mergeCell ref="A3:U3"/>
    <mergeCell ref="A4:U4"/>
    <mergeCell ref="A7:U7"/>
    <mergeCell ref="A8:U8"/>
    <mergeCell ref="I11:L11"/>
    <mergeCell ref="M11:P11"/>
  </mergeCells>
  <printOptions horizontalCentered="1"/>
  <pageMargins left="0.1" right="0.1" top="0" bottom="0" header="0.3" footer="0.3"/>
  <pageSetup scale="49" orientation="landscape" r:id="rId3"/>
  <rowBreaks count="1" manualBreakCount="1">
    <brk id="62" max="16383" man="1"/>
  </rowBreaks>
  <ignoredErrors>
    <ignoredError sqref="L45:P45 M52:P52 M18:P18" formulaRange="1"/>
    <ignoredError sqref="I15:T15" numberStoredAsText="1"/>
  </ignoredError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rgb="FF0070C0"/>
    <pageSetUpPr fitToPage="1"/>
  </sheetPr>
  <dimension ref="A1:R54"/>
  <sheetViews>
    <sheetView view="pageBreakPreview" zoomScale="90" zoomScaleNormal="100" zoomScaleSheetLayoutView="90" workbookViewId="0">
      <selection activeCell="W62" sqref="W62"/>
    </sheetView>
  </sheetViews>
  <sheetFormatPr defaultColWidth="9" defaultRowHeight="12"/>
  <cols>
    <col min="1" max="1" width="11" style="216" customWidth="1"/>
    <col min="2" max="2" width="3.77734375" style="216" bestFit="1" customWidth="1"/>
    <col min="3" max="3" width="19.33203125" style="216" customWidth="1"/>
    <col min="4" max="4" width="9" style="216"/>
    <col min="5" max="5" width="37.77734375" style="216" customWidth="1"/>
    <col min="6" max="6" width="13.33203125" style="216" customWidth="1"/>
    <col min="7" max="7" width="2.33203125" style="216" bestFit="1" customWidth="1"/>
    <col min="8" max="8" width="13.88671875" style="216" customWidth="1"/>
    <col min="9" max="9" width="9.77734375" style="216" customWidth="1"/>
    <col min="10" max="10" width="13.77734375" style="216" bestFit="1" customWidth="1"/>
    <col min="11" max="11" width="12.33203125" style="216" bestFit="1" customWidth="1"/>
    <col min="12" max="12" width="12.77734375" style="216" bestFit="1" customWidth="1"/>
    <col min="13" max="13" width="2.33203125" style="216" bestFit="1" customWidth="1"/>
    <col min="14" max="14" width="10.21875" style="216" bestFit="1" customWidth="1"/>
    <col min="15" max="15" width="2.33203125" style="216" bestFit="1" customWidth="1"/>
    <col min="16" max="16" width="15.77734375" style="216" customWidth="1"/>
    <col min="17" max="17" width="12" style="216" customWidth="1"/>
    <col min="18" max="16384" width="9" style="216"/>
  </cols>
  <sheetData>
    <row r="1" spans="1:18" ht="14.4">
      <c r="A1" s="892"/>
      <c r="B1" s="1048"/>
      <c r="I1" s="222"/>
      <c r="J1" s="222"/>
      <c r="K1" s="222"/>
      <c r="L1" s="222"/>
      <c r="M1" s="222"/>
    </row>
    <row r="2" spans="1:18" ht="13.8">
      <c r="A2" s="1048"/>
      <c r="B2" s="1048"/>
      <c r="I2" s="222"/>
      <c r="J2" s="222"/>
      <c r="K2" s="222"/>
      <c r="L2" s="222"/>
      <c r="M2" s="222"/>
    </row>
    <row r="3" spans="1:18" ht="13.8">
      <c r="A3" s="1048"/>
      <c r="B3" s="1048"/>
      <c r="C3" s="1049"/>
      <c r="D3" s="1049"/>
      <c r="E3" s="1049"/>
      <c r="F3" s="1049"/>
      <c r="G3" s="1049"/>
      <c r="H3" s="1049"/>
      <c r="I3" s="222"/>
      <c r="J3" s="222"/>
      <c r="K3" s="222"/>
      <c r="L3" s="222"/>
      <c r="M3" s="222"/>
    </row>
    <row r="4" spans="1:18" ht="15" customHeight="1">
      <c r="A4" s="1470" t="s">
        <v>412</v>
      </c>
      <c r="B4" s="1470"/>
      <c r="C4" s="1470"/>
      <c r="D4" s="1470"/>
      <c r="E4" s="1470"/>
      <c r="F4" s="1470"/>
      <c r="G4" s="1470"/>
      <c r="H4" s="1470"/>
      <c r="I4" s="1470"/>
      <c r="J4" s="1470"/>
      <c r="K4" s="1470"/>
      <c r="L4" s="1470"/>
      <c r="M4" s="1470"/>
      <c r="N4" s="1470"/>
      <c r="O4" s="1470"/>
      <c r="P4" s="1470"/>
      <c r="Q4" s="1470"/>
    </row>
    <row r="5" spans="1:18" ht="15" customHeight="1">
      <c r="A5" s="1470" t="s">
        <v>20</v>
      </c>
      <c r="B5" s="1470"/>
      <c r="C5" s="1470"/>
      <c r="D5" s="1470"/>
      <c r="E5" s="1470"/>
      <c r="F5" s="1470"/>
      <c r="G5" s="1470"/>
      <c r="H5" s="1470"/>
      <c r="I5" s="1470"/>
      <c r="J5" s="1470"/>
      <c r="K5" s="1470"/>
      <c r="L5" s="1470"/>
      <c r="M5" s="1470"/>
      <c r="N5" s="1470"/>
      <c r="O5" s="1470"/>
      <c r="P5" s="1470"/>
      <c r="Q5" s="1470"/>
    </row>
    <row r="6" spans="1:18" ht="15" customHeight="1">
      <c r="D6" s="1267"/>
      <c r="E6" s="1267"/>
      <c r="H6" s="1050" t="s">
        <v>413</v>
      </c>
      <c r="I6" s="1267"/>
      <c r="J6" s="1267"/>
      <c r="K6" s="1267"/>
      <c r="L6" s="1267"/>
      <c r="M6" s="1267"/>
      <c r="N6" s="1267"/>
      <c r="O6" s="1267"/>
      <c r="P6" s="1267"/>
      <c r="Q6" s="1267"/>
    </row>
    <row r="7" spans="1:18" s="73" customFormat="1" ht="15" customHeight="1">
      <c r="A7" s="1051"/>
      <c r="B7" s="1051"/>
    </row>
    <row r="8" spans="1:18" s="73" customFormat="1" ht="15" customHeight="1">
      <c r="A8" s="1052" t="s">
        <v>7</v>
      </c>
      <c r="B8" s="1052"/>
      <c r="C8" s="406" t="s">
        <v>414</v>
      </c>
      <c r="D8" s="406" t="s">
        <v>415</v>
      </c>
      <c r="E8" s="406"/>
      <c r="F8" s="406"/>
      <c r="G8" s="406"/>
      <c r="H8" s="1471" t="s">
        <v>416</v>
      </c>
      <c r="I8" s="1471"/>
      <c r="J8" s="1471"/>
      <c r="K8" s="1471"/>
      <c r="L8" s="1471"/>
      <c r="M8" s="1471"/>
      <c r="N8" s="1471"/>
      <c r="O8" s="1471"/>
      <c r="P8" s="1471"/>
      <c r="Q8" s="1471"/>
    </row>
    <row r="9" spans="1:18" s="1055" customFormat="1" ht="26.4">
      <c r="A9" s="1053"/>
      <c r="B9" s="1053"/>
      <c r="C9" s="1054" t="s">
        <v>417</v>
      </c>
      <c r="F9" s="1056" t="s">
        <v>418</v>
      </c>
      <c r="G9" s="1056"/>
      <c r="H9" s="1056" t="s">
        <v>419</v>
      </c>
      <c r="I9" s="1056" t="s">
        <v>420</v>
      </c>
      <c r="J9" s="1056" t="s">
        <v>421</v>
      </c>
      <c r="K9" s="1056" t="s">
        <v>422</v>
      </c>
      <c r="L9" s="1056" t="s">
        <v>423</v>
      </c>
      <c r="M9" s="1056"/>
      <c r="N9" s="1056" t="s">
        <v>424</v>
      </c>
      <c r="O9" s="1056"/>
      <c r="P9" s="1056" t="s">
        <v>425</v>
      </c>
      <c r="Q9" s="1056" t="s">
        <v>426</v>
      </c>
    </row>
    <row r="10" spans="1:18" s="73" customFormat="1" ht="15" customHeight="1">
      <c r="A10" s="1051">
        <v>1</v>
      </c>
      <c r="B10" s="1051"/>
      <c r="C10" s="1057">
        <v>350</v>
      </c>
      <c r="D10" s="73" t="s">
        <v>427</v>
      </c>
    </row>
    <row r="11" spans="1:18" s="73" customFormat="1" ht="15" customHeight="1">
      <c r="A11" s="1051">
        <f t="shared" ref="A11:A18" si="0">+A10+1</f>
        <v>2</v>
      </c>
      <c r="B11" s="1051"/>
      <c r="C11" s="1057" t="s">
        <v>428</v>
      </c>
      <c r="D11" s="73" t="s">
        <v>429</v>
      </c>
      <c r="F11" s="1058"/>
      <c r="G11" s="1058"/>
      <c r="H11" s="1058">
        <v>1.8700000000000001E-2</v>
      </c>
      <c r="I11" s="1058">
        <v>1.78E-2</v>
      </c>
      <c r="J11" s="1058">
        <v>1.6E-2</v>
      </c>
      <c r="K11" s="1058"/>
      <c r="L11" s="1058">
        <v>1.83E-2</v>
      </c>
      <c r="M11" s="1058"/>
      <c r="N11" s="1058"/>
      <c r="O11" s="1058"/>
      <c r="P11" s="1058">
        <v>8.8999999999999999E-3</v>
      </c>
      <c r="Q11" s="1058">
        <v>1.9199999999999998E-2</v>
      </c>
      <c r="R11" s="1020"/>
    </row>
    <row r="12" spans="1:18" s="73" customFormat="1" ht="15" customHeight="1">
      <c r="A12" s="1051">
        <f t="shared" si="0"/>
        <v>3</v>
      </c>
      <c r="B12" s="1051"/>
      <c r="C12" s="1057" t="s">
        <v>430</v>
      </c>
      <c r="D12" s="73" t="s">
        <v>431</v>
      </c>
      <c r="F12" s="1058"/>
      <c r="G12" s="1058"/>
      <c r="H12" s="1058">
        <v>2.7300000000000001E-2</v>
      </c>
      <c r="I12" s="1058">
        <v>2.8000000000000001E-2</v>
      </c>
      <c r="J12" s="1058">
        <v>2.7900000000000001E-2</v>
      </c>
      <c r="K12" s="1058"/>
      <c r="L12" s="1058">
        <v>2.8299999999999999E-2</v>
      </c>
      <c r="M12" s="1058"/>
      <c r="N12" s="1058">
        <v>2.9000000000000001E-2</v>
      </c>
      <c r="O12" s="1058"/>
      <c r="P12" s="1058">
        <v>1.67E-2</v>
      </c>
      <c r="Q12" s="1058">
        <v>2.6700000000000002E-2</v>
      </c>
      <c r="R12" s="1020"/>
    </row>
    <row r="13" spans="1:18" s="73" customFormat="1" ht="15" customHeight="1">
      <c r="A13" s="1051">
        <f t="shared" si="0"/>
        <v>4</v>
      </c>
      <c r="B13" s="1051"/>
      <c r="C13" s="1057">
        <v>354</v>
      </c>
      <c r="D13" s="73" t="s">
        <v>432</v>
      </c>
      <c r="F13" s="1058"/>
      <c r="G13" s="1058"/>
      <c r="H13" s="1058">
        <v>1.6299999999999999E-2</v>
      </c>
      <c r="I13" s="1058">
        <v>1.6500000000000001E-2</v>
      </c>
      <c r="J13" s="1058">
        <v>1.6500000000000001E-2</v>
      </c>
      <c r="K13" s="1058">
        <v>8.6999999999999994E-3</v>
      </c>
      <c r="L13" s="1058">
        <v>1.84E-2</v>
      </c>
      <c r="M13" s="1058"/>
      <c r="N13" s="1058">
        <v>2.12E-2</v>
      </c>
      <c r="O13" s="1058"/>
      <c r="P13" s="1058"/>
      <c r="Q13" s="1058">
        <v>2.2700000000000001E-2</v>
      </c>
      <c r="R13" s="1020"/>
    </row>
    <row r="14" spans="1:18" s="73" customFormat="1" ht="15" customHeight="1">
      <c r="A14" s="1051">
        <f t="shared" si="0"/>
        <v>5</v>
      </c>
      <c r="B14" s="1051"/>
      <c r="C14" s="1057">
        <v>355</v>
      </c>
      <c r="D14" s="73" t="s">
        <v>433</v>
      </c>
      <c r="F14" s="1058"/>
      <c r="G14" s="1058"/>
      <c r="H14" s="1058">
        <v>2.2599999999999999E-2</v>
      </c>
      <c r="I14" s="1058">
        <v>2.3E-2</v>
      </c>
      <c r="J14" s="1058">
        <v>1.7100000000000001E-2</v>
      </c>
      <c r="K14" s="1058"/>
      <c r="L14" s="1058">
        <v>1.7500000000000002E-2</v>
      </c>
      <c r="M14" s="1058"/>
      <c r="N14" s="1058">
        <v>2.2800000000000001E-2</v>
      </c>
      <c r="O14" s="1058"/>
      <c r="P14" s="1058"/>
      <c r="Q14" s="1058">
        <v>2.6499999999999999E-2</v>
      </c>
      <c r="R14" s="1020"/>
    </row>
    <row r="15" spans="1:18" s="73" customFormat="1" ht="15" customHeight="1">
      <c r="A15" s="1051">
        <f t="shared" si="0"/>
        <v>6</v>
      </c>
      <c r="B15" s="1051"/>
      <c r="C15" s="1057">
        <v>356</v>
      </c>
      <c r="D15" s="73" t="s">
        <v>434</v>
      </c>
      <c r="F15" s="1058"/>
      <c r="G15" s="1058"/>
      <c r="H15" s="1058">
        <v>2.3199999999999998E-2</v>
      </c>
      <c r="I15" s="1058">
        <v>2.2499999999999999E-2</v>
      </c>
      <c r="J15" s="1058">
        <v>1.95E-2</v>
      </c>
      <c r="K15" s="1058">
        <v>1.37E-2</v>
      </c>
      <c r="L15" s="1058">
        <v>2.8299999999999999E-2</v>
      </c>
      <c r="M15" s="1058"/>
      <c r="N15" s="1058">
        <v>2.4299999999999999E-2</v>
      </c>
      <c r="O15" s="1058"/>
      <c r="P15" s="1058"/>
      <c r="Q15" s="1058">
        <v>2.4500000000000001E-2</v>
      </c>
      <c r="R15" s="1020"/>
    </row>
    <row r="16" spans="1:18" s="73" customFormat="1" ht="15" customHeight="1">
      <c r="A16" s="1051">
        <f t="shared" si="0"/>
        <v>7</v>
      </c>
      <c r="B16" s="1051"/>
      <c r="C16" s="1057">
        <v>357</v>
      </c>
      <c r="D16" s="73" t="s">
        <v>435</v>
      </c>
      <c r="F16" s="1058"/>
      <c r="G16" s="1058"/>
      <c r="H16" s="1058">
        <v>1.03E-2</v>
      </c>
      <c r="I16" s="1058"/>
      <c r="J16" s="1058"/>
      <c r="K16" s="1058"/>
      <c r="L16" s="1058"/>
      <c r="M16" s="1058"/>
      <c r="N16" s="1058">
        <v>1.7600000000000001E-2</v>
      </c>
      <c r="O16" s="1058"/>
      <c r="P16" s="1058">
        <v>3.2000000000000002E-3</v>
      </c>
      <c r="Q16" s="1058">
        <v>1.6899999999999998E-2</v>
      </c>
      <c r="R16" s="1020"/>
    </row>
    <row r="17" spans="1:18" s="73" customFormat="1" ht="15" customHeight="1">
      <c r="A17" s="1051">
        <f t="shared" si="0"/>
        <v>8</v>
      </c>
      <c r="B17" s="1051"/>
      <c r="C17" s="1057">
        <v>358</v>
      </c>
      <c r="D17" s="73" t="s">
        <v>436</v>
      </c>
      <c r="F17" s="1058"/>
      <c r="G17" s="1058"/>
      <c r="H17" s="1058">
        <v>2.47E-2</v>
      </c>
      <c r="I17" s="1058"/>
      <c r="J17" s="1058"/>
      <c r="K17" s="1058"/>
      <c r="L17" s="1058"/>
      <c r="M17" s="1058"/>
      <c r="N17" s="1058">
        <v>2.9100000000000001E-2</v>
      </c>
      <c r="O17" s="1058"/>
      <c r="P17" s="1058">
        <v>7.4000000000000003E-3</v>
      </c>
      <c r="Q17" s="1058">
        <v>2.4400000000000002E-2</v>
      </c>
      <c r="R17" s="1020"/>
    </row>
    <row r="18" spans="1:18" s="73" customFormat="1" ht="15" customHeight="1">
      <c r="A18" s="1051">
        <f t="shared" si="0"/>
        <v>9</v>
      </c>
      <c r="B18" s="1051"/>
      <c r="C18" s="1057">
        <v>359</v>
      </c>
      <c r="D18" s="73" t="s">
        <v>437</v>
      </c>
      <c r="F18" s="1058"/>
      <c r="G18" s="1058"/>
      <c r="H18" s="1058">
        <v>7.7000000000000002E-3</v>
      </c>
      <c r="I18" s="1058">
        <v>5.3E-3</v>
      </c>
      <c r="J18" s="1058">
        <v>1.0200000000000001E-2</v>
      </c>
      <c r="K18" s="1058">
        <v>1.1000000000000001E-3</v>
      </c>
      <c r="L18" s="1058">
        <v>1.23E-2</v>
      </c>
      <c r="M18" s="1058"/>
      <c r="N18" s="1058">
        <v>1.4200000000000001E-2</v>
      </c>
      <c r="O18" s="1058"/>
      <c r="P18" s="1058"/>
      <c r="Q18" s="1058">
        <v>1.3299999999999999E-2</v>
      </c>
      <c r="R18" s="1020"/>
    </row>
    <row r="19" spans="1:18" s="73" customFormat="1" ht="15" customHeight="1">
      <c r="A19" s="1051"/>
      <c r="B19" s="1051"/>
      <c r="C19" s="1057" t="s">
        <v>438</v>
      </c>
    </row>
    <row r="20" spans="1:18" s="73" customFormat="1" ht="15" customHeight="1">
      <c r="A20" s="1051">
        <f>A18+1</f>
        <v>10</v>
      </c>
      <c r="B20" s="1051"/>
      <c r="C20" s="1057">
        <v>390</v>
      </c>
      <c r="D20" s="73" t="s">
        <v>439</v>
      </c>
      <c r="F20" s="1058">
        <v>1.37E-2</v>
      </c>
      <c r="G20" s="1058"/>
      <c r="H20" s="1058">
        <v>1.6899999999999998E-2</v>
      </c>
      <c r="I20" s="1058">
        <v>1.5299999999999999E-2</v>
      </c>
      <c r="J20" s="1058">
        <v>1.61E-2</v>
      </c>
      <c r="K20" s="1058"/>
      <c r="L20" s="1058">
        <v>1.7000000000000001E-2</v>
      </c>
      <c r="M20" s="1058"/>
      <c r="N20" s="1058"/>
      <c r="O20" s="1058"/>
      <c r="P20" s="1058"/>
      <c r="Q20" s="1058">
        <v>1.7500000000000002E-2</v>
      </c>
    </row>
    <row r="21" spans="1:18" s="73" customFormat="1" ht="15" customHeight="1">
      <c r="A21" s="1051">
        <f>A20+1</f>
        <v>11</v>
      </c>
      <c r="B21" s="1051"/>
      <c r="C21" s="1057">
        <v>391</v>
      </c>
      <c r="D21" s="73" t="s">
        <v>440</v>
      </c>
      <c r="F21" s="1058">
        <v>0.1</v>
      </c>
      <c r="G21" s="1058"/>
      <c r="H21" s="1058">
        <v>0.1</v>
      </c>
      <c r="I21" s="1058">
        <v>0.1</v>
      </c>
      <c r="J21" s="1058">
        <v>0.1</v>
      </c>
      <c r="K21" s="1058">
        <v>0.1</v>
      </c>
      <c r="L21" s="1058">
        <v>0.1</v>
      </c>
      <c r="M21" s="1058"/>
      <c r="N21" s="1058">
        <v>0.1</v>
      </c>
      <c r="O21" s="1058"/>
      <c r="P21" s="1058">
        <v>0.1</v>
      </c>
      <c r="Q21" s="1058">
        <v>0.1</v>
      </c>
    </row>
    <row r="22" spans="1:18" s="73" customFormat="1" ht="15" customHeight="1">
      <c r="A22" s="1051">
        <f t="shared" ref="A22:A31" si="1">A21+1</f>
        <v>12</v>
      </c>
      <c r="B22" s="1051"/>
      <c r="C22" s="1057" t="s">
        <v>441</v>
      </c>
      <c r="D22" s="73" t="s">
        <v>442</v>
      </c>
      <c r="F22" s="1058">
        <v>0.2</v>
      </c>
      <c r="G22" s="1058"/>
      <c r="H22" s="1058">
        <v>0.2</v>
      </c>
      <c r="I22" s="1058">
        <v>0.2</v>
      </c>
      <c r="J22" s="1058">
        <v>0.2</v>
      </c>
      <c r="K22" s="1058">
        <v>0.2</v>
      </c>
      <c r="L22" s="1058">
        <v>0.2</v>
      </c>
      <c r="M22" s="1058"/>
      <c r="N22" s="1058">
        <v>0.2</v>
      </c>
      <c r="O22" s="1058"/>
      <c r="P22" s="1058">
        <v>0.2</v>
      </c>
      <c r="Q22" s="1058">
        <v>0.2</v>
      </c>
    </row>
    <row r="23" spans="1:18" s="73" customFormat="1" ht="15" customHeight="1">
      <c r="A23" s="1051">
        <f t="shared" si="1"/>
        <v>13</v>
      </c>
      <c r="B23" s="1051"/>
      <c r="C23" s="1057" t="s">
        <v>443</v>
      </c>
      <c r="D23" s="73" t="s">
        <v>444</v>
      </c>
      <c r="F23" s="1058">
        <v>0.1</v>
      </c>
      <c r="G23" s="1058"/>
      <c r="H23" s="1058">
        <v>0.1</v>
      </c>
      <c r="I23" s="1058">
        <v>0.1</v>
      </c>
      <c r="J23" s="1058">
        <v>0.1</v>
      </c>
      <c r="K23" s="1058">
        <v>0.1</v>
      </c>
      <c r="L23" s="1058">
        <v>0.1</v>
      </c>
      <c r="M23" s="1058"/>
      <c r="N23" s="1058">
        <v>0.1</v>
      </c>
      <c r="O23" s="1058"/>
      <c r="P23" s="1058">
        <v>0.1</v>
      </c>
      <c r="Q23" s="1058">
        <v>0.1</v>
      </c>
    </row>
    <row r="24" spans="1:18" s="73" customFormat="1" ht="15" customHeight="1">
      <c r="A24" s="1051">
        <f t="shared" si="1"/>
        <v>14</v>
      </c>
      <c r="B24" s="1051"/>
      <c r="C24" s="1057">
        <v>392</v>
      </c>
      <c r="D24" s="73" t="s">
        <v>445</v>
      </c>
      <c r="F24" s="1058">
        <v>0.1</v>
      </c>
      <c r="G24" s="1058" t="s">
        <v>446</v>
      </c>
      <c r="H24" s="1058">
        <v>5.5800000000000002E-2</v>
      </c>
      <c r="I24" s="1058">
        <v>4.2999999999999997E-2</v>
      </c>
      <c r="J24" s="1058">
        <v>6.3E-2</v>
      </c>
      <c r="K24" s="1058"/>
      <c r="L24" s="1058">
        <v>5.5300000000000002E-2</v>
      </c>
      <c r="M24" s="1058"/>
      <c r="N24" s="1058"/>
      <c r="O24" s="1058"/>
      <c r="P24" s="1058"/>
      <c r="Q24" s="1058">
        <v>0.1</v>
      </c>
    </row>
    <row r="25" spans="1:18" s="73" customFormat="1" ht="15" customHeight="1">
      <c r="A25" s="1051">
        <f t="shared" si="1"/>
        <v>15</v>
      </c>
      <c r="B25" s="1051"/>
      <c r="C25" s="1057">
        <v>393</v>
      </c>
      <c r="D25" s="73" t="s">
        <v>447</v>
      </c>
      <c r="F25" s="1058"/>
      <c r="G25" s="1058"/>
      <c r="H25" s="1058">
        <v>2.8400000000000002E-2</v>
      </c>
      <c r="I25" s="1058"/>
      <c r="J25" s="1058">
        <v>3.0800000000000001E-2</v>
      </c>
      <c r="K25" s="1058"/>
      <c r="L25" s="1058">
        <v>2.1100000000000001E-2</v>
      </c>
      <c r="M25" s="1058"/>
      <c r="N25" s="1058"/>
      <c r="O25" s="1058"/>
      <c r="P25" s="1058"/>
      <c r="Q25" s="1058">
        <v>3.3300000000000003E-2</v>
      </c>
    </row>
    <row r="26" spans="1:18" s="73" customFormat="1" ht="15" customHeight="1">
      <c r="A26" s="1051">
        <f t="shared" si="1"/>
        <v>16</v>
      </c>
      <c r="B26" s="1051"/>
      <c r="C26" s="1057">
        <v>394</v>
      </c>
      <c r="D26" s="73" t="s">
        <v>448</v>
      </c>
      <c r="F26" s="1058">
        <v>4.6399999999999997E-2</v>
      </c>
      <c r="G26" s="1058"/>
      <c r="H26" s="1058">
        <v>3.9199999999999999E-2</v>
      </c>
      <c r="I26" s="1058">
        <v>2.5499999999999998E-2</v>
      </c>
      <c r="J26" s="1058">
        <v>5.11E-2</v>
      </c>
      <c r="K26" s="1058"/>
      <c r="L26" s="1058">
        <v>3.7100000000000001E-2</v>
      </c>
      <c r="M26" s="1058"/>
      <c r="N26" s="1058"/>
      <c r="O26" s="1058"/>
      <c r="P26" s="1058"/>
      <c r="Q26" s="1058">
        <v>0.05</v>
      </c>
    </row>
    <row r="27" spans="1:18" s="73" customFormat="1" ht="15" customHeight="1">
      <c r="A27" s="1051">
        <f t="shared" si="1"/>
        <v>17</v>
      </c>
      <c r="B27" s="1051"/>
      <c r="C27" s="1057">
        <v>395</v>
      </c>
      <c r="D27" s="73" t="s">
        <v>449</v>
      </c>
      <c r="F27" s="1058">
        <v>0.05</v>
      </c>
      <c r="G27" s="1058" t="s">
        <v>446</v>
      </c>
      <c r="H27" s="1058">
        <v>5.1700000000000003E-2</v>
      </c>
      <c r="I27" s="1058">
        <v>4.2599999999999999E-2</v>
      </c>
      <c r="J27" s="1058">
        <v>5.11E-2</v>
      </c>
      <c r="K27" s="1058"/>
      <c r="L27" s="1058">
        <v>4.7800000000000002E-2</v>
      </c>
      <c r="M27" s="1058"/>
      <c r="N27" s="1058"/>
      <c r="O27" s="1058"/>
      <c r="P27" s="1058"/>
      <c r="Q27" s="1058">
        <v>0.05</v>
      </c>
    </row>
    <row r="28" spans="1:18" s="73" customFormat="1" ht="15" customHeight="1">
      <c r="A28" s="1051">
        <f t="shared" si="1"/>
        <v>18</v>
      </c>
      <c r="B28" s="1051"/>
      <c r="C28" s="1057">
        <v>396</v>
      </c>
      <c r="D28" s="73" t="s">
        <v>450</v>
      </c>
      <c r="F28" s="1058"/>
      <c r="G28" s="1058"/>
      <c r="H28" s="1058">
        <v>6.1899999999999997E-2</v>
      </c>
      <c r="I28" s="1058">
        <v>5.6800000000000003E-2</v>
      </c>
      <c r="J28" s="1058">
        <v>2.2800000000000001E-2</v>
      </c>
      <c r="K28" s="1058"/>
      <c r="L28" s="1058">
        <v>3.5499999999999997E-2</v>
      </c>
      <c r="M28" s="1058"/>
      <c r="N28" s="1058">
        <v>8.3299999999999999E-2</v>
      </c>
      <c r="O28" s="1058" t="s">
        <v>446</v>
      </c>
      <c r="P28" s="1058"/>
      <c r="Q28" s="1058">
        <v>8.3299999999999999E-2</v>
      </c>
    </row>
    <row r="29" spans="1:18" s="73" customFormat="1" ht="15" customHeight="1">
      <c r="A29" s="1051">
        <f t="shared" si="1"/>
        <v>19</v>
      </c>
      <c r="B29" s="1051"/>
      <c r="C29" s="1057">
        <v>397</v>
      </c>
      <c r="D29" s="73" t="s">
        <v>451</v>
      </c>
      <c r="F29" s="1058">
        <v>0.1</v>
      </c>
      <c r="G29" s="1058"/>
      <c r="H29" s="1058">
        <v>0.1</v>
      </c>
      <c r="I29" s="1058">
        <v>0.1</v>
      </c>
      <c r="J29" s="1058">
        <v>0.1</v>
      </c>
      <c r="K29" s="1058">
        <v>0.1</v>
      </c>
      <c r="L29" s="1058">
        <v>0.1</v>
      </c>
      <c r="M29" s="1058"/>
      <c r="N29" s="1058">
        <v>0.1</v>
      </c>
      <c r="O29" s="1058"/>
      <c r="P29" s="1058">
        <v>0.1</v>
      </c>
      <c r="Q29" s="1058">
        <v>0.1</v>
      </c>
    </row>
    <row r="30" spans="1:18" s="73" customFormat="1" ht="15" customHeight="1">
      <c r="A30" s="1051">
        <f t="shared" si="1"/>
        <v>20</v>
      </c>
      <c r="B30" s="1051"/>
      <c r="C30" s="1057">
        <v>398</v>
      </c>
      <c r="D30" s="73" t="s">
        <v>452</v>
      </c>
      <c r="F30" s="1059">
        <v>0.04</v>
      </c>
      <c r="G30" s="1059"/>
      <c r="H30" s="1058">
        <v>1.09E-2</v>
      </c>
      <c r="I30" s="1058">
        <v>4.4200000000000003E-2</v>
      </c>
      <c r="J30" s="1058">
        <v>5.0200000000000002E-2</v>
      </c>
      <c r="K30" s="1058"/>
      <c r="L30" s="1058">
        <v>0.05</v>
      </c>
      <c r="M30" s="1058" t="s">
        <v>446</v>
      </c>
      <c r="N30" s="1058"/>
      <c r="O30" s="1058"/>
      <c r="P30" s="1058"/>
      <c r="Q30" s="1058">
        <v>0.05</v>
      </c>
    </row>
    <row r="31" spans="1:18" s="73" customFormat="1" ht="15" customHeight="1">
      <c r="A31" s="1051">
        <f t="shared" si="1"/>
        <v>21</v>
      </c>
      <c r="B31" s="1051"/>
      <c r="C31" s="1057" t="s">
        <v>453</v>
      </c>
      <c r="D31" s="73" t="s">
        <v>329</v>
      </c>
      <c r="F31" s="1058">
        <v>6.6699999999999995E-2</v>
      </c>
      <c r="G31" s="1058"/>
      <c r="H31" s="1058">
        <v>6.6699999999999995E-2</v>
      </c>
      <c r="I31" s="1058">
        <v>6.6699999999999995E-2</v>
      </c>
      <c r="J31" s="1058">
        <v>6.6699999999999995E-2</v>
      </c>
      <c r="K31" s="1058">
        <v>6.6699999999999995E-2</v>
      </c>
      <c r="L31" s="1058">
        <v>6.6699999999999995E-2</v>
      </c>
      <c r="M31" s="1058"/>
      <c r="N31" s="1058">
        <v>6.6699999999999995E-2</v>
      </c>
      <c r="O31" s="1058"/>
      <c r="P31" s="1058">
        <v>6.6699999999999995E-2</v>
      </c>
      <c r="Q31" s="1058">
        <v>6.6699999999999995E-2</v>
      </c>
    </row>
    <row r="32" spans="1:18" s="73" customFormat="1" ht="15" customHeight="1">
      <c r="A32" s="1051"/>
      <c r="B32" s="1051"/>
      <c r="C32" s="1057" t="s">
        <v>454</v>
      </c>
      <c r="F32" s="1060"/>
      <c r="G32" s="1060"/>
      <c r="H32" s="1060"/>
      <c r="I32" s="1060"/>
      <c r="J32" s="1060"/>
      <c r="K32" s="1060"/>
      <c r="L32" s="1060"/>
      <c r="M32" s="1060"/>
      <c r="N32" s="1060"/>
      <c r="O32" s="1060"/>
      <c r="P32" s="1060"/>
    </row>
    <row r="33" spans="1:17" s="73" customFormat="1" ht="15" customHeight="1">
      <c r="A33" s="1051">
        <f>A31+1</f>
        <v>22</v>
      </c>
      <c r="B33" s="1051"/>
      <c r="C33" s="1057">
        <v>303</v>
      </c>
      <c r="D33" s="73" t="s">
        <v>455</v>
      </c>
      <c r="F33" s="1060"/>
      <c r="G33" s="1060"/>
      <c r="H33" s="1060"/>
      <c r="I33" s="1060"/>
      <c r="J33" s="1060"/>
      <c r="K33" s="1060"/>
      <c r="L33" s="1060"/>
      <c r="M33" s="1060"/>
      <c r="N33" s="1060"/>
      <c r="O33" s="1060"/>
      <c r="P33" s="1060"/>
    </row>
    <row r="34" spans="1:17" s="73" customFormat="1" ht="15" customHeight="1">
      <c r="A34" s="1051">
        <f>A33+1</f>
        <v>23</v>
      </c>
      <c r="B34" s="1051"/>
      <c r="C34" s="1057"/>
      <c r="D34" s="73" t="s">
        <v>456</v>
      </c>
      <c r="F34" s="1058">
        <v>0.2</v>
      </c>
      <c r="G34" s="1058"/>
      <c r="H34" s="1058">
        <v>0.2</v>
      </c>
      <c r="I34" s="1058">
        <v>0.2</v>
      </c>
      <c r="J34" s="1058">
        <v>0.2</v>
      </c>
      <c r="K34" s="1058">
        <v>0.2</v>
      </c>
      <c r="L34" s="1058">
        <v>0.2</v>
      </c>
      <c r="M34" s="1058"/>
      <c r="N34" s="1058">
        <v>0.2</v>
      </c>
      <c r="O34" s="1058"/>
      <c r="P34" s="1058">
        <v>0.2</v>
      </c>
      <c r="Q34" s="1058">
        <v>0.2</v>
      </c>
    </row>
    <row r="35" spans="1:17" s="73" customFormat="1" ht="15" customHeight="1">
      <c r="A35" s="1051">
        <f>+A34+1</f>
        <v>24</v>
      </c>
      <c r="B35" s="1051"/>
      <c r="C35" s="1057"/>
      <c r="D35" s="73" t="s">
        <v>457</v>
      </c>
      <c r="F35" s="1058">
        <v>0.1429</v>
      </c>
      <c r="G35" s="1058"/>
      <c r="H35" s="1058">
        <v>0.1429</v>
      </c>
      <c r="I35" s="1058">
        <v>0.1429</v>
      </c>
      <c r="J35" s="1058">
        <v>0.1429</v>
      </c>
      <c r="K35" s="1058">
        <v>0.1429</v>
      </c>
      <c r="L35" s="1058">
        <v>0.1429</v>
      </c>
      <c r="M35" s="1058"/>
      <c r="N35" s="1058">
        <v>0.1429</v>
      </c>
      <c r="O35" s="1058"/>
      <c r="P35" s="1058">
        <v>0.1429</v>
      </c>
      <c r="Q35" s="1058">
        <v>0.1429</v>
      </c>
    </row>
    <row r="36" spans="1:17" s="73" customFormat="1" ht="15" customHeight="1">
      <c r="A36" s="1051">
        <f>+A35+1</f>
        <v>25</v>
      </c>
      <c r="B36" s="1051"/>
      <c r="C36" s="1057"/>
      <c r="D36" s="73" t="s">
        <v>458</v>
      </c>
      <c r="F36" s="1058">
        <v>0.1</v>
      </c>
      <c r="G36" s="1058"/>
      <c r="H36" s="1058">
        <v>0.1</v>
      </c>
      <c r="I36" s="1058">
        <v>0.1</v>
      </c>
      <c r="J36" s="1058">
        <v>0.1</v>
      </c>
      <c r="K36" s="1058">
        <v>0.1</v>
      </c>
      <c r="L36" s="1058">
        <v>0.1</v>
      </c>
      <c r="M36" s="1058"/>
      <c r="N36" s="1058">
        <v>0.1</v>
      </c>
      <c r="O36" s="1058"/>
      <c r="P36" s="1058">
        <v>0.1</v>
      </c>
      <c r="Q36" s="1058">
        <v>0.1</v>
      </c>
    </row>
    <row r="37" spans="1:17" s="73" customFormat="1" ht="15" customHeight="1">
      <c r="A37" s="1051">
        <f>+A36+1</f>
        <v>26</v>
      </c>
      <c r="B37" s="1051"/>
      <c r="D37" s="1061" t="s">
        <v>459</v>
      </c>
      <c r="F37" s="1062" t="s">
        <v>287</v>
      </c>
      <c r="G37" s="1062"/>
    </row>
    <row r="38" spans="1:17" s="73" customFormat="1" ht="15" customHeight="1">
      <c r="A38" s="1051"/>
      <c r="B38" s="1051"/>
      <c r="C38" s="1057"/>
      <c r="F38" s="1060"/>
      <c r="G38" s="1060"/>
      <c r="H38" s="1060"/>
      <c r="I38" s="1060"/>
      <c r="J38" s="1060"/>
      <c r="K38" s="1060"/>
      <c r="L38" s="1060"/>
      <c r="M38" s="1060"/>
      <c r="N38" s="1060"/>
      <c r="O38" s="1060"/>
      <c r="P38" s="1060"/>
      <c r="Q38" s="1060"/>
    </row>
    <row r="39" spans="1:17" s="73" customFormat="1" ht="15" customHeight="1">
      <c r="A39" s="1051"/>
      <c r="B39" s="1051"/>
      <c r="C39" s="1063" t="s">
        <v>460</v>
      </c>
      <c r="F39" s="1058"/>
      <c r="G39" s="1058"/>
      <c r="H39" s="1058"/>
      <c r="I39" s="1058"/>
      <c r="J39" s="1058"/>
      <c r="K39" s="1058"/>
      <c r="L39" s="1058"/>
      <c r="M39" s="1058"/>
      <c r="N39" s="1058"/>
      <c r="O39" s="1058"/>
      <c r="P39" s="1058"/>
      <c r="Q39" s="1058"/>
    </row>
    <row r="40" spans="1:17" s="73" customFormat="1" ht="15" customHeight="1">
      <c r="A40" s="1051"/>
      <c r="B40" s="1051" t="s">
        <v>282</v>
      </c>
      <c r="C40" s="1057" t="s">
        <v>461</v>
      </c>
      <c r="F40" s="1058"/>
      <c r="G40" s="1058"/>
      <c r="H40" s="1058"/>
      <c r="I40" s="1058"/>
      <c r="J40" s="1058"/>
      <c r="K40" s="1058"/>
      <c r="L40" s="1058"/>
      <c r="M40" s="1058"/>
      <c r="N40" s="1058"/>
      <c r="O40" s="1058"/>
      <c r="P40" s="1058"/>
      <c r="Q40" s="1058"/>
    </row>
    <row r="41" spans="1:17" s="73" customFormat="1" ht="15" customHeight="1">
      <c r="A41" s="1051"/>
      <c r="B41" s="1051"/>
      <c r="C41" s="1057" t="s">
        <v>462</v>
      </c>
      <c r="F41" s="1058"/>
      <c r="G41" s="1058"/>
      <c r="H41" s="1058"/>
      <c r="I41" s="1058"/>
      <c r="J41" s="1058"/>
      <c r="K41" s="1058"/>
      <c r="L41" s="1058"/>
      <c r="M41" s="1058"/>
      <c r="N41" s="1058"/>
      <c r="O41" s="1058"/>
      <c r="P41" s="1058"/>
      <c r="Q41" s="1058"/>
    </row>
    <row r="42" spans="1:17" s="73" customFormat="1" ht="15" customHeight="1">
      <c r="A42" s="1051"/>
      <c r="B42" s="1051"/>
      <c r="C42" s="1057" t="s">
        <v>463</v>
      </c>
      <c r="F42" s="1058"/>
      <c r="G42" s="1058"/>
      <c r="H42" s="1058"/>
      <c r="I42" s="1058"/>
      <c r="J42" s="1058"/>
      <c r="K42" s="1058"/>
      <c r="L42" s="1058"/>
      <c r="M42" s="1058"/>
      <c r="N42" s="1058"/>
      <c r="O42" s="1058"/>
      <c r="P42" s="1058"/>
      <c r="Q42" s="1058"/>
    </row>
    <row r="43" spans="1:17" s="73" customFormat="1" ht="15" customHeight="1">
      <c r="A43" s="1051"/>
      <c r="B43" s="1051" t="s">
        <v>268</v>
      </c>
      <c r="C43" s="1061" t="s">
        <v>464</v>
      </c>
      <c r="F43" s="1058"/>
      <c r="G43" s="1058"/>
      <c r="H43" s="1058"/>
      <c r="I43" s="1058"/>
      <c r="J43" s="1058"/>
      <c r="K43" s="1058"/>
      <c r="L43" s="1058"/>
      <c r="M43" s="1058"/>
      <c r="N43" s="1058"/>
      <c r="O43" s="1058"/>
      <c r="P43" s="1058"/>
      <c r="Q43" s="1058"/>
    </row>
    <row r="44" spans="1:17" s="73" customFormat="1" ht="15" customHeight="1">
      <c r="A44" s="1051"/>
      <c r="B44" s="1051" t="s">
        <v>287</v>
      </c>
      <c r="C44" s="1061" t="s">
        <v>465</v>
      </c>
      <c r="F44" s="1062"/>
      <c r="G44" s="1062"/>
    </row>
    <row r="45" spans="1:17" s="73" customFormat="1" ht="15" customHeight="1">
      <c r="A45" s="1051"/>
      <c r="B45" s="1051"/>
      <c r="C45" s="1061" t="s">
        <v>466</v>
      </c>
    </row>
    <row r="46" spans="1:17" s="73" customFormat="1" ht="15" customHeight="1">
      <c r="A46" s="1051"/>
      <c r="B46" s="1051"/>
      <c r="C46" s="1061" t="s">
        <v>467</v>
      </c>
    </row>
    <row r="47" spans="1:17" s="73" customFormat="1" ht="15" customHeight="1">
      <c r="A47" s="1051"/>
      <c r="B47" s="1051"/>
      <c r="C47" s="1061" t="s">
        <v>468</v>
      </c>
    </row>
    <row r="48" spans="1:17" s="73" customFormat="1" ht="15" customHeight="1">
      <c r="A48" s="1051"/>
      <c r="B48" s="1051"/>
      <c r="C48" s="1061" t="s">
        <v>469</v>
      </c>
    </row>
    <row r="49" spans="1:13" s="73" customFormat="1" ht="15" customHeight="1">
      <c r="A49" s="1051"/>
      <c r="B49" s="1051"/>
      <c r="C49" s="1061" t="s">
        <v>470</v>
      </c>
    </row>
    <row r="50" spans="1:13" s="73" customFormat="1" ht="15" customHeight="1">
      <c r="A50" s="1051"/>
      <c r="B50" s="1051" t="s">
        <v>446</v>
      </c>
      <c r="C50" s="1061" t="s">
        <v>471</v>
      </c>
    </row>
    <row r="51" spans="1:13" ht="13.8">
      <c r="A51" s="1048"/>
      <c r="B51" s="1048"/>
      <c r="C51" s="222"/>
      <c r="D51" s="222"/>
      <c r="E51" s="222"/>
      <c r="F51" s="222"/>
      <c r="G51" s="222"/>
      <c r="H51" s="222"/>
      <c r="I51" s="222"/>
      <c r="J51" s="222"/>
      <c r="K51" s="222"/>
      <c r="L51" s="222"/>
      <c r="M51" s="222"/>
    </row>
    <row r="52" spans="1:13" ht="13.8">
      <c r="A52" s="222"/>
      <c r="B52" s="222"/>
      <c r="C52" s="222"/>
      <c r="D52" s="222"/>
      <c r="E52" s="222"/>
      <c r="F52" s="222"/>
      <c r="G52" s="222"/>
      <c r="H52" s="222"/>
      <c r="I52" s="222"/>
      <c r="J52" s="222"/>
      <c r="K52" s="222"/>
      <c r="L52" s="222"/>
      <c r="M52" s="222"/>
    </row>
    <row r="53" spans="1:13" ht="13.8">
      <c r="A53" s="222"/>
      <c r="B53" s="222"/>
      <c r="C53" s="1061" t="s">
        <v>472</v>
      </c>
      <c r="D53" s="222"/>
      <c r="E53" s="222"/>
      <c r="F53" s="222"/>
      <c r="G53" s="222"/>
      <c r="H53" s="222"/>
      <c r="I53" s="222"/>
      <c r="J53" s="222"/>
      <c r="K53" s="222"/>
      <c r="L53" s="222"/>
      <c r="M53" s="222"/>
    </row>
    <row r="54" spans="1:13" ht="13.8">
      <c r="A54" s="222"/>
      <c r="B54" s="222"/>
      <c r="C54" s="222"/>
      <c r="D54" s="222"/>
      <c r="E54" s="222"/>
      <c r="F54" s="222"/>
      <c r="G54" s="222"/>
      <c r="H54" s="222"/>
      <c r="I54" s="222"/>
      <c r="J54" s="222"/>
      <c r="K54" s="222"/>
      <c r="L54" s="222"/>
      <c r="M54" s="222"/>
    </row>
  </sheetData>
  <customSheetViews>
    <customSheetView guid="{343BF296-013A-41F5-BDAB-AD6220EA7F78}" scale="90" showPageBreaks="1" fitToPage="1" printArea="1">
      <selection activeCell="F12" sqref="F12"/>
      <pageMargins left="0" right="0" top="0" bottom="0" header="0" footer="0"/>
      <pageSetup scale="55" orientation="landscape" r:id="rId1"/>
    </customSheetView>
    <customSheetView guid="{B321D76C-CDE5-48BB-9CDE-80FF97D58FCF}" scale="90" showPageBreaks="1" fitToPage="1" printArea="1" view="pageBreakPreview">
      <selection activeCell="I11" sqref="I11"/>
      <pageMargins left="0" right="0" top="0" bottom="0" header="0" footer="0"/>
      <pageSetup scale="59" orientation="landscape" r:id="rId2"/>
    </customSheetView>
  </customSheetViews>
  <mergeCells count="3">
    <mergeCell ref="A4:Q4"/>
    <mergeCell ref="A5:Q5"/>
    <mergeCell ref="H8:Q8"/>
  </mergeCells>
  <pageMargins left="0.7" right="0.7" top="0.75" bottom="0.75" header="0.3" footer="0.3"/>
  <pageSetup scale="55" orientation="landscape" r:id="rId3"/>
  <ignoredErrors>
    <ignoredError sqref="C31 C22:C23 C11:C1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7">
    <tabColor theme="9"/>
    <pageSetUpPr fitToPage="1"/>
  </sheetPr>
  <dimension ref="A1:Y284"/>
  <sheetViews>
    <sheetView showGridLines="0" defaultGridColor="0" view="pageBreakPreview" colorId="22" zoomScale="90" zoomScaleNormal="80" zoomScaleSheetLayoutView="90" workbookViewId="0">
      <selection activeCell="U22" sqref="U22"/>
    </sheetView>
  </sheetViews>
  <sheetFormatPr defaultColWidth="15.33203125" defaultRowHeight="12"/>
  <cols>
    <col min="1" max="1" width="4.109375" style="59" customWidth="1"/>
    <col min="2" max="2" width="27.33203125" style="59" customWidth="1"/>
    <col min="3" max="3" width="16.21875" style="59" bestFit="1" customWidth="1"/>
    <col min="4" max="4" width="19" style="59" customWidth="1"/>
    <col min="5" max="5" width="5.33203125" style="59" customWidth="1"/>
    <col min="6" max="6" width="23.33203125" style="59" customWidth="1"/>
    <col min="7" max="7" width="3.33203125" style="59" customWidth="1"/>
    <col min="8" max="8" width="15.33203125" style="59" bestFit="1" customWidth="1"/>
    <col min="9" max="9" width="3.77734375" style="59" customWidth="1"/>
    <col min="10" max="10" width="21.33203125" style="59" bestFit="1" customWidth="1"/>
    <col min="11" max="11" width="4.109375" style="59" customWidth="1"/>
    <col min="12" max="12" width="21.33203125" style="59" bestFit="1" customWidth="1"/>
    <col min="13" max="13" width="3.33203125" style="59" customWidth="1"/>
    <col min="14" max="14" width="11" style="59" customWidth="1"/>
    <col min="15" max="15" width="2.33203125" style="59" customWidth="1"/>
    <col min="16" max="16" width="16.44140625" style="59" customWidth="1"/>
    <col min="17" max="17" width="2.77734375" style="59" customWidth="1"/>
    <col min="18" max="18" width="3.44140625" style="59" customWidth="1"/>
    <col min="19" max="16384" width="15.33203125" style="59"/>
  </cols>
  <sheetData>
    <row r="1" spans="1:25" s="542" customFormat="1" ht="21">
      <c r="A1" s="1035"/>
      <c r="C1" s="725"/>
      <c r="D1" s="126"/>
      <c r="E1" s="126"/>
      <c r="F1" s="126"/>
      <c r="G1" s="126"/>
      <c r="H1" s="126"/>
      <c r="I1" s="126"/>
      <c r="J1" s="126"/>
      <c r="K1" s="126"/>
      <c r="L1" s="126"/>
      <c r="M1" s="126"/>
      <c r="O1" s="126"/>
      <c r="P1" s="72"/>
      <c r="Q1" s="126"/>
      <c r="R1" s="126"/>
      <c r="S1" s="126"/>
      <c r="T1" s="126"/>
      <c r="U1" s="126"/>
      <c r="V1" s="126"/>
      <c r="W1" s="126"/>
      <c r="X1" s="126"/>
      <c r="Y1" s="126"/>
    </row>
    <row r="2" spans="1:25" s="1036" customFormat="1" ht="17.399999999999999">
      <c r="A2" s="382"/>
      <c r="C2" s="382"/>
      <c r="D2" s="382"/>
      <c r="E2" s="382"/>
      <c r="F2" s="382"/>
      <c r="G2" s="382"/>
      <c r="H2" s="382"/>
      <c r="I2" s="382"/>
      <c r="J2" s="382"/>
      <c r="K2" s="382"/>
      <c r="L2" s="382"/>
      <c r="M2" s="382"/>
      <c r="Q2" s="1279"/>
      <c r="R2" s="382"/>
      <c r="S2" s="382"/>
      <c r="T2" s="382"/>
      <c r="U2" s="382"/>
      <c r="V2" s="382"/>
      <c r="W2" s="382"/>
      <c r="X2" s="382"/>
      <c r="Y2" s="382"/>
    </row>
    <row r="3" spans="1:25" ht="16.5" customHeight="1">
      <c r="A3" s="1037"/>
      <c r="B3" s="1037"/>
      <c r="C3" s="1037"/>
      <c r="D3" s="1037"/>
      <c r="E3" s="1037"/>
      <c r="F3" s="1037"/>
      <c r="G3" s="1037"/>
      <c r="H3" s="1037"/>
      <c r="I3" s="1037"/>
      <c r="J3" s="1037"/>
      <c r="K3" s="1037"/>
      <c r="L3" s="1037"/>
      <c r="M3" s="1037"/>
      <c r="N3" s="1037"/>
      <c r="O3" s="1037"/>
      <c r="P3" s="1037"/>
      <c r="Q3" s="1037"/>
      <c r="R3" s="1037"/>
      <c r="S3" s="1037"/>
      <c r="T3" s="1037"/>
      <c r="U3" s="1037"/>
      <c r="V3" s="1037"/>
      <c r="W3" s="1037"/>
      <c r="X3" s="1037"/>
      <c r="Y3" s="1037"/>
    </row>
    <row r="4" spans="1:25" s="542" customFormat="1" ht="15.6">
      <c r="A4" s="1460" t="s">
        <v>20</v>
      </c>
      <c r="B4" s="1460"/>
      <c r="C4" s="1460"/>
      <c r="D4" s="1460"/>
      <c r="E4" s="1460"/>
      <c r="F4" s="1460"/>
      <c r="G4" s="1460"/>
      <c r="H4" s="1460"/>
      <c r="I4" s="1460"/>
      <c r="J4" s="1460"/>
      <c r="K4" s="1460"/>
      <c r="L4" s="1460"/>
      <c r="M4" s="1460"/>
      <c r="N4" s="1460"/>
      <c r="O4" s="1460"/>
      <c r="P4" s="1460"/>
      <c r="Q4" s="1460"/>
      <c r="R4" s="126"/>
      <c r="S4" s="126"/>
      <c r="T4" s="126"/>
      <c r="U4" s="126"/>
      <c r="V4" s="126"/>
      <c r="W4" s="126"/>
      <c r="X4" s="126"/>
      <c r="Y4" s="126"/>
    </row>
    <row r="5" spans="1:25" s="542" customFormat="1" ht="15.6">
      <c r="A5" s="1460" t="s">
        <v>1</v>
      </c>
      <c r="B5" s="1460"/>
      <c r="C5" s="1460"/>
      <c r="D5" s="1460"/>
      <c r="E5" s="1460"/>
      <c r="F5" s="1460"/>
      <c r="G5" s="1460"/>
      <c r="H5" s="1460"/>
      <c r="I5" s="1460"/>
      <c r="J5" s="1460"/>
      <c r="K5" s="1460"/>
      <c r="L5" s="1460"/>
      <c r="M5" s="1460"/>
      <c r="N5" s="1460"/>
      <c r="O5" s="1460"/>
      <c r="P5" s="1460"/>
      <c r="Q5" s="1460"/>
      <c r="R5" s="126"/>
      <c r="S5" s="126"/>
      <c r="T5" s="126"/>
      <c r="U5" s="126"/>
      <c r="V5" s="126"/>
      <c r="W5" s="126"/>
      <c r="X5" s="126"/>
      <c r="Y5" s="126"/>
    </row>
    <row r="6" spans="1:25" s="542" customFormat="1" ht="18" customHeight="1">
      <c r="A6" s="1461" t="str">
        <f>SUMMARY!A7</f>
        <v>YEAR ENDING DECEMBER 31, 2022</v>
      </c>
      <c r="B6" s="1461"/>
      <c r="C6" s="1461"/>
      <c r="D6" s="1461"/>
      <c r="E6" s="1461"/>
      <c r="F6" s="1461"/>
      <c r="G6" s="1461"/>
      <c r="H6" s="1461"/>
      <c r="I6" s="1461"/>
      <c r="J6" s="1461"/>
      <c r="K6" s="1461"/>
      <c r="L6" s="1461"/>
      <c r="M6" s="1461"/>
      <c r="N6" s="1461"/>
      <c r="O6" s="1461"/>
      <c r="P6" s="1461"/>
      <c r="Q6" s="1461"/>
      <c r="R6" s="126"/>
      <c r="S6" s="126"/>
      <c r="T6" s="126"/>
      <c r="U6" s="126"/>
      <c r="V6" s="126"/>
      <c r="W6" s="126"/>
      <c r="X6" s="126"/>
      <c r="Y6" s="126"/>
    </row>
    <row r="7" spans="1:25" s="542" customFormat="1" ht="15">
      <c r="A7" s="126"/>
      <c r="B7" s="126"/>
      <c r="C7" s="126"/>
      <c r="D7" s="126"/>
      <c r="E7" s="126"/>
      <c r="F7" s="126"/>
      <c r="G7" s="126"/>
      <c r="H7" s="126"/>
      <c r="I7" s="126"/>
      <c r="J7" s="126"/>
      <c r="K7" s="126"/>
      <c r="L7" s="126"/>
      <c r="M7" s="126"/>
      <c r="N7" s="126"/>
      <c r="O7" s="126"/>
      <c r="P7" s="126"/>
      <c r="Q7" s="126"/>
      <c r="R7" s="126"/>
      <c r="S7" s="126"/>
      <c r="T7" s="126"/>
      <c r="U7" s="126"/>
      <c r="V7" s="126"/>
      <c r="W7" s="126"/>
      <c r="X7" s="126"/>
      <c r="Y7" s="126"/>
    </row>
    <row r="8" spans="1:25" s="542" customFormat="1" ht="15.6">
      <c r="A8" s="1460" t="s">
        <v>473</v>
      </c>
      <c r="B8" s="1460"/>
      <c r="C8" s="1460"/>
      <c r="D8" s="1460"/>
      <c r="E8" s="1460"/>
      <c r="F8" s="1460"/>
      <c r="G8" s="1460"/>
      <c r="H8" s="1460"/>
      <c r="I8" s="1460"/>
      <c r="J8" s="1460"/>
      <c r="K8" s="1460"/>
      <c r="L8" s="1460"/>
      <c r="M8" s="1460"/>
      <c r="N8" s="1460"/>
      <c r="O8" s="1460"/>
      <c r="P8" s="1460"/>
      <c r="Q8" s="1460"/>
      <c r="R8" s="126"/>
      <c r="S8" s="126"/>
      <c r="T8" s="126"/>
      <c r="U8" s="126"/>
      <c r="V8" s="126"/>
      <c r="W8" s="126"/>
      <c r="X8" s="126"/>
      <c r="Y8" s="126"/>
    </row>
    <row r="9" spans="1:25" s="542" customFormat="1" ht="15.6">
      <c r="A9" s="1460" t="s">
        <v>37</v>
      </c>
      <c r="B9" s="1460"/>
      <c r="C9" s="1460"/>
      <c r="D9" s="1460"/>
      <c r="E9" s="1460"/>
      <c r="F9" s="1460"/>
      <c r="G9" s="1460"/>
      <c r="H9" s="1460"/>
      <c r="I9" s="1460"/>
      <c r="J9" s="1460"/>
      <c r="K9" s="1460"/>
      <c r="L9" s="1460"/>
      <c r="M9" s="1460"/>
      <c r="N9" s="1460"/>
      <c r="O9" s="1460"/>
      <c r="P9" s="1460"/>
      <c r="Q9" s="1460"/>
      <c r="R9" s="126"/>
      <c r="S9" s="126"/>
      <c r="T9" s="126"/>
      <c r="U9" s="126"/>
      <c r="V9" s="126"/>
      <c r="W9" s="126"/>
      <c r="X9" s="126"/>
      <c r="Y9" s="126"/>
    </row>
    <row r="10" spans="1:25" s="542" customFormat="1" ht="15">
      <c r="A10" s="126"/>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row>
    <row r="11" spans="1:25" s="126" customFormat="1" ht="15.6">
      <c r="H11" s="1262"/>
    </row>
    <row r="12" spans="1:25" s="126" customFormat="1" ht="15.6">
      <c r="J12" s="1262" t="s">
        <v>474</v>
      </c>
    </row>
    <row r="13" spans="1:25" s="126" customFormat="1" ht="15.6">
      <c r="H13" s="1262" t="s">
        <v>377</v>
      </c>
      <c r="J13" s="1262" t="s">
        <v>475</v>
      </c>
      <c r="L13" s="1262" t="s">
        <v>276</v>
      </c>
      <c r="N13" s="1262" t="s">
        <v>476</v>
      </c>
      <c r="P13" s="1262" t="s">
        <v>477</v>
      </c>
    </row>
    <row r="14" spans="1:25" s="126" customFormat="1" ht="15.6">
      <c r="B14" s="1038" t="s">
        <v>478</v>
      </c>
      <c r="D14" s="1262" t="s">
        <v>377</v>
      </c>
      <c r="F14" s="1262" t="s">
        <v>276</v>
      </c>
      <c r="H14" s="1262" t="s">
        <v>479</v>
      </c>
      <c r="J14" s="1262" t="s">
        <v>480</v>
      </c>
      <c r="L14" s="1262" t="s">
        <v>480</v>
      </c>
      <c r="N14" s="1262" t="s">
        <v>481</v>
      </c>
      <c r="P14" s="1262" t="s">
        <v>478</v>
      </c>
    </row>
    <row r="15" spans="1:25" s="126" customFormat="1" ht="15.6">
      <c r="D15" s="729" t="s">
        <v>482</v>
      </c>
      <c r="F15" s="729" t="s">
        <v>483</v>
      </c>
      <c r="H15" s="729" t="s">
        <v>484</v>
      </c>
      <c r="J15" s="729" t="s">
        <v>485</v>
      </c>
      <c r="L15" s="729" t="s">
        <v>486</v>
      </c>
      <c r="N15" s="729" t="s">
        <v>487</v>
      </c>
      <c r="P15" s="729" t="s">
        <v>488</v>
      </c>
    </row>
    <row r="16" spans="1:25" s="126" customFormat="1" ht="15">
      <c r="D16" s="378" t="s">
        <v>110</v>
      </c>
      <c r="F16" s="378" t="s">
        <v>111</v>
      </c>
      <c r="H16" s="378" t="s">
        <v>160</v>
      </c>
      <c r="J16" s="378" t="s">
        <v>161</v>
      </c>
      <c r="L16" s="378" t="s">
        <v>226</v>
      </c>
      <c r="N16" s="378" t="s">
        <v>227</v>
      </c>
      <c r="P16" s="378" t="s">
        <v>489</v>
      </c>
    </row>
    <row r="17" spans="1:16" s="126" customFormat="1" ht="15">
      <c r="D17" s="71"/>
      <c r="E17" s="71"/>
      <c r="F17" s="71"/>
      <c r="G17" s="71"/>
    </row>
    <row r="18" spans="1:16" s="126" customFormat="1" ht="15">
      <c r="D18" s="71"/>
      <c r="E18" s="71"/>
      <c r="F18" s="71"/>
      <c r="G18" s="71"/>
    </row>
    <row r="19" spans="1:16" s="126" customFormat="1" ht="15.6">
      <c r="A19" s="126">
        <v>1</v>
      </c>
      <c r="B19" s="727" t="s">
        <v>490</v>
      </c>
      <c r="D19" s="1445">
        <f>'B2-Plant'!T41</f>
        <v>1300566889.1699996</v>
      </c>
      <c r="E19" s="71" t="s">
        <v>282</v>
      </c>
      <c r="F19" s="1039">
        <f>'B2-Plant'!T56</f>
        <v>493104079.4321</v>
      </c>
      <c r="G19" s="71" t="s">
        <v>268</v>
      </c>
      <c r="H19" s="1242">
        <f>+'E1-Allocator'!F21</f>
        <v>0.36604951377740613</v>
      </c>
      <c r="J19" s="1039">
        <f>F19*H19</f>
        <v>180500508.51777565</v>
      </c>
      <c r="K19" s="1040"/>
      <c r="L19" s="1039">
        <f>D19+J19</f>
        <v>1481067397.6877751</v>
      </c>
    </row>
    <row r="20" spans="1:16" s="126" customFormat="1" ht="15">
      <c r="D20" s="106"/>
      <c r="E20" s="71"/>
      <c r="F20" s="71"/>
      <c r="G20" s="71"/>
      <c r="H20" s="731"/>
    </row>
    <row r="21" spans="1:16" s="126" customFormat="1" ht="15.6">
      <c r="A21" s="126">
        <v>2</v>
      </c>
      <c r="B21" s="727" t="s">
        <v>491</v>
      </c>
      <c r="D21" s="106"/>
      <c r="E21" s="71"/>
      <c r="F21" s="71"/>
      <c r="G21" s="71"/>
      <c r="H21" s="731"/>
    </row>
    <row r="22" spans="1:16" s="126" customFormat="1" ht="15">
      <c r="D22" s="1430"/>
      <c r="E22" s="71"/>
      <c r="F22" s="71"/>
      <c r="G22" s="71"/>
      <c r="H22" s="731"/>
    </row>
    <row r="23" spans="1:16" s="126" customFormat="1" ht="15.6">
      <c r="A23" s="126">
        <v>3</v>
      </c>
      <c r="B23" s="1041" t="s">
        <v>492</v>
      </c>
      <c r="D23" s="106">
        <f>('A1-O&amp;M'!J40+'A2-A&amp;G'!J42)/8</f>
        <v>18054948.383387137</v>
      </c>
      <c r="E23" s="71" t="s">
        <v>287</v>
      </c>
      <c r="F23" s="71"/>
      <c r="G23" s="71"/>
      <c r="H23" s="731"/>
      <c r="L23" s="1042">
        <f>D23+J23</f>
        <v>18054948.383387137</v>
      </c>
    </row>
    <row r="24" spans="1:16" s="126" customFormat="1" ht="15.6">
      <c r="A24" s="126">
        <v>4</v>
      </c>
      <c r="B24" s="1041" t="s">
        <v>493</v>
      </c>
      <c r="D24" s="1437">
        <f>+'WP-BD'!J69</f>
        <v>33770401.179999918</v>
      </c>
      <c r="E24" s="71" t="s">
        <v>446</v>
      </c>
      <c r="F24" s="71"/>
      <c r="G24" s="71"/>
      <c r="H24" s="731"/>
      <c r="L24" s="1042">
        <f>D24+J24</f>
        <v>33770401.179999918</v>
      </c>
    </row>
    <row r="25" spans="1:16" s="126" customFormat="1" ht="15.6">
      <c r="A25" s="126">
        <v>5</v>
      </c>
      <c r="B25" s="1041" t="s">
        <v>494</v>
      </c>
      <c r="D25" s="1437">
        <f>'WP-CA'!J30</f>
        <v>78768537.070000008</v>
      </c>
      <c r="E25" s="71" t="s">
        <v>495</v>
      </c>
      <c r="F25" s="71"/>
      <c r="G25" s="71"/>
      <c r="H25" s="1242">
        <f>+'E1-Allocator'!F21</f>
        <v>0.36604951377740613</v>
      </c>
      <c r="L25" s="1042">
        <f>D25*H25</f>
        <v>28833184.695431095</v>
      </c>
    </row>
    <row r="26" spans="1:16" s="126" customFormat="1" ht="15.6">
      <c r="A26" s="126">
        <v>6</v>
      </c>
      <c r="B26" s="1041" t="s">
        <v>496</v>
      </c>
      <c r="D26" s="106">
        <f>'WP-CB'!F21</f>
        <v>13683204</v>
      </c>
      <c r="E26" s="71" t="s">
        <v>497</v>
      </c>
      <c r="F26" s="1043"/>
      <c r="G26" s="71"/>
      <c r="H26" s="1242">
        <f>+'E1-Allocator'!F21</f>
        <v>0.36604951377740613</v>
      </c>
      <c r="J26" s="1044"/>
      <c r="L26" s="1042">
        <f>D26*H26</f>
        <v>5008730.171117059</v>
      </c>
    </row>
    <row r="27" spans="1:16" s="126" customFormat="1" ht="15.6">
      <c r="A27" s="126">
        <v>7</v>
      </c>
      <c r="B27" s="1041" t="s">
        <v>498</v>
      </c>
      <c r="D27" s="1438">
        <f>D48</f>
        <v>166427259.02000001</v>
      </c>
      <c r="E27" s="71" t="s">
        <v>499</v>
      </c>
      <c r="F27" s="1043"/>
      <c r="G27" s="71"/>
      <c r="H27" s="731"/>
      <c r="J27" s="1044"/>
      <c r="L27" s="1042">
        <f>D27+J27</f>
        <v>166427259.02000001</v>
      </c>
    </row>
    <row r="28" spans="1:16" s="126" customFormat="1" ht="15.6">
      <c r="A28" s="126">
        <v>8</v>
      </c>
      <c r="B28" s="1041" t="s">
        <v>500</v>
      </c>
      <c r="D28" s="1438">
        <v>0</v>
      </c>
      <c r="E28" s="71" t="s">
        <v>499</v>
      </c>
      <c r="F28" s="1043"/>
      <c r="G28" s="71"/>
      <c r="H28" s="731"/>
      <c r="J28" s="1044"/>
      <c r="L28" s="1042"/>
    </row>
    <row r="29" spans="1:16" s="126" customFormat="1" ht="15.6">
      <c r="A29" s="126">
        <v>9</v>
      </c>
      <c r="B29" s="1041" t="s">
        <v>501</v>
      </c>
      <c r="D29" s="107">
        <v>0</v>
      </c>
      <c r="E29" s="71" t="s">
        <v>499</v>
      </c>
      <c r="F29" s="1043"/>
      <c r="G29" s="71"/>
      <c r="H29" s="731"/>
      <c r="J29" s="1044"/>
      <c r="L29" s="1042"/>
    </row>
    <row r="30" spans="1:16" s="126" customFormat="1" ht="15">
      <c r="D30" s="71"/>
      <c r="E30" s="71"/>
      <c r="F30" s="71"/>
      <c r="G30" s="71"/>
      <c r="H30" s="731"/>
    </row>
    <row r="31" spans="1:16" s="126" customFormat="1" ht="15.6">
      <c r="A31" s="126">
        <v>10</v>
      </c>
      <c r="B31" s="1045" t="s">
        <v>502</v>
      </c>
      <c r="D31" s="1046">
        <f>SUM(D19:D29)</f>
        <v>1611271238.8233864</v>
      </c>
      <c r="E31" s="1047"/>
      <c r="F31" s="1046">
        <f>SUM(F19:F29)</f>
        <v>493104079.4321</v>
      </c>
      <c r="G31" s="71"/>
      <c r="H31" s="1242">
        <f>+'E1-Allocator'!F21</f>
        <v>0.36604951377740613</v>
      </c>
      <c r="J31" s="1046">
        <f>SUM(J19:J29)</f>
        <v>180500508.51777565</v>
      </c>
      <c r="L31" s="1284">
        <f>SUM(L19:L30)</f>
        <v>1733161921.1377101</v>
      </c>
      <c r="N31" s="1251">
        <f>'D1-Cap Structure'!H25</f>
        <v>6.8502822383618767E-2</v>
      </c>
      <c r="P31" s="1284">
        <f>L31*N31</f>
        <v>118726483.24574803</v>
      </c>
    </row>
    <row r="32" spans="1:16" s="126" customFormat="1" ht="15">
      <c r="H32" s="731"/>
    </row>
    <row r="33" spans="2:8" s="126" customFormat="1" ht="15">
      <c r="H33" s="731"/>
    </row>
    <row r="34" spans="2:8" s="126" customFormat="1" ht="15.6">
      <c r="B34" s="70" t="s">
        <v>503</v>
      </c>
      <c r="H34" s="731"/>
    </row>
    <row r="35" spans="2:8" s="126" customFormat="1" ht="15">
      <c r="B35" s="71"/>
    </row>
    <row r="36" spans="2:8" s="126" customFormat="1" ht="15.6">
      <c r="B36" s="70" t="s">
        <v>504</v>
      </c>
    </row>
    <row r="37" spans="2:8" s="126" customFormat="1" ht="15">
      <c r="B37" s="71"/>
    </row>
    <row r="38" spans="2:8" s="126" customFormat="1" ht="15.6">
      <c r="B38" s="70" t="s">
        <v>505</v>
      </c>
    </row>
    <row r="39" spans="2:8" s="126" customFormat="1" ht="15">
      <c r="B39" s="71"/>
    </row>
    <row r="40" spans="2:8" s="126" customFormat="1" ht="15.6">
      <c r="B40" s="70" t="s">
        <v>506</v>
      </c>
    </row>
    <row r="41" spans="2:8" s="126" customFormat="1" ht="15">
      <c r="B41" s="71"/>
    </row>
    <row r="42" spans="2:8" s="126" customFormat="1" ht="15.6">
      <c r="B42" s="70" t="s">
        <v>507</v>
      </c>
    </row>
    <row r="43" spans="2:8" s="126" customFormat="1" ht="15">
      <c r="B43" s="71"/>
    </row>
    <row r="44" spans="2:8" s="126" customFormat="1" ht="15.6">
      <c r="B44" s="70" t="s">
        <v>508</v>
      </c>
    </row>
    <row r="45" spans="2:8" s="126" customFormat="1" ht="15">
      <c r="B45" s="71"/>
    </row>
    <row r="46" spans="2:8" s="126" customFormat="1" ht="15.6">
      <c r="B46" s="70" t="s">
        <v>509</v>
      </c>
    </row>
    <row r="47" spans="2:8" s="126" customFormat="1" ht="15">
      <c r="C47" s="1336" t="s">
        <v>510</v>
      </c>
      <c r="D47" s="1336" t="s">
        <v>511</v>
      </c>
    </row>
    <row r="48" spans="2:8" s="126" customFormat="1" ht="15">
      <c r="C48" s="1337" t="s">
        <v>512</v>
      </c>
      <c r="D48" s="1434">
        <v>166427259.02000001</v>
      </c>
    </row>
    <row r="49" spans="1:25" s="126" customFormat="1" ht="15">
      <c r="C49" s="1337"/>
      <c r="D49" s="1337"/>
    </row>
    <row r="50" spans="1:25" s="126" customFormat="1" ht="15">
      <c r="C50" s="1337" t="s">
        <v>146</v>
      </c>
      <c r="D50" s="1337" t="s">
        <v>146</v>
      </c>
    </row>
    <row r="51" spans="1:25" s="542" customFormat="1" ht="15">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row>
    <row r="52" spans="1:25" s="542" customFormat="1" ht="15">
      <c r="A52" s="126"/>
      <c r="B52" s="126"/>
      <c r="C52" s="126"/>
      <c r="D52"/>
      <c r="E52"/>
      <c r="F52"/>
      <c r="G52"/>
      <c r="H52"/>
      <c r="I52" s="126"/>
      <c r="J52" s="126"/>
      <c r="K52" s="126"/>
      <c r="L52" s="126"/>
      <c r="M52" s="126"/>
      <c r="N52" s="126"/>
      <c r="O52" s="126"/>
      <c r="P52" s="126"/>
      <c r="Q52" s="126"/>
      <c r="R52" s="126"/>
      <c r="S52" s="126"/>
      <c r="T52" s="126"/>
      <c r="U52" s="126"/>
      <c r="V52" s="126"/>
      <c r="W52" s="126"/>
      <c r="X52" s="126"/>
      <c r="Y52" s="126"/>
    </row>
    <row r="53" spans="1:25" s="542" customFormat="1" ht="15">
      <c r="D53"/>
      <c r="E53"/>
      <c r="F53"/>
      <c r="G53"/>
      <c r="H53"/>
    </row>
    <row r="54" spans="1:25" s="542" customFormat="1" ht="15">
      <c r="D54"/>
      <c r="E54"/>
      <c r="F54"/>
      <c r="G54"/>
      <c r="H54"/>
    </row>
    <row r="55" spans="1:25" s="542" customFormat="1" ht="15"/>
    <row r="56" spans="1:25" s="542" customFormat="1" ht="15"/>
    <row r="57" spans="1:25" s="542" customFormat="1" ht="15"/>
    <row r="58" spans="1:25" s="542" customFormat="1" ht="15"/>
    <row r="59" spans="1:25" s="542" customFormat="1" ht="15"/>
    <row r="60" spans="1:25" s="542" customFormat="1" ht="15"/>
    <row r="61" spans="1:25" s="542" customFormat="1" ht="15"/>
    <row r="62" spans="1:25" s="542" customFormat="1" ht="15"/>
    <row r="63" spans="1:25" s="542" customFormat="1" ht="15"/>
    <row r="64" spans="1:25" s="542" customFormat="1" ht="15"/>
    <row r="65" s="542" customFormat="1" ht="15"/>
    <row r="66" s="542" customFormat="1" ht="15"/>
    <row r="67" s="542" customFormat="1" ht="15"/>
    <row r="68" s="542" customFormat="1" ht="15"/>
    <row r="69" s="542" customFormat="1" ht="15"/>
    <row r="70" s="542" customFormat="1" ht="15"/>
    <row r="71" s="542" customFormat="1" ht="15"/>
    <row r="72" s="542" customFormat="1" ht="15"/>
    <row r="73" s="542" customFormat="1" ht="15"/>
    <row r="74" s="542" customFormat="1" ht="15"/>
    <row r="75" s="542" customFormat="1" ht="15"/>
    <row r="76" s="542" customFormat="1" ht="15"/>
    <row r="77" s="542" customFormat="1" ht="15"/>
    <row r="78" s="542" customFormat="1" ht="15"/>
    <row r="79" s="542" customFormat="1" ht="15"/>
    <row r="80" s="542" customFormat="1" ht="15"/>
    <row r="81" s="542" customFormat="1" ht="15"/>
    <row r="82" s="542" customFormat="1" ht="15"/>
    <row r="83" s="542" customFormat="1" ht="15"/>
    <row r="84" s="542" customFormat="1" ht="15"/>
    <row r="85" s="542" customFormat="1" ht="15"/>
    <row r="86" s="542" customFormat="1" ht="15"/>
    <row r="87" s="542" customFormat="1" ht="15"/>
    <row r="88" s="542" customFormat="1" ht="15"/>
    <row r="89" s="542" customFormat="1" ht="15"/>
    <row r="90" s="542" customFormat="1" ht="15"/>
    <row r="91" s="542" customFormat="1" ht="15"/>
    <row r="92" s="542" customFormat="1" ht="15"/>
    <row r="93" s="542" customFormat="1" ht="15"/>
    <row r="94" s="542" customFormat="1" ht="15"/>
    <row r="95" s="542" customFormat="1" ht="15"/>
    <row r="96" s="542" customFormat="1" ht="15"/>
    <row r="97" s="542" customFormat="1" ht="15"/>
    <row r="98" s="542" customFormat="1" ht="15"/>
    <row r="99" s="542" customFormat="1" ht="15"/>
    <row r="100" s="542" customFormat="1" ht="15"/>
    <row r="101" s="542" customFormat="1" ht="15"/>
    <row r="102" s="542" customFormat="1" ht="15"/>
    <row r="103" s="542" customFormat="1" ht="15"/>
    <row r="104" s="542" customFormat="1" ht="15"/>
    <row r="105" s="542" customFormat="1" ht="15"/>
    <row r="106" s="542" customFormat="1" ht="15"/>
    <row r="107" s="542" customFormat="1" ht="15"/>
    <row r="108" s="542" customFormat="1" ht="15"/>
    <row r="109" s="542" customFormat="1" ht="15"/>
    <row r="110" s="542" customFormat="1" ht="15"/>
    <row r="111" s="542" customFormat="1" ht="15"/>
    <row r="112" s="542" customFormat="1" ht="15"/>
    <row r="113" s="542" customFormat="1" ht="15"/>
    <row r="114" s="542" customFormat="1" ht="15"/>
    <row r="115" s="542" customFormat="1" ht="15"/>
    <row r="116" s="542" customFormat="1" ht="15"/>
    <row r="117" s="542" customFormat="1" ht="15"/>
    <row r="118" s="542" customFormat="1" ht="15"/>
    <row r="119" s="542" customFormat="1" ht="15"/>
    <row r="120" s="542" customFormat="1" ht="15"/>
    <row r="121" s="542" customFormat="1" ht="15"/>
    <row r="122" s="542" customFormat="1" ht="15"/>
    <row r="123" s="542" customFormat="1" ht="15"/>
    <row r="124" s="542" customFormat="1" ht="15"/>
    <row r="125" s="542" customFormat="1" ht="15"/>
    <row r="126" s="542" customFormat="1" ht="15"/>
    <row r="127" s="542" customFormat="1" ht="15"/>
    <row r="128" s="542" customFormat="1" ht="15"/>
    <row r="129" s="542" customFormat="1" ht="15"/>
    <row r="130" s="542" customFormat="1" ht="15"/>
    <row r="131" s="542" customFormat="1" ht="15"/>
    <row r="132" s="542" customFormat="1" ht="15"/>
    <row r="133" s="542" customFormat="1" ht="15"/>
    <row r="134" s="542" customFormat="1" ht="15"/>
    <row r="135" s="542" customFormat="1" ht="15"/>
    <row r="136" s="542" customFormat="1" ht="15"/>
    <row r="137" s="542" customFormat="1" ht="15"/>
    <row r="138" s="542" customFormat="1" ht="15"/>
    <row r="139" s="542" customFormat="1" ht="15"/>
    <row r="140" s="542" customFormat="1" ht="15"/>
    <row r="141" s="542" customFormat="1" ht="15"/>
    <row r="142" s="542" customFormat="1" ht="15"/>
    <row r="143" s="542" customFormat="1" ht="15"/>
    <row r="144" s="542" customFormat="1" ht="15"/>
    <row r="145" s="542" customFormat="1" ht="15"/>
    <row r="146" s="542" customFormat="1" ht="15"/>
    <row r="147" s="542" customFormat="1" ht="15"/>
    <row r="148" s="542" customFormat="1" ht="15"/>
    <row r="149" s="542" customFormat="1" ht="15"/>
    <row r="150" s="542" customFormat="1" ht="15"/>
    <row r="151" s="542" customFormat="1" ht="15"/>
    <row r="152" s="542" customFormat="1" ht="15"/>
    <row r="153" s="542" customFormat="1" ht="15"/>
    <row r="154" s="542" customFormat="1" ht="15"/>
    <row r="155" s="542" customFormat="1" ht="15"/>
    <row r="156" s="542" customFormat="1" ht="15"/>
    <row r="157" s="542" customFormat="1" ht="15"/>
    <row r="158" s="542" customFormat="1" ht="15"/>
    <row r="159" s="542" customFormat="1" ht="15"/>
    <row r="160" s="542" customFormat="1" ht="15"/>
    <row r="161" s="542" customFormat="1" ht="15"/>
    <row r="162" s="542" customFormat="1" ht="15"/>
    <row r="163" s="542" customFormat="1" ht="15"/>
    <row r="164" s="542" customFormat="1" ht="15"/>
    <row r="165" s="542" customFormat="1" ht="15"/>
    <row r="166" s="542" customFormat="1" ht="15"/>
    <row r="167" s="542" customFormat="1" ht="15"/>
    <row r="168" s="542" customFormat="1" ht="15"/>
    <row r="169" s="542" customFormat="1" ht="15"/>
    <row r="170" s="542" customFormat="1" ht="15"/>
    <row r="171" s="542" customFormat="1" ht="15"/>
    <row r="172" s="542" customFormat="1" ht="15"/>
    <row r="173" s="542" customFormat="1" ht="15"/>
    <row r="174" s="542" customFormat="1" ht="15"/>
    <row r="175" s="542" customFormat="1" ht="15"/>
    <row r="176" s="542" customFormat="1" ht="15"/>
    <row r="177" s="542" customFormat="1" ht="15"/>
    <row r="178" s="542" customFormat="1" ht="15"/>
    <row r="179" s="542" customFormat="1" ht="15"/>
    <row r="180" s="542" customFormat="1" ht="15"/>
    <row r="181" s="542" customFormat="1" ht="15"/>
    <row r="182" s="542" customFormat="1" ht="15"/>
    <row r="183" s="542" customFormat="1" ht="15"/>
    <row r="184" s="542" customFormat="1" ht="15"/>
    <row r="185" s="542" customFormat="1" ht="15"/>
    <row r="186" s="542" customFormat="1" ht="15"/>
    <row r="187" s="542" customFormat="1" ht="15"/>
    <row r="188" s="542" customFormat="1" ht="15"/>
    <row r="189" s="542" customFormat="1" ht="15"/>
    <row r="190" s="542" customFormat="1" ht="15"/>
    <row r="191" s="542" customFormat="1" ht="15"/>
    <row r="192" s="542" customFormat="1" ht="15"/>
    <row r="193" s="542" customFormat="1" ht="15"/>
    <row r="194" s="542" customFormat="1" ht="15"/>
    <row r="195" s="542" customFormat="1" ht="15"/>
    <row r="196" s="542" customFormat="1" ht="15"/>
    <row r="197" s="542" customFormat="1" ht="15"/>
    <row r="198" s="542" customFormat="1" ht="15"/>
    <row r="199" s="542" customFormat="1" ht="15"/>
    <row r="200" s="542" customFormat="1" ht="15"/>
    <row r="201" s="542" customFormat="1" ht="15"/>
    <row r="202" s="542" customFormat="1" ht="15"/>
    <row r="203" s="542" customFormat="1" ht="15"/>
    <row r="204" s="542" customFormat="1" ht="15"/>
    <row r="205" s="542" customFormat="1" ht="15"/>
    <row r="206" s="542" customFormat="1" ht="15"/>
    <row r="207" s="542" customFormat="1" ht="15"/>
    <row r="208" s="542" customFormat="1" ht="15"/>
    <row r="209" s="542" customFormat="1" ht="15"/>
    <row r="210" s="542" customFormat="1" ht="15"/>
    <row r="211" s="542" customFormat="1" ht="15"/>
    <row r="212" s="542" customFormat="1" ht="15"/>
    <row r="213" s="542" customFormat="1" ht="15"/>
    <row r="214" s="542" customFormat="1" ht="15"/>
    <row r="215" s="542" customFormat="1" ht="15"/>
    <row r="216" s="542" customFormat="1" ht="15"/>
    <row r="217" s="542" customFormat="1" ht="15"/>
    <row r="218" s="542" customFormat="1" ht="15"/>
    <row r="219" s="542" customFormat="1" ht="15"/>
    <row r="220" s="542" customFormat="1" ht="15"/>
    <row r="221" s="542" customFormat="1" ht="15"/>
    <row r="222" s="542" customFormat="1" ht="15"/>
    <row r="223" s="542" customFormat="1" ht="15"/>
    <row r="224" s="542" customFormat="1" ht="15"/>
    <row r="225" s="542" customFormat="1" ht="15"/>
    <row r="226" s="542" customFormat="1" ht="15"/>
    <row r="227" s="542" customFormat="1" ht="15"/>
    <row r="228" s="542" customFormat="1" ht="15"/>
    <row r="229" s="542" customFormat="1" ht="15"/>
    <row r="230" s="542" customFormat="1" ht="15"/>
    <row r="231" s="542" customFormat="1" ht="15"/>
    <row r="232" s="542" customFormat="1" ht="15"/>
    <row r="233" s="542" customFormat="1" ht="15"/>
    <row r="234" s="542" customFormat="1" ht="15"/>
    <row r="235" s="542" customFormat="1" ht="15"/>
    <row r="236" s="542" customFormat="1" ht="15"/>
    <row r="237" s="542" customFormat="1" ht="15"/>
    <row r="238" s="542" customFormat="1" ht="15"/>
    <row r="239" s="542" customFormat="1" ht="15"/>
    <row r="240" s="542" customFormat="1" ht="15"/>
    <row r="241" s="542" customFormat="1" ht="15"/>
    <row r="242" s="542" customFormat="1" ht="15"/>
    <row r="243" s="542" customFormat="1" ht="15"/>
    <row r="244" s="542" customFormat="1" ht="15"/>
    <row r="245" s="542" customFormat="1" ht="15"/>
    <row r="246" s="542" customFormat="1" ht="15"/>
    <row r="247" s="542" customFormat="1" ht="15"/>
    <row r="248" s="542" customFormat="1" ht="15"/>
    <row r="249" s="542" customFormat="1" ht="15"/>
    <row r="250" s="542" customFormat="1" ht="15"/>
    <row r="251" s="542" customFormat="1" ht="15"/>
    <row r="252" s="542" customFormat="1" ht="15"/>
    <row r="253" s="542" customFormat="1" ht="15"/>
    <row r="254" s="542" customFormat="1" ht="15"/>
    <row r="255" s="542" customFormat="1" ht="15"/>
    <row r="256" s="542" customFormat="1" ht="15"/>
    <row r="257" s="542" customFormat="1" ht="15"/>
    <row r="258" s="542" customFormat="1" ht="15"/>
    <row r="259" s="542" customFormat="1" ht="15"/>
    <row r="260" s="542" customFormat="1" ht="15"/>
    <row r="261" s="542" customFormat="1" ht="15"/>
    <row r="262" s="542" customFormat="1" ht="15"/>
    <row r="263" s="542" customFormat="1" ht="15"/>
    <row r="264" s="542" customFormat="1" ht="15"/>
    <row r="265" s="542" customFormat="1" ht="15"/>
    <row r="266" s="542" customFormat="1" ht="15"/>
    <row r="267" s="542" customFormat="1" ht="15"/>
    <row r="268" s="542" customFormat="1" ht="15"/>
    <row r="269" s="542" customFormat="1" ht="15"/>
    <row r="270" s="542" customFormat="1" ht="15"/>
    <row r="271" s="542" customFormat="1" ht="15"/>
    <row r="272" s="542" customFormat="1" ht="15"/>
    <row r="273" s="542" customFormat="1" ht="15"/>
    <row r="274" s="542" customFormat="1" ht="15"/>
    <row r="275" s="542" customFormat="1" ht="15"/>
    <row r="276" s="542" customFormat="1" ht="15"/>
    <row r="277" s="542" customFormat="1" ht="15"/>
    <row r="278" s="542" customFormat="1" ht="15"/>
    <row r="279" s="542" customFormat="1" ht="15"/>
    <row r="280" s="542" customFormat="1" ht="15"/>
    <row r="281" s="542" customFormat="1" ht="15"/>
    <row r="282" s="542" customFormat="1" ht="15"/>
    <row r="283" s="542" customFormat="1" ht="15"/>
    <row r="284" s="542" customFormat="1" ht="15"/>
  </sheetData>
  <customSheetViews>
    <customSheetView guid="{343BF296-013A-41F5-BDAB-AD6220EA7F78}" scale="70" colorId="22" showPageBreaks="1" showGridLines="0" fitToPage="1" printArea="1" view="pageBreakPreview">
      <selection activeCell="L29" sqref="L29"/>
      <pageMargins left="0" right="0" top="0" bottom="0" header="0" footer="0"/>
      <printOptions horizontalCentered="1"/>
      <pageSetup scale="57" orientation="landscape" r:id="rId1"/>
      <headerFooter alignWithMargins="0"/>
    </customSheetView>
    <customSheetView guid="{B321D76C-CDE5-48BB-9CDE-80FF97D58FCF}" scale="70" colorId="22" showPageBreaks="1" showGridLines="0" fitToPage="1" printArea="1" view="pageBreakPreview" topLeftCell="A7">
      <selection activeCell="H38" sqref="H38"/>
      <pageMargins left="0" right="0" top="0" bottom="0" header="0" footer="0"/>
      <printOptions horizontalCentered="1"/>
      <pageSetup scale="57" orientation="landscape" r:id="rId2"/>
      <headerFooter alignWithMargins="0"/>
    </customSheetView>
  </customSheetViews>
  <mergeCells count="5">
    <mergeCell ref="A4:Q4"/>
    <mergeCell ref="A5:Q5"/>
    <mergeCell ref="A9:Q9"/>
    <mergeCell ref="A6:Q6"/>
    <mergeCell ref="A8:Q8"/>
  </mergeCells>
  <phoneticPr fontId="0" type="noConversion"/>
  <printOptions horizontalCentered="1"/>
  <pageMargins left="0.25" right="0.25" top="0.5" bottom="0.5" header="0.5" footer="0.5"/>
  <pageSetup scale="67" orientation="landscape" r:id="rId3"/>
  <headerFooter alignWithMargins="0"/>
  <ignoredErrors>
    <ignoredError sqref="D16:P16" numberStoredAsText="1"/>
  </ignoredError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8">
    <tabColor rgb="FF7030A0"/>
    <pageSetUpPr fitToPage="1"/>
  </sheetPr>
  <dimension ref="A1:L36"/>
  <sheetViews>
    <sheetView showGridLines="0" defaultGridColor="0" view="pageBreakPreview" colorId="22" zoomScale="90" zoomScaleNormal="70" zoomScaleSheetLayoutView="90" workbookViewId="0">
      <selection activeCell="O31" sqref="O31"/>
    </sheetView>
  </sheetViews>
  <sheetFormatPr defaultColWidth="9.33203125" defaultRowHeight="12"/>
  <cols>
    <col min="1" max="1" width="2.33203125" style="216" customWidth="1"/>
    <col min="2" max="2" width="9.33203125" style="216" customWidth="1"/>
    <col min="3" max="3" width="30.33203125" style="216" bestFit="1" customWidth="1"/>
    <col min="4" max="4" width="26.33203125" style="216" bestFit="1" customWidth="1"/>
    <col min="5" max="5" width="6.77734375" style="216" customWidth="1"/>
    <col min="6" max="6" width="14.33203125" style="216" bestFit="1" customWidth="1"/>
    <col min="7" max="7" width="6.109375" style="216" customWidth="1"/>
    <col min="8" max="8" width="15" style="216" customWidth="1"/>
    <col min="9" max="9" width="5" style="216" customWidth="1"/>
    <col min="10" max="10" width="24.33203125" style="216" bestFit="1" customWidth="1"/>
    <col min="11" max="11" width="29.109375" style="216" customWidth="1"/>
    <col min="12" max="12" width="5.33203125" style="216" customWidth="1"/>
    <col min="13" max="16384" width="9.33203125" style="216"/>
  </cols>
  <sheetData>
    <row r="1" spans="1:12" s="540" customFormat="1" ht="15.6">
      <c r="A1" s="294"/>
      <c r="B1" s="72"/>
      <c r="C1" s="1017"/>
      <c r="J1" s="72"/>
      <c r="L1" s="1018"/>
    </row>
    <row r="2" spans="1:12" ht="15.6">
      <c r="A2" s="71"/>
      <c r="C2" s="70"/>
      <c r="D2" s="71"/>
      <c r="E2" s="71"/>
      <c r="F2" s="71"/>
      <c r="G2" s="71"/>
      <c r="H2" s="71"/>
    </row>
    <row r="3" spans="1:12" ht="15">
      <c r="A3" s="71"/>
      <c r="B3" s="71"/>
      <c r="D3" s="71"/>
      <c r="E3" s="71"/>
      <c r="F3" s="71"/>
      <c r="G3" s="71"/>
      <c r="H3" s="71"/>
      <c r="I3" s="71"/>
      <c r="J3" s="71"/>
    </row>
    <row r="6" spans="1:12" ht="15.6">
      <c r="A6" s="1469" t="s">
        <v>20</v>
      </c>
      <c r="B6" s="1469"/>
      <c r="C6" s="1469"/>
      <c r="D6" s="1469"/>
      <c r="E6" s="1469"/>
      <c r="F6" s="1469"/>
      <c r="G6" s="1469"/>
      <c r="H6" s="1469"/>
      <c r="I6" s="1469"/>
      <c r="J6" s="1469"/>
      <c r="K6" s="1469"/>
      <c r="L6" s="1469"/>
    </row>
    <row r="7" spans="1:12" ht="15.6">
      <c r="A7" s="1469" t="s">
        <v>1</v>
      </c>
      <c r="B7" s="1469"/>
      <c r="C7" s="1469"/>
      <c r="D7" s="1469"/>
      <c r="E7" s="1469"/>
      <c r="F7" s="1469"/>
      <c r="G7" s="1469"/>
      <c r="H7" s="1469"/>
      <c r="I7" s="1469"/>
      <c r="J7" s="1469"/>
      <c r="K7" s="1469"/>
      <c r="L7" s="1469"/>
    </row>
    <row r="8" spans="1:12" ht="15.6">
      <c r="A8" s="1461" t="str">
        <f>SUMMARY!A7</f>
        <v>YEAR ENDING DECEMBER 31, 2022</v>
      </c>
      <c r="B8" s="1461"/>
      <c r="C8" s="1461"/>
      <c r="D8" s="1461"/>
      <c r="E8" s="1461"/>
      <c r="F8" s="1461"/>
      <c r="G8" s="1461"/>
      <c r="H8" s="1461"/>
      <c r="I8" s="1461"/>
      <c r="J8" s="1461"/>
      <c r="K8" s="1461"/>
      <c r="L8" s="1461"/>
    </row>
    <row r="9" spans="1:12" ht="15.6">
      <c r="A9" s="1266"/>
      <c r="B9" s="1266"/>
      <c r="C9" s="1266"/>
      <c r="D9" s="1266"/>
      <c r="E9" s="1266"/>
      <c r="F9" s="1266"/>
      <c r="G9" s="1266"/>
      <c r="H9" s="1266"/>
      <c r="I9" s="1266"/>
      <c r="J9" s="1266"/>
      <c r="K9" s="1266"/>
      <c r="L9" s="1266"/>
    </row>
    <row r="10" spans="1:12" ht="15.6">
      <c r="A10" s="1469" t="s">
        <v>513</v>
      </c>
      <c r="B10" s="1469"/>
      <c r="C10" s="1469"/>
      <c r="D10" s="1469"/>
      <c r="E10" s="1469"/>
      <c r="F10" s="1469"/>
      <c r="G10" s="1469"/>
      <c r="H10" s="1469"/>
      <c r="I10" s="1469"/>
      <c r="J10" s="1469"/>
      <c r="K10" s="1469"/>
      <c r="L10" s="1469"/>
    </row>
    <row r="11" spans="1:12" ht="15.6">
      <c r="A11" s="1469" t="s">
        <v>39</v>
      </c>
      <c r="B11" s="1469"/>
      <c r="C11" s="1469"/>
      <c r="D11" s="1469"/>
      <c r="E11" s="1469"/>
      <c r="F11" s="1469"/>
      <c r="G11" s="1469"/>
      <c r="H11" s="1469"/>
      <c r="I11" s="1469"/>
      <c r="J11" s="1469"/>
      <c r="K11" s="1469"/>
      <c r="L11" s="1469"/>
    </row>
    <row r="12" spans="1:12" ht="15.6">
      <c r="A12" s="1469"/>
      <c r="B12" s="1469"/>
      <c r="C12" s="1469"/>
      <c r="D12" s="1469"/>
      <c r="E12" s="1469"/>
      <c r="F12" s="1469"/>
      <c r="G12" s="1469"/>
      <c r="H12" s="1469"/>
      <c r="I12" s="1469"/>
      <c r="J12" s="1469"/>
      <c r="K12" s="1469"/>
      <c r="L12" s="1469"/>
    </row>
    <row r="14" spans="1:12" s="73" customFormat="1" ht="13.2"/>
    <row r="15" spans="1:12" s="73" customFormat="1" ht="15.6">
      <c r="H15" s="1266"/>
    </row>
    <row r="16" spans="1:12" s="353" customFormat="1" ht="15.6">
      <c r="A16" s="108"/>
      <c r="B16" s="108"/>
      <c r="C16" s="108"/>
      <c r="D16" s="1266" t="s">
        <v>514</v>
      </c>
      <c r="E16" s="108"/>
      <c r="F16" s="1266" t="s">
        <v>515</v>
      </c>
      <c r="G16" s="108"/>
      <c r="H16" s="409" t="s">
        <v>516</v>
      </c>
      <c r="I16" s="108"/>
      <c r="J16" s="109"/>
    </row>
    <row r="17" spans="1:10" s="353" customFormat="1" ht="31.2">
      <c r="A17" s="108"/>
      <c r="B17" s="110" t="s">
        <v>7</v>
      </c>
      <c r="C17" s="110" t="s">
        <v>517</v>
      </c>
      <c r="D17" s="110" t="s">
        <v>518</v>
      </c>
      <c r="E17" s="744"/>
      <c r="F17" s="110" t="s">
        <v>519</v>
      </c>
      <c r="G17" s="744"/>
      <c r="H17" s="109" t="s">
        <v>520</v>
      </c>
      <c r="I17" s="744"/>
      <c r="J17" s="109" t="s">
        <v>109</v>
      </c>
    </row>
    <row r="18" spans="1:10" s="73" customFormat="1" ht="15.6">
      <c r="A18" s="71"/>
      <c r="C18" s="71"/>
      <c r="D18" s="1019" t="s">
        <v>8</v>
      </c>
      <c r="E18" s="71"/>
      <c r="F18" s="1019" t="s">
        <v>9</v>
      </c>
      <c r="G18" s="71"/>
      <c r="H18" s="1019" t="s">
        <v>359</v>
      </c>
      <c r="I18" s="71"/>
      <c r="J18" s="1019" t="s">
        <v>360</v>
      </c>
    </row>
    <row r="19" spans="1:10" s="73" customFormat="1" ht="13.2"/>
    <row r="20" spans="1:10" s="73" customFormat="1" ht="13.2">
      <c r="H20" s="334"/>
    </row>
    <row r="21" spans="1:10" s="73" customFormat="1" ht="15.6">
      <c r="A21" s="71"/>
      <c r="B21" s="1266">
        <v>1</v>
      </c>
      <c r="C21" s="1266" t="s">
        <v>521</v>
      </c>
      <c r="D21" s="86">
        <f>+'WP-DA'!K18</f>
        <v>0.5</v>
      </c>
      <c r="E21" s="71"/>
      <c r="F21" s="1026">
        <f>'WP-DA'!M14</f>
        <v>4.2505644767237546E-2</v>
      </c>
      <c r="G21" s="71"/>
      <c r="H21" s="1026">
        <f>D21*F21</f>
        <v>2.1252822383618773E-2</v>
      </c>
      <c r="I21" s="71"/>
      <c r="J21" s="71" t="s">
        <v>522</v>
      </c>
    </row>
    <row r="22" spans="1:10" s="73" customFormat="1" ht="15">
      <c r="A22" s="71"/>
      <c r="B22" s="108"/>
      <c r="C22" s="71"/>
      <c r="D22" s="1030"/>
      <c r="E22" s="71"/>
      <c r="F22" s="321"/>
      <c r="G22" s="71"/>
      <c r="H22" s="116"/>
      <c r="I22" s="71"/>
      <c r="J22" s="71"/>
    </row>
    <row r="23" spans="1:10" s="73" customFormat="1" ht="15.6">
      <c r="A23" s="71"/>
      <c r="B23" s="1266">
        <v>2</v>
      </c>
      <c r="C23" s="110" t="s">
        <v>523</v>
      </c>
      <c r="D23" s="1034">
        <f>+'WP-DA'!K18</f>
        <v>0.5</v>
      </c>
      <c r="E23" s="71"/>
      <c r="F23" s="1026">
        <f>'WP-DA'!M18</f>
        <v>9.4500000000000001E-2</v>
      </c>
      <c r="G23" s="71"/>
      <c r="H23" s="1243">
        <f>D23*F23</f>
        <v>4.725E-2</v>
      </c>
      <c r="I23" s="71"/>
      <c r="J23" s="71" t="s">
        <v>522</v>
      </c>
    </row>
    <row r="24" spans="1:10" s="73" customFormat="1" ht="15">
      <c r="A24" s="71"/>
      <c r="B24" s="108"/>
      <c r="C24" s="71"/>
      <c r="D24" s="1030"/>
      <c r="E24" s="71"/>
      <c r="F24" s="71"/>
      <c r="G24" s="71"/>
      <c r="H24" s="116"/>
      <c r="I24" s="71"/>
      <c r="J24" s="71"/>
    </row>
    <row r="25" spans="1:10" s="73" customFormat="1" ht="15.6">
      <c r="A25" s="71"/>
      <c r="B25" s="1266">
        <v>3</v>
      </c>
      <c r="C25" s="1266" t="s">
        <v>524</v>
      </c>
      <c r="D25" s="86">
        <f>SUM(D21:D23)</f>
        <v>1</v>
      </c>
      <c r="E25" s="71"/>
      <c r="F25" s="71"/>
      <c r="G25" s="71"/>
      <c r="H25" s="1285">
        <f>SUM(H21:H23)</f>
        <v>6.8502822383618767E-2</v>
      </c>
      <c r="I25" s="71"/>
      <c r="J25" s="71" t="s">
        <v>525</v>
      </c>
    </row>
    <row r="26" spans="1:10" s="73" customFormat="1" ht="13.2">
      <c r="H26" s="334"/>
    </row>
    <row r="27" spans="1:10" s="73" customFormat="1" ht="13.2"/>
    <row r="28" spans="1:10" s="71" customFormat="1" ht="15">
      <c r="B28" s="71" t="s">
        <v>6</v>
      </c>
    </row>
    <row r="29" spans="1:10" s="71" customFormat="1" ht="15">
      <c r="B29" s="71" t="s">
        <v>526</v>
      </c>
    </row>
    <row r="30" spans="1:10" s="71" customFormat="1" ht="15">
      <c r="B30" s="71" t="s">
        <v>527</v>
      </c>
    </row>
    <row r="31" spans="1:10" s="71" customFormat="1" ht="15">
      <c r="B31" s="71" t="s">
        <v>528</v>
      </c>
    </row>
    <row r="32" spans="1:10" s="71" customFormat="1" ht="15">
      <c r="B32" s="71" t="s">
        <v>529</v>
      </c>
    </row>
    <row r="33" s="71" customFormat="1" ht="15"/>
    <row r="34" s="71" customFormat="1" ht="15"/>
    <row r="35" s="71" customFormat="1" ht="15"/>
    <row r="36" s="71" customFormat="1" ht="15"/>
  </sheetData>
  <customSheetViews>
    <customSheetView guid="{343BF296-013A-41F5-BDAB-AD6220EA7F78}" colorId="22" showPageBreaks="1" showGridLines="0" fitToPage="1" printArea="1" view="pageBreakPreview" topLeftCell="A7">
      <selection activeCell="B29" sqref="B29"/>
      <pageMargins left="0" right="0" top="0" bottom="0" header="0" footer="0"/>
      <printOptions horizontalCentered="1"/>
      <pageSetup scale="77" orientation="landscape" r:id="rId1"/>
      <headerFooter alignWithMargins="0"/>
    </customSheetView>
    <customSheetView guid="{B321D76C-CDE5-48BB-9CDE-80FF97D58FCF}" colorId="22" showPageBreaks="1" showGridLines="0" fitToPage="1" printArea="1" view="pageBreakPreview" topLeftCell="A13">
      <selection activeCell="B29" sqref="B29"/>
      <pageMargins left="0" right="0" top="0" bottom="0" header="0" footer="0"/>
      <printOptions horizontalCentered="1"/>
      <pageSetup scale="77" orientation="landscape" r:id="rId2"/>
      <headerFooter alignWithMargins="0"/>
    </customSheetView>
  </customSheetViews>
  <mergeCells count="6">
    <mergeCell ref="A12:L12"/>
    <mergeCell ref="A6:L6"/>
    <mergeCell ref="A7:L7"/>
    <mergeCell ref="A11:L11"/>
    <mergeCell ref="A10:L10"/>
    <mergeCell ref="A8:L8"/>
  </mergeCells>
  <phoneticPr fontId="0" type="noConversion"/>
  <printOptions horizontalCentered="1"/>
  <pageMargins left="0.25" right="0.25" top="0.25" bottom="0.25" header="0.5" footer="0.5"/>
  <pageSetup scale="78" orientation="landscape" r:id="rId3"/>
  <headerFooter alignWithMargins="0"/>
  <ignoredErrors>
    <ignoredError sqref="D18:J18" numberStoredAsText="1"/>
  </ignoredError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tabColor rgb="FF7030A0"/>
    <pageSetUpPr fitToPage="1"/>
  </sheetPr>
  <dimension ref="A1:L89"/>
  <sheetViews>
    <sheetView showGridLines="0" defaultGridColor="0" view="pageBreakPreview" colorId="22" zoomScale="90" zoomScaleNormal="70" zoomScaleSheetLayoutView="90" workbookViewId="0">
      <selection activeCell="D57" sqref="D57"/>
    </sheetView>
  </sheetViews>
  <sheetFormatPr defaultColWidth="9.33203125" defaultRowHeight="12"/>
  <cols>
    <col min="1" max="1" width="2.33203125" style="216" customWidth="1"/>
    <col min="2" max="2" width="9.33203125" style="216" customWidth="1"/>
    <col min="3" max="3" width="30.33203125" style="216" bestFit="1" customWidth="1"/>
    <col min="4" max="4" width="26.33203125" style="216" bestFit="1" customWidth="1"/>
    <col min="5" max="5" width="6.77734375" style="216" customWidth="1"/>
    <col min="6" max="6" width="14.33203125" style="216" bestFit="1" customWidth="1"/>
    <col min="7" max="7" width="6.109375" style="216" customWidth="1"/>
    <col min="8" max="8" width="16.109375" style="216" customWidth="1"/>
    <col min="9" max="9" width="5" style="216" customWidth="1"/>
    <col min="10" max="10" width="35.21875" style="216" customWidth="1"/>
    <col min="11" max="11" width="29.109375" style="216" customWidth="1"/>
    <col min="12" max="12" width="10.77734375" style="216" customWidth="1"/>
    <col min="13" max="16384" width="9.33203125" style="216"/>
  </cols>
  <sheetData>
    <row r="1" spans="1:12" s="540" customFormat="1" ht="15.6">
      <c r="A1" s="294"/>
      <c r="B1" s="72"/>
      <c r="C1" s="1017"/>
      <c r="J1" s="72"/>
      <c r="L1" s="1018"/>
    </row>
    <row r="2" spans="1:12" ht="15.6">
      <c r="A2" s="71"/>
      <c r="C2" s="70"/>
      <c r="D2" s="71"/>
      <c r="E2" s="71"/>
      <c r="F2" s="71"/>
      <c r="G2" s="71"/>
      <c r="H2" s="71"/>
    </row>
    <row r="3" spans="1:12" ht="15">
      <c r="A3" s="71"/>
      <c r="B3" s="71"/>
      <c r="D3" s="71"/>
      <c r="E3" s="71"/>
      <c r="F3" s="71"/>
      <c r="G3" s="71"/>
      <c r="H3" s="71"/>
      <c r="I3" s="71"/>
      <c r="J3" s="71"/>
    </row>
    <row r="6" spans="1:12" ht="15.6">
      <c r="A6" s="1469" t="s">
        <v>20</v>
      </c>
      <c r="B6" s="1469"/>
      <c r="C6" s="1469"/>
      <c r="D6" s="1469"/>
      <c r="E6" s="1469"/>
      <c r="F6" s="1469"/>
      <c r="G6" s="1469"/>
      <c r="H6" s="1469"/>
      <c r="I6" s="1469"/>
      <c r="J6" s="1469"/>
      <c r="K6" s="1469"/>
      <c r="L6" s="1469"/>
    </row>
    <row r="7" spans="1:12" ht="15.6">
      <c r="A7" s="1469" t="s">
        <v>1</v>
      </c>
      <c r="B7" s="1469"/>
      <c r="C7" s="1469"/>
      <c r="D7" s="1469"/>
      <c r="E7" s="1469"/>
      <c r="F7" s="1469"/>
      <c r="G7" s="1469"/>
      <c r="H7" s="1469"/>
      <c r="I7" s="1469"/>
      <c r="J7" s="1469"/>
      <c r="K7" s="1469"/>
      <c r="L7" s="1469"/>
    </row>
    <row r="8" spans="1:12" ht="15.6">
      <c r="A8" s="1461" t="str">
        <f>SUMMARY!A7</f>
        <v>YEAR ENDING DECEMBER 31, 2022</v>
      </c>
      <c r="B8" s="1461"/>
      <c r="C8" s="1461"/>
      <c r="D8" s="1461"/>
      <c r="E8" s="1461"/>
      <c r="F8" s="1461"/>
      <c r="G8" s="1461"/>
      <c r="H8" s="1461"/>
      <c r="I8" s="1461"/>
      <c r="J8" s="1461"/>
      <c r="K8" s="1461"/>
      <c r="L8" s="1461"/>
    </row>
    <row r="9" spans="1:12" ht="15.6">
      <c r="A9" s="1266"/>
      <c r="B9" s="1266"/>
      <c r="C9" s="1266"/>
      <c r="D9" s="1266"/>
      <c r="E9" s="1266"/>
      <c r="F9" s="1266"/>
      <c r="G9" s="1266"/>
      <c r="H9" s="1266"/>
      <c r="I9" s="1266"/>
      <c r="J9" s="1266"/>
      <c r="K9" s="1266"/>
      <c r="L9" s="1266"/>
    </row>
    <row r="10" spans="1:12" ht="15.6">
      <c r="A10" s="1469" t="s">
        <v>530</v>
      </c>
      <c r="B10" s="1469"/>
      <c r="C10" s="1469"/>
      <c r="D10" s="1469"/>
      <c r="E10" s="1469"/>
      <c r="F10" s="1469"/>
      <c r="G10" s="1469"/>
      <c r="H10" s="1469"/>
      <c r="I10" s="1469"/>
      <c r="J10" s="1469"/>
      <c r="K10" s="1469"/>
      <c r="L10" s="1469"/>
    </row>
    <row r="11" spans="1:12" s="59" customFormat="1" ht="15.6">
      <c r="A11" s="1460" t="s">
        <v>531</v>
      </c>
      <c r="B11" s="1460"/>
      <c r="C11" s="1460"/>
      <c r="D11" s="1460"/>
      <c r="E11" s="1460"/>
      <c r="F11" s="1460"/>
      <c r="G11" s="1460"/>
      <c r="H11" s="1460"/>
      <c r="I11" s="1460"/>
      <c r="J11" s="1460"/>
      <c r="K11" s="1460"/>
      <c r="L11" s="1460"/>
    </row>
    <row r="12" spans="1:12" ht="15.6">
      <c r="A12" s="1469"/>
      <c r="B12" s="1469"/>
      <c r="C12" s="1469"/>
      <c r="D12" s="1469"/>
      <c r="E12" s="1469"/>
      <c r="F12" s="1469"/>
      <c r="G12" s="1469"/>
      <c r="H12" s="1469"/>
      <c r="I12" s="1469"/>
      <c r="J12" s="1469"/>
      <c r="K12" s="1469"/>
      <c r="L12" s="1469"/>
    </row>
    <row r="14" spans="1:12" s="73" customFormat="1" ht="13.2"/>
    <row r="15" spans="1:12" s="73" customFormat="1" ht="15.6">
      <c r="H15" s="1266"/>
    </row>
    <row r="16" spans="1:12" s="353" customFormat="1" ht="15.6">
      <c r="A16" s="108"/>
      <c r="B16" s="108"/>
      <c r="C16" s="108"/>
      <c r="D16" s="1266" t="s">
        <v>514</v>
      </c>
      <c r="E16" s="108"/>
      <c r="F16" s="1266" t="s">
        <v>515</v>
      </c>
      <c r="G16" s="108"/>
      <c r="H16" s="409" t="s">
        <v>516</v>
      </c>
      <c r="I16" s="108"/>
      <c r="J16" s="109"/>
    </row>
    <row r="17" spans="1:10" s="353" customFormat="1" ht="15.6">
      <c r="A17" s="108"/>
      <c r="B17" s="110" t="s">
        <v>7</v>
      </c>
      <c r="C17" s="110" t="s">
        <v>517</v>
      </c>
      <c r="D17" s="110" t="s">
        <v>532</v>
      </c>
      <c r="E17" s="744"/>
      <c r="F17" s="110" t="s">
        <v>533</v>
      </c>
      <c r="G17" s="744"/>
      <c r="H17" s="109" t="s">
        <v>520</v>
      </c>
      <c r="I17" s="744"/>
      <c r="J17" s="109" t="s">
        <v>109</v>
      </c>
    </row>
    <row r="18" spans="1:10" s="73" customFormat="1" ht="15.6">
      <c r="A18" s="71"/>
      <c r="C18" s="71"/>
      <c r="D18" s="1019" t="s">
        <v>8</v>
      </c>
      <c r="E18" s="71"/>
      <c r="F18" s="1019" t="s">
        <v>9</v>
      </c>
      <c r="G18" s="71"/>
      <c r="H18" s="1019" t="s">
        <v>359</v>
      </c>
      <c r="I18" s="71"/>
      <c r="J18" s="1019" t="s">
        <v>360</v>
      </c>
    </row>
    <row r="19" spans="1:10" s="73" customFormat="1" ht="13.2">
      <c r="C19" s="307"/>
      <c r="H19" s="1020"/>
    </row>
    <row r="20" spans="1:10" s="73" customFormat="1" ht="13.2">
      <c r="C20" s="307"/>
    </row>
    <row r="21" spans="1:10" s="73" customFormat="1" ht="13.2">
      <c r="B21" s="73" t="s">
        <v>534</v>
      </c>
      <c r="C21" s="307"/>
    </row>
    <row r="22" spans="1:10">
      <c r="C22" s="244"/>
    </row>
    <row r="23" spans="1:10" ht="15.6">
      <c r="B23" s="1266">
        <v>1</v>
      </c>
      <c r="C23" s="124" t="s">
        <v>521</v>
      </c>
      <c r="D23" s="1026">
        <f>1-D25</f>
        <v>0.47</v>
      </c>
      <c r="E23" s="126" t="s">
        <v>282</v>
      </c>
      <c r="F23" s="1023">
        <f>'WP-DA'!M14</f>
        <v>4.2505644767237546E-2</v>
      </c>
      <c r="G23" s="128"/>
      <c r="H23" s="1026">
        <f>D23*F23</f>
        <v>1.9977653040601645E-2</v>
      </c>
      <c r="I23" s="71"/>
      <c r="J23" s="71" t="s">
        <v>522</v>
      </c>
    </row>
    <row r="24" spans="1:10" ht="15">
      <c r="B24" s="108"/>
      <c r="C24" s="115"/>
      <c r="D24" s="116"/>
      <c r="E24" s="126"/>
      <c r="F24" s="1021"/>
      <c r="G24" s="126"/>
      <c r="H24" s="321"/>
      <c r="I24" s="71"/>
      <c r="J24" s="71"/>
    </row>
    <row r="25" spans="1:10" ht="15.6">
      <c r="B25" s="1266">
        <v>2</v>
      </c>
      <c r="C25" s="1022" t="s">
        <v>523</v>
      </c>
      <c r="D25" s="1243">
        <f>MIN(53%,'WP-DA'!G18)</f>
        <v>0.53</v>
      </c>
      <c r="E25" s="126" t="s">
        <v>282</v>
      </c>
      <c r="F25" s="1023">
        <f>'WP-DA'!M18</f>
        <v>9.4500000000000001E-2</v>
      </c>
      <c r="G25" s="126" t="s">
        <v>268</v>
      </c>
      <c r="H25" s="1243">
        <f>D25*F25</f>
        <v>5.0085000000000005E-2</v>
      </c>
      <c r="I25" s="71"/>
      <c r="J25" s="71" t="s">
        <v>522</v>
      </c>
    </row>
    <row r="26" spans="1:10" ht="15">
      <c r="B26" s="108"/>
      <c r="C26" s="115"/>
      <c r="D26" s="116"/>
      <c r="E26" s="71"/>
      <c r="F26" s="71"/>
      <c r="G26" s="71"/>
      <c r="H26" s="116"/>
      <c r="I26" s="71"/>
      <c r="J26" s="71"/>
    </row>
    <row r="27" spans="1:10" ht="15.6">
      <c r="B27" s="1266">
        <v>3</v>
      </c>
      <c r="C27" s="124" t="s">
        <v>524</v>
      </c>
      <c r="D27" s="1026">
        <f>SUM(D23:D25)</f>
        <v>1</v>
      </c>
      <c r="E27" s="71"/>
      <c r="F27" s="71"/>
      <c r="G27" s="71"/>
      <c r="H27" s="1285">
        <f>SUM(H23:H25)</f>
        <v>7.006265304060165E-2</v>
      </c>
      <c r="I27" s="71"/>
      <c r="J27" s="71" t="s">
        <v>525</v>
      </c>
    </row>
    <row r="28" spans="1:10">
      <c r="C28" s="244"/>
      <c r="D28" s="1024"/>
    </row>
    <row r="29" spans="1:10" ht="15.6">
      <c r="B29" s="1266">
        <v>4</v>
      </c>
      <c r="C29" s="124" t="s">
        <v>535</v>
      </c>
      <c r="H29" s="1025">
        <f>+'F1-Proj RR'!I48</f>
        <v>44465078.5</v>
      </c>
      <c r="J29" s="71" t="s">
        <v>536</v>
      </c>
    </row>
    <row r="30" spans="1:10" ht="15.6">
      <c r="C30" s="124"/>
      <c r="H30" s="1026"/>
    </row>
    <row r="31" spans="1:10" ht="15.6">
      <c r="B31" s="1266">
        <v>5</v>
      </c>
      <c r="C31" s="124" t="s">
        <v>537</v>
      </c>
      <c r="H31" s="1027">
        <f>'WP-DA'!O20*H29</f>
        <v>3045983.3747591656</v>
      </c>
      <c r="J31" s="71" t="s">
        <v>538</v>
      </c>
    </row>
    <row r="32" spans="1:10" ht="15.6">
      <c r="B32" s="1266"/>
      <c r="C32" s="244"/>
      <c r="H32" s="1027"/>
    </row>
    <row r="33" spans="2:10" ht="15.6">
      <c r="B33" s="1266">
        <v>6</v>
      </c>
      <c r="C33" s="124" t="s">
        <v>539</v>
      </c>
      <c r="H33" s="1027">
        <f>+H27*H29</f>
        <v>3115341.3673686162</v>
      </c>
      <c r="J33" s="71" t="s">
        <v>540</v>
      </c>
    </row>
    <row r="34" spans="2:10" ht="15.6">
      <c r="C34" s="244"/>
      <c r="H34" s="1027"/>
    </row>
    <row r="35" spans="2:10" ht="15.6">
      <c r="B35" s="1266" t="s">
        <v>541</v>
      </c>
      <c r="C35" s="124" t="s">
        <v>542</v>
      </c>
      <c r="H35" s="1027">
        <f>+H33-H31</f>
        <v>69357.992609450594</v>
      </c>
      <c r="J35" s="71" t="s">
        <v>543</v>
      </c>
    </row>
    <row r="36" spans="2:10" ht="15.6">
      <c r="B36" s="1266"/>
      <c r="C36" s="124"/>
      <c r="H36" s="1027"/>
      <c r="J36" s="71"/>
    </row>
    <row r="37" spans="2:10" s="1028" customFormat="1" ht="14.85" customHeight="1">
      <c r="B37" s="1028" t="s">
        <v>544</v>
      </c>
      <c r="C37" s="1029"/>
    </row>
    <row r="38" spans="2:10" s="73" customFormat="1" ht="13.2">
      <c r="C38" s="307"/>
    </row>
    <row r="39" spans="2:10" ht="15.6">
      <c r="B39" s="1266">
        <v>1</v>
      </c>
      <c r="C39" s="124" t="s">
        <v>521</v>
      </c>
      <c r="D39" s="1026">
        <v>0.5</v>
      </c>
      <c r="E39" s="126"/>
      <c r="F39" s="1023">
        <f>'WP-DA'!M14</f>
        <v>4.2505644767237546E-2</v>
      </c>
      <c r="G39" s="113"/>
      <c r="H39" s="1026">
        <f>D39*F39</f>
        <v>2.1252822383618773E-2</v>
      </c>
      <c r="I39" s="71"/>
      <c r="J39" s="71" t="s">
        <v>522</v>
      </c>
    </row>
    <row r="40" spans="2:10" ht="15">
      <c r="B40" s="108"/>
      <c r="C40" s="115"/>
      <c r="D40" s="793"/>
      <c r="E40" s="126"/>
      <c r="F40" s="1021"/>
      <c r="G40" s="126"/>
      <c r="H40" s="321"/>
      <c r="I40" s="71"/>
      <c r="J40" s="71"/>
    </row>
    <row r="41" spans="2:10" ht="19.2">
      <c r="B41" s="1266">
        <v>2</v>
      </c>
      <c r="C41" s="1022" t="s">
        <v>523</v>
      </c>
      <c r="D41" s="1249">
        <v>0.5</v>
      </c>
      <c r="E41" s="126"/>
      <c r="F41" s="1023">
        <f>'WP-DA'!M18+0.005</f>
        <v>9.9500000000000005E-2</v>
      </c>
      <c r="G41" s="126"/>
      <c r="H41" s="1243">
        <f>D41*F41</f>
        <v>4.9750000000000003E-2</v>
      </c>
      <c r="I41" s="71"/>
      <c r="J41" s="71" t="s">
        <v>522</v>
      </c>
    </row>
    <row r="42" spans="2:10" ht="15">
      <c r="B42" s="108"/>
      <c r="C42" s="115"/>
      <c r="D42" s="1030"/>
      <c r="E42" s="71"/>
      <c r="F42" s="71"/>
      <c r="G42" s="71"/>
      <c r="H42" s="111"/>
      <c r="I42" s="71"/>
      <c r="J42" s="71"/>
    </row>
    <row r="43" spans="2:10" ht="15.6">
      <c r="B43" s="1266">
        <v>3</v>
      </c>
      <c r="C43" s="124" t="s">
        <v>524</v>
      </c>
      <c r="D43" s="1450">
        <f>SUM(D39:D41)</f>
        <v>1</v>
      </c>
      <c r="E43" s="71"/>
      <c r="F43" s="71"/>
      <c r="G43" s="71"/>
      <c r="H43" s="1285">
        <f>SUM(H39:H41)</f>
        <v>7.1002822383618769E-2</v>
      </c>
      <c r="I43" s="71"/>
      <c r="J43" s="71" t="s">
        <v>525</v>
      </c>
    </row>
    <row r="44" spans="2:10">
      <c r="C44" s="244"/>
      <c r="D44" s="220"/>
    </row>
    <row r="45" spans="2:10" ht="15.6">
      <c r="B45" s="1266">
        <v>4</v>
      </c>
      <c r="C45" s="124" t="s">
        <v>535</v>
      </c>
      <c r="H45" s="1031">
        <f>+'F1-Proj RR'!I49</f>
        <v>166427259.02000001</v>
      </c>
      <c r="J45" s="71" t="s">
        <v>545</v>
      </c>
    </row>
    <row r="46" spans="2:10" ht="15.6">
      <c r="C46" s="124"/>
      <c r="H46" s="1026"/>
    </row>
    <row r="47" spans="2:10" ht="15.6">
      <c r="B47" s="1266">
        <v>5</v>
      </c>
      <c r="C47" s="124" t="s">
        <v>537</v>
      </c>
      <c r="H47" s="1032">
        <f>'WP-DA'!O20*H45</f>
        <v>11400736.964439575</v>
      </c>
      <c r="J47" s="71" t="s">
        <v>538</v>
      </c>
    </row>
    <row r="48" spans="2:10" ht="15.6">
      <c r="B48" s="1266"/>
      <c r="C48" s="244"/>
      <c r="H48" s="1032"/>
    </row>
    <row r="49" spans="2:10" ht="15.6">
      <c r="B49" s="1266">
        <v>6</v>
      </c>
      <c r="C49" s="124" t="s">
        <v>539</v>
      </c>
      <c r="H49" s="1032">
        <f>H43*H45</f>
        <v>11816805.111989575</v>
      </c>
      <c r="J49" s="71" t="s">
        <v>540</v>
      </c>
    </row>
    <row r="50" spans="2:10" ht="15.6">
      <c r="C50" s="244"/>
      <c r="H50" s="1032"/>
    </row>
    <row r="51" spans="2:10" ht="15.6">
      <c r="B51" s="1266" t="s">
        <v>546</v>
      </c>
      <c r="C51" s="124" t="s">
        <v>542</v>
      </c>
      <c r="H51" s="1032">
        <f>+H49-H47</f>
        <v>416068.14754999988</v>
      </c>
      <c r="J51" s="71" t="s">
        <v>543</v>
      </c>
    </row>
    <row r="52" spans="2:10" ht="15.6">
      <c r="B52" s="1266"/>
      <c r="C52" s="124"/>
      <c r="H52" s="1032"/>
      <c r="J52" s="71"/>
    </row>
    <row r="53" spans="2:10" ht="13.2">
      <c r="B53" s="73" t="s">
        <v>547</v>
      </c>
      <c r="C53" s="307"/>
      <c r="D53" s="73"/>
      <c r="E53" s="73"/>
      <c r="F53" s="73"/>
      <c r="G53" s="73"/>
      <c r="H53" s="73"/>
      <c r="I53" s="73"/>
      <c r="J53" s="73"/>
    </row>
    <row r="54" spans="2:10" ht="13.2">
      <c r="B54" s="73"/>
      <c r="C54" s="307"/>
      <c r="D54" s="73"/>
      <c r="E54" s="73"/>
      <c r="F54" s="73"/>
      <c r="G54" s="73"/>
      <c r="H54" s="73"/>
      <c r="I54" s="73"/>
      <c r="J54" s="73"/>
    </row>
    <row r="55" spans="2:10" ht="15.6">
      <c r="B55" s="1266">
        <v>1</v>
      </c>
      <c r="C55" s="124" t="s">
        <v>521</v>
      </c>
      <c r="D55" s="1435">
        <v>0.5</v>
      </c>
      <c r="E55" s="126"/>
      <c r="F55" s="1026">
        <f>'WP-DA'!M14</f>
        <v>4.2505644767237546E-2</v>
      </c>
      <c r="G55" s="113"/>
      <c r="H55" s="1026">
        <f>D55*F55</f>
        <v>2.1252822383618773E-2</v>
      </c>
      <c r="I55" s="71"/>
      <c r="J55" s="71" t="s">
        <v>522</v>
      </c>
    </row>
    <row r="56" spans="2:10" ht="15">
      <c r="B56" s="108"/>
      <c r="C56" s="115"/>
      <c r="D56" s="1030"/>
      <c r="E56" s="126"/>
      <c r="F56" s="1021"/>
      <c r="G56" s="126"/>
      <c r="H56" s="321"/>
      <c r="I56" s="71"/>
      <c r="J56" s="71"/>
    </row>
    <row r="57" spans="2:10" ht="19.2">
      <c r="B57" s="1266">
        <v>2</v>
      </c>
      <c r="C57" s="1022" t="s">
        <v>523</v>
      </c>
      <c r="D57" s="1436">
        <v>0.5</v>
      </c>
      <c r="E57" s="126"/>
      <c r="F57" s="1023">
        <f>'WP-DA'!M18+0.005</f>
        <v>9.9500000000000005E-2</v>
      </c>
      <c r="G57" s="126"/>
      <c r="H57" s="1243">
        <f>D57*F57</f>
        <v>4.9750000000000003E-2</v>
      </c>
      <c r="I57" s="71"/>
      <c r="J57" s="71" t="s">
        <v>522</v>
      </c>
    </row>
    <row r="58" spans="2:10" ht="15">
      <c r="B58" s="108"/>
      <c r="C58" s="115"/>
      <c r="D58" s="1030"/>
      <c r="E58" s="71"/>
      <c r="F58" s="71"/>
      <c r="G58" s="71"/>
      <c r="H58" s="111"/>
      <c r="I58" s="71"/>
      <c r="J58" s="71"/>
    </row>
    <row r="59" spans="2:10" ht="15.6">
      <c r="B59" s="1266">
        <v>3</v>
      </c>
      <c r="C59" s="124" t="s">
        <v>524</v>
      </c>
      <c r="D59" s="1450">
        <f>SUM(D55:D57)</f>
        <v>1</v>
      </c>
      <c r="E59" s="71"/>
      <c r="F59" s="71"/>
      <c r="G59" s="71"/>
      <c r="H59" s="1285">
        <f>SUM(H55:H57)</f>
        <v>7.1002822383618769E-2</v>
      </c>
      <c r="I59" s="71"/>
      <c r="J59" s="71" t="s">
        <v>525</v>
      </c>
    </row>
    <row r="60" spans="2:10">
      <c r="C60" s="244"/>
      <c r="D60" s="220"/>
    </row>
    <row r="61" spans="2:10" ht="15.6">
      <c r="B61" s="1266">
        <v>4</v>
      </c>
      <c r="C61" s="124" t="s">
        <v>535</v>
      </c>
      <c r="H61" s="1031">
        <f>+'F1-Proj RR'!I50</f>
        <v>16802377.5</v>
      </c>
      <c r="J61" s="71" t="s">
        <v>548</v>
      </c>
    </row>
    <row r="62" spans="2:10" ht="15.6">
      <c r="C62" s="124"/>
      <c r="H62" s="1026"/>
    </row>
    <row r="63" spans="2:10" ht="15.6">
      <c r="B63" s="1266">
        <v>5</v>
      </c>
      <c r="C63" s="124" t="s">
        <v>537</v>
      </c>
      <c r="H63" s="1032">
        <f>'WP-DA'!O20*H61</f>
        <v>1151010.2815050124</v>
      </c>
      <c r="J63" s="71" t="s">
        <v>538</v>
      </c>
    </row>
    <row r="64" spans="2:10" ht="15.6">
      <c r="B64" s="1266"/>
      <c r="C64" s="244"/>
      <c r="H64" s="1032"/>
    </row>
    <row r="65" spans="2:11" ht="15.6">
      <c r="B65" s="1266">
        <v>6</v>
      </c>
      <c r="C65" s="124" t="s">
        <v>539</v>
      </c>
      <c r="H65" s="1032">
        <f>H59*H61</f>
        <v>1193016.2252550123</v>
      </c>
      <c r="J65" s="71" t="s">
        <v>540</v>
      </c>
    </row>
    <row r="66" spans="2:11" ht="15.6">
      <c r="C66" s="244"/>
      <c r="H66" s="1032"/>
    </row>
    <row r="67" spans="2:11" ht="15.6">
      <c r="B67" s="1266" t="s">
        <v>549</v>
      </c>
      <c r="C67" s="124" t="s">
        <v>542</v>
      </c>
      <c r="H67" s="1032">
        <f>+H65-H63</f>
        <v>42005.94374999986</v>
      </c>
      <c r="J67" s="71" t="s">
        <v>543</v>
      </c>
    </row>
    <row r="68" spans="2:11" s="59" customFormat="1"/>
    <row r="69" spans="2:11">
      <c r="B69" s="395"/>
      <c r="C69" s="395"/>
      <c r="D69" s="395"/>
      <c r="E69" s="395"/>
      <c r="F69" s="395"/>
      <c r="G69" s="395"/>
      <c r="H69" s="395"/>
      <c r="I69" s="395"/>
      <c r="J69" s="395"/>
      <c r="K69" s="395"/>
    </row>
    <row r="70" spans="2:11">
      <c r="B70" s="395"/>
      <c r="C70" s="395"/>
      <c r="D70" s="395"/>
      <c r="E70" s="395"/>
      <c r="F70" s="395"/>
      <c r="G70" s="395"/>
      <c r="H70" s="395"/>
      <c r="I70" s="395"/>
      <c r="J70" s="395"/>
      <c r="K70" s="395"/>
    </row>
    <row r="71" spans="2:11" s="59" customFormat="1">
      <c r="H71" s="216"/>
    </row>
    <row r="72" spans="2:11" ht="15.6">
      <c r="B72" s="1266" t="s">
        <v>550</v>
      </c>
      <c r="C72" s="124" t="s">
        <v>551</v>
      </c>
      <c r="H72" s="1033">
        <f>H51+H35+H67</f>
        <v>527432.08390945033</v>
      </c>
      <c r="J72" s="71"/>
    </row>
    <row r="73" spans="2:11" ht="15.6">
      <c r="B73" s="1266"/>
      <c r="C73" s="124"/>
      <c r="H73" s="1032"/>
      <c r="J73" s="71"/>
    </row>
    <row r="74" spans="2:11" ht="15">
      <c r="B74" s="115" t="s">
        <v>6</v>
      </c>
    </row>
    <row r="75" spans="2:11" s="59" customFormat="1"/>
    <row r="76" spans="2:11" s="59" customFormat="1"/>
    <row r="77" spans="2:11" ht="15">
      <c r="B77" s="115" t="s">
        <v>552</v>
      </c>
    </row>
    <row r="78" spans="2:11" s="71" customFormat="1" ht="15">
      <c r="B78" s="71" t="s">
        <v>553</v>
      </c>
    </row>
    <row r="79" spans="2:11" ht="15">
      <c r="B79" s="115" t="s">
        <v>554</v>
      </c>
    </row>
    <row r="80" spans="2:11" s="71" customFormat="1" ht="15.75" customHeight="1">
      <c r="B80" s="71" t="s">
        <v>529</v>
      </c>
    </row>
    <row r="81" spans="2:11" ht="15">
      <c r="B81" s="129" t="s">
        <v>555</v>
      </c>
      <c r="C81" s="59"/>
      <c r="D81" s="59"/>
      <c r="E81" s="59"/>
      <c r="F81" s="59"/>
      <c r="G81" s="59"/>
      <c r="H81" s="59"/>
      <c r="I81" s="59"/>
      <c r="J81" s="59"/>
      <c r="K81" s="59"/>
    </row>
    <row r="82" spans="2:11" ht="15">
      <c r="B82" s="129" t="s">
        <v>556</v>
      </c>
      <c r="C82" s="59"/>
      <c r="D82" s="59"/>
      <c r="E82" s="59"/>
      <c r="F82" s="59"/>
      <c r="G82" s="59"/>
      <c r="H82" s="59"/>
      <c r="I82" s="59"/>
      <c r="J82" s="59"/>
      <c r="K82" s="59"/>
    </row>
    <row r="83" spans="2:11" s="59" customFormat="1" ht="15">
      <c r="B83" s="115" t="s">
        <v>557</v>
      </c>
    </row>
    <row r="84" spans="2:11" s="59" customFormat="1" ht="15">
      <c r="B84" s="115" t="s">
        <v>558</v>
      </c>
    </row>
    <row r="85" spans="2:11" s="59" customFormat="1" ht="15">
      <c r="B85" s="115" t="s">
        <v>559</v>
      </c>
    </row>
    <row r="86" spans="2:11" ht="15">
      <c r="B86" s="129" t="s">
        <v>560</v>
      </c>
    </row>
    <row r="87" spans="2:11" ht="15">
      <c r="B87" s="126" t="s">
        <v>561</v>
      </c>
    </row>
    <row r="88" spans="2:11" ht="15">
      <c r="B88" s="126" t="s">
        <v>562</v>
      </c>
    </row>
    <row r="89" spans="2:11">
      <c r="B89" s="395" t="s">
        <v>563</v>
      </c>
      <c r="C89" s="395"/>
      <c r="D89" s="395"/>
      <c r="E89" s="395"/>
      <c r="F89" s="395"/>
      <c r="G89" s="395"/>
      <c r="H89" s="395"/>
      <c r="I89" s="395"/>
      <c r="J89" s="395"/>
      <c r="K89" s="395"/>
    </row>
  </sheetData>
  <customSheetViews>
    <customSheetView guid="{343BF296-013A-41F5-BDAB-AD6220EA7F78}" colorId="22" showPageBreaks="1" showGridLines="0" fitToPage="1" printArea="1" view="pageBreakPreview" topLeftCell="A22">
      <selection activeCell="A11" sqref="A11:L11"/>
      <pageMargins left="0" right="0" top="0" bottom="0" header="0" footer="0"/>
      <printOptions horizontalCentered="1"/>
      <pageSetup scale="70" orientation="landscape" r:id="rId1"/>
      <headerFooter alignWithMargins="0"/>
    </customSheetView>
    <customSheetView guid="{B321D76C-CDE5-48BB-9CDE-80FF97D58FCF}" colorId="22" showPageBreaks="1" showGridLines="0" fitToPage="1" printArea="1" view="pageBreakPreview" topLeftCell="A19">
      <selection activeCell="D33" sqref="D33"/>
      <pageMargins left="0" right="0" top="0" bottom="0" header="0" footer="0"/>
      <printOptions horizontalCentered="1"/>
      <pageSetup scale="70" orientation="landscape" r:id="rId2"/>
      <headerFooter alignWithMargins="0"/>
    </customSheetView>
  </customSheetViews>
  <mergeCells count="6">
    <mergeCell ref="A12:L12"/>
    <mergeCell ref="A6:L6"/>
    <mergeCell ref="A7:L7"/>
    <mergeCell ref="A8:L8"/>
    <mergeCell ref="A10:L10"/>
    <mergeCell ref="A11:L11"/>
  </mergeCells>
  <printOptions horizontalCentered="1"/>
  <pageMargins left="0.25" right="0.25" top="0.25" bottom="0.25" header="0.5" footer="0.5"/>
  <pageSetup scale="54" orientation="portrait" r:id="rId3"/>
  <headerFooter alignWithMargins="0"/>
  <ignoredErrors>
    <ignoredError sqref="D18:J18" numberStoredAsText="1"/>
    <ignoredError sqref="H45 H61" unlockedFormula="1"/>
  </ignoredError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Sheet9">
    <tabColor rgb="FFFFFF00"/>
    <pageSetUpPr fitToPage="1"/>
  </sheetPr>
  <dimension ref="A1:M28"/>
  <sheetViews>
    <sheetView showGridLines="0" defaultGridColor="0" view="pageBreakPreview" colorId="22" zoomScale="90" zoomScaleNormal="100" zoomScaleSheetLayoutView="90" workbookViewId="0">
      <selection activeCell="U39" sqref="U39"/>
    </sheetView>
  </sheetViews>
  <sheetFormatPr defaultColWidth="9.33203125" defaultRowHeight="12"/>
  <cols>
    <col min="1" max="1" width="10.33203125" style="216" customWidth="1"/>
    <col min="2" max="2" width="30" style="216" customWidth="1"/>
    <col min="3" max="3" width="3.33203125" style="216" customWidth="1"/>
    <col min="4" max="4" width="21.77734375" style="216" customWidth="1"/>
    <col min="5" max="5" width="4.77734375" style="216" customWidth="1"/>
    <col min="6" max="6" width="27.33203125" style="216" customWidth="1"/>
    <col min="7" max="7" width="4.77734375" style="216" customWidth="1"/>
    <col min="8" max="8" width="23.33203125" style="216" customWidth="1"/>
    <col min="9" max="9" width="4.77734375" style="216" customWidth="1"/>
    <col min="10" max="10" width="19" style="216" customWidth="1"/>
    <col min="11" max="11" width="4.77734375" style="216" customWidth="1"/>
    <col min="12" max="12" width="20.109375" style="216" customWidth="1"/>
    <col min="13" max="13" width="4.77734375" style="216" customWidth="1"/>
    <col min="14" max="16384" width="9.33203125" style="216"/>
  </cols>
  <sheetData>
    <row r="1" spans="1:13" s="214" customFormat="1" ht="21">
      <c r="A1" s="865"/>
      <c r="B1" s="725"/>
    </row>
    <row r="2" spans="1:13" ht="15">
      <c r="C2" s="71"/>
      <c r="D2" s="71"/>
      <c r="E2" s="71"/>
      <c r="F2" s="71"/>
      <c r="G2" s="71"/>
      <c r="H2" s="71"/>
      <c r="I2" s="71"/>
      <c r="J2" s="71"/>
      <c r="K2" s="71"/>
    </row>
    <row r="3" spans="1:13" ht="15">
      <c r="A3" s="71"/>
      <c r="C3" s="71"/>
      <c r="D3" s="71"/>
      <c r="E3" s="71"/>
      <c r="F3" s="71"/>
      <c r="G3" s="71"/>
      <c r="H3" s="71"/>
      <c r="I3" s="71"/>
      <c r="J3" s="71"/>
      <c r="K3" s="71"/>
      <c r="L3" s="71"/>
      <c r="M3" s="71"/>
    </row>
    <row r="5" spans="1:13" ht="15">
      <c r="A5" s="71"/>
      <c r="B5" s="71"/>
      <c r="C5" s="71"/>
      <c r="D5" s="71"/>
      <c r="E5" s="71"/>
      <c r="F5" s="71"/>
      <c r="H5" s="71"/>
      <c r="I5" s="71"/>
      <c r="J5" s="71"/>
      <c r="K5" s="71"/>
      <c r="L5" s="71"/>
      <c r="M5" s="71"/>
    </row>
    <row r="6" spans="1:13" ht="15.6">
      <c r="A6" s="1469" t="s">
        <v>20</v>
      </c>
      <c r="B6" s="1469"/>
      <c r="C6" s="1469"/>
      <c r="D6" s="1469"/>
      <c r="E6" s="1469"/>
      <c r="F6" s="1469"/>
      <c r="G6" s="1469"/>
      <c r="H6" s="1469"/>
      <c r="I6" s="1469"/>
      <c r="J6" s="1009"/>
      <c r="K6" s="1009"/>
      <c r="L6" s="1009"/>
      <c r="M6" s="1009"/>
    </row>
    <row r="7" spans="1:13" ht="15.6">
      <c r="A7" s="1469" t="s">
        <v>1</v>
      </c>
      <c r="B7" s="1469"/>
      <c r="C7" s="1469"/>
      <c r="D7" s="1469"/>
      <c r="E7" s="1469"/>
      <c r="F7" s="1469"/>
      <c r="G7" s="1469"/>
      <c r="H7" s="1469"/>
      <c r="I7" s="1469"/>
      <c r="J7" s="1009"/>
      <c r="K7" s="1009"/>
      <c r="L7" s="1009"/>
      <c r="M7" s="1009"/>
    </row>
    <row r="8" spans="1:13" ht="15.6">
      <c r="A8" s="1461" t="str">
        <f>SUMMARY!A7</f>
        <v>YEAR ENDING DECEMBER 31, 2022</v>
      </c>
      <c r="B8" s="1461"/>
      <c r="C8" s="1461"/>
      <c r="D8" s="1461"/>
      <c r="E8" s="1461"/>
      <c r="F8" s="1461"/>
      <c r="G8" s="1461"/>
      <c r="H8" s="1461"/>
      <c r="I8" s="1461"/>
      <c r="J8" s="1207"/>
      <c r="K8" s="1207"/>
      <c r="L8" s="1207"/>
      <c r="M8" s="1207"/>
    </row>
    <row r="9" spans="1:13">
      <c r="A9" s="1010"/>
      <c r="B9" s="1010"/>
      <c r="C9" s="1010"/>
      <c r="D9" s="1010"/>
      <c r="E9" s="1010"/>
      <c r="F9" s="1010"/>
      <c r="G9" s="1010"/>
      <c r="H9" s="1010"/>
      <c r="I9" s="1010"/>
      <c r="J9" s="1010"/>
      <c r="K9" s="1010"/>
      <c r="L9" s="1010"/>
      <c r="M9" s="1010"/>
    </row>
    <row r="10" spans="1:13" ht="15.6">
      <c r="A10" s="1469" t="s">
        <v>564</v>
      </c>
      <c r="B10" s="1469"/>
      <c r="C10" s="1469"/>
      <c r="D10" s="1469"/>
      <c r="E10" s="1469"/>
      <c r="F10" s="1469"/>
      <c r="G10" s="1469"/>
      <c r="H10" s="1469"/>
      <c r="I10" s="1469"/>
      <c r="J10" s="1009"/>
      <c r="K10" s="1009"/>
      <c r="L10" s="1009"/>
      <c r="M10" s="1009"/>
    </row>
    <row r="11" spans="1:13" ht="15.6">
      <c r="A11" s="1469" t="s">
        <v>43</v>
      </c>
      <c r="B11" s="1469"/>
      <c r="C11" s="1469"/>
      <c r="D11" s="1469"/>
      <c r="E11" s="1469"/>
      <c r="F11" s="1469"/>
      <c r="G11" s="1469"/>
      <c r="H11" s="1469"/>
      <c r="I11" s="1469"/>
      <c r="J11" s="1009"/>
      <c r="K11" s="1009"/>
      <c r="L11" s="1009"/>
      <c r="M11" s="1009"/>
    </row>
    <row r="12" spans="1:13" s="73" customFormat="1" ht="13.2"/>
    <row r="13" spans="1:13" s="73" customFormat="1" ht="13.2"/>
    <row r="14" spans="1:13" s="73" customFormat="1" ht="15.6">
      <c r="A14" s="108"/>
      <c r="B14" s="108"/>
      <c r="C14" s="108"/>
      <c r="D14" s="108"/>
      <c r="E14" s="108"/>
      <c r="F14" s="108"/>
      <c r="G14" s="108"/>
      <c r="H14" s="108"/>
      <c r="I14" s="108"/>
      <c r="J14" s="1266"/>
      <c r="K14" s="108"/>
      <c r="L14" s="108"/>
      <c r="M14" s="108"/>
    </row>
    <row r="15" spans="1:13" s="73" customFormat="1" ht="15.6">
      <c r="A15" s="1266" t="s">
        <v>351</v>
      </c>
      <c r="B15" s="108"/>
      <c r="C15" s="108"/>
      <c r="D15" s="1266" t="s">
        <v>565</v>
      </c>
      <c r="E15" s="108"/>
      <c r="F15" s="1266" t="s">
        <v>475</v>
      </c>
      <c r="G15" s="108"/>
      <c r="H15" s="1266" t="s">
        <v>566</v>
      </c>
      <c r="I15" s="353"/>
    </row>
    <row r="16" spans="1:13" s="73" customFormat="1" ht="15.6">
      <c r="A16" s="110" t="s">
        <v>354</v>
      </c>
      <c r="B16" s="110" t="s">
        <v>567</v>
      </c>
      <c r="C16" s="108"/>
      <c r="D16" s="109" t="s">
        <v>568</v>
      </c>
      <c r="E16" s="108"/>
      <c r="F16" s="110" t="s">
        <v>377</v>
      </c>
      <c r="G16" s="108"/>
      <c r="H16" s="109" t="s">
        <v>569</v>
      </c>
      <c r="I16" s="353"/>
    </row>
    <row r="17" spans="1:12" s="73" customFormat="1" ht="15.6">
      <c r="A17" s="108"/>
      <c r="B17" s="1019" t="s">
        <v>8</v>
      </c>
      <c r="C17" s="108"/>
      <c r="D17" s="1019" t="s">
        <v>9</v>
      </c>
      <c r="E17" s="353"/>
      <c r="F17" s="1181" t="s">
        <v>359</v>
      </c>
      <c r="H17" s="1181" t="s">
        <v>360</v>
      </c>
    </row>
    <row r="18" spans="1:12" s="73" customFormat="1" ht="13.2"/>
    <row r="19" spans="1:12" s="73" customFormat="1" ht="15.6">
      <c r="A19" s="1266">
        <v>1</v>
      </c>
      <c r="B19" s="121" t="s">
        <v>365</v>
      </c>
      <c r="C19" s="71"/>
      <c r="D19" s="1179">
        <f>'WP-EA'!L38</f>
        <v>0.63395048622259376</v>
      </c>
      <c r="E19" s="111"/>
      <c r="F19" s="111"/>
      <c r="G19" s="71"/>
      <c r="H19" s="71"/>
    </row>
    <row r="20" spans="1:12" s="73" customFormat="1" ht="15.6">
      <c r="A20" s="1266"/>
      <c r="B20" s="71"/>
      <c r="C20" s="71"/>
      <c r="D20" s="112"/>
      <c r="E20" s="111"/>
      <c r="F20" s="111"/>
      <c r="G20" s="71"/>
      <c r="H20" s="71"/>
    </row>
    <row r="21" spans="1:12" s="73" customFormat="1" ht="15.6">
      <c r="A21" s="1266">
        <f>A19+1</f>
        <v>2</v>
      </c>
      <c r="B21" s="71" t="s">
        <v>570</v>
      </c>
      <c r="C21" s="71"/>
      <c r="D21" s="1180">
        <f>'WP-EA'!L28</f>
        <v>0.36604951377740613</v>
      </c>
      <c r="E21" s="111"/>
      <c r="F21" s="1285">
        <f>D21</f>
        <v>0.36604951377740613</v>
      </c>
      <c r="G21" s="71"/>
      <c r="H21" s="71" t="s">
        <v>571</v>
      </c>
    </row>
    <row r="22" spans="1:12" s="73" customFormat="1" ht="15.6">
      <c r="A22" s="1266"/>
      <c r="B22" s="71"/>
      <c r="C22" s="71"/>
      <c r="D22" s="112"/>
      <c r="E22" s="111"/>
      <c r="F22" s="1012"/>
      <c r="G22" s="71"/>
      <c r="H22" s="71"/>
    </row>
    <row r="23" spans="1:12" s="73" customFormat="1" ht="15.6">
      <c r="A23" s="1266">
        <v>3</v>
      </c>
      <c r="B23" s="70" t="s">
        <v>276</v>
      </c>
      <c r="C23" s="70"/>
      <c r="D23" s="1026">
        <f>D19+D21</f>
        <v>0.99999999999999989</v>
      </c>
      <c r="E23" s="111"/>
      <c r="F23" s="111"/>
      <c r="G23" s="71"/>
      <c r="H23" s="71"/>
    </row>
    <row r="24" spans="1:12" s="222" customFormat="1" ht="15.6">
      <c r="A24" s="1267"/>
      <c r="B24" s="492"/>
      <c r="C24" s="492"/>
      <c r="D24" s="1013"/>
      <c r="E24" s="1013"/>
      <c r="F24" s="1013"/>
      <c r="G24" s="1013"/>
      <c r="H24" s="1013"/>
      <c r="I24" s="1013"/>
      <c r="J24" s="1013"/>
      <c r="K24" s="492"/>
      <c r="L24" s="492"/>
    </row>
    <row r="25" spans="1:12" s="222" customFormat="1" ht="15.6">
      <c r="A25" s="1267"/>
      <c r="B25" s="493"/>
      <c r="C25" s="492"/>
      <c r="D25" s="1014"/>
      <c r="E25" s="1014"/>
      <c r="F25" s="1014"/>
      <c r="G25" s="492"/>
      <c r="H25" s="1015"/>
      <c r="I25" s="492"/>
      <c r="J25" s="1016"/>
      <c r="K25" s="492"/>
      <c r="L25" s="492"/>
    </row>
    <row r="26" spans="1:12" s="222" customFormat="1" ht="15.6">
      <c r="A26" s="1267"/>
    </row>
    <row r="27" spans="1:12" s="222" customFormat="1" ht="13.8"/>
    <row r="28" spans="1:12" s="222" customFormat="1" ht="13.8"/>
  </sheetData>
  <customSheetViews>
    <customSheetView guid="{343BF296-013A-41F5-BDAB-AD6220EA7F78}" scale="74" colorId="22" showPageBreaks="1" showGridLines="0" fitToPage="1" printArea="1" view="pageBreakPreview" topLeftCell="C1">
      <selection activeCell="I115" sqref="I115"/>
      <rowBreaks count="1" manualBreakCount="1">
        <brk id="33" max="16383" man="1"/>
      </rowBreaks>
      <colBreaks count="1" manualBreakCount="1">
        <brk id="18" max="1048575" man="1"/>
      </colBreaks>
      <pageMargins left="0" right="0" top="0" bottom="0" header="0" footer="0"/>
      <printOptions horizontalCentered="1"/>
      <pageSetup scale="65" orientation="landscape" r:id="rId1"/>
      <headerFooter alignWithMargins="0"/>
    </customSheetView>
    <customSheetView guid="{B321D76C-CDE5-48BB-9CDE-80FF97D58FCF}" colorId="22" showPageBreaks="1" showGridLines="0" fitToPage="1" printArea="1" view="pageBreakPreview" topLeftCell="A25">
      <selection activeCell="D33" sqref="D33"/>
      <rowBreaks count="1" manualBreakCount="1">
        <brk id="33" max="16383" man="1"/>
      </rowBreaks>
      <colBreaks count="1" manualBreakCount="1">
        <brk id="18" max="1048575" man="1"/>
      </colBreaks>
      <pageMargins left="0" right="0" top="0" bottom="0" header="0" footer="0"/>
      <printOptions horizontalCentered="1"/>
      <pageSetup scale="65" orientation="landscape" r:id="rId2"/>
      <headerFooter alignWithMargins="0"/>
    </customSheetView>
  </customSheetViews>
  <mergeCells count="5">
    <mergeCell ref="A11:I11"/>
    <mergeCell ref="A6:I6"/>
    <mergeCell ref="A7:I7"/>
    <mergeCell ref="A8:I8"/>
    <mergeCell ref="A10:I10"/>
  </mergeCells>
  <phoneticPr fontId="0" type="noConversion"/>
  <printOptions horizontalCentered="1"/>
  <pageMargins left="0.5" right="0.5" top="0.25" bottom="0.25" header="0.75" footer="0.75"/>
  <pageSetup scale="99" orientation="landscape" r:id="rId3"/>
  <headerFooter alignWithMargins="0"/>
  <rowBreaks count="1" manualBreakCount="1">
    <brk id="33" max="16383" man="1"/>
  </rowBreaks>
  <colBreaks count="1" manualBreakCount="1">
    <brk id="18" max="1048575" man="1"/>
  </colBreaks>
  <ignoredErrors>
    <ignoredError sqref="B17:H17" numberStoredAsText="1"/>
  </ignoredError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8"/>
    <pageSetUpPr fitToPage="1"/>
  </sheetPr>
  <dimension ref="A1:X92"/>
  <sheetViews>
    <sheetView view="pageBreakPreview" zoomScale="90" zoomScaleNormal="80" zoomScaleSheetLayoutView="90" workbookViewId="0">
      <selection activeCell="U77" sqref="U77"/>
    </sheetView>
  </sheetViews>
  <sheetFormatPr defaultColWidth="10" defaultRowHeight="13.2"/>
  <cols>
    <col min="1" max="1" width="6.77734375" style="823" customWidth="1"/>
    <col min="2" max="2" width="1.33203125" style="823" customWidth="1"/>
    <col min="3" max="3" width="45.77734375" style="823" customWidth="1"/>
    <col min="4" max="4" width="8.77734375" style="823" customWidth="1"/>
    <col min="5" max="5" width="16.33203125" style="823" bestFit="1" customWidth="1"/>
    <col min="6" max="6" width="20.33203125" style="823" customWidth="1"/>
    <col min="7" max="7" width="19.33203125" style="823" customWidth="1"/>
    <col min="8" max="8" width="15" style="823" customWidth="1"/>
    <col min="9" max="9" width="15.33203125" style="823" customWidth="1"/>
    <col min="10" max="10" width="14.33203125" style="823" customWidth="1"/>
    <col min="11" max="11" width="20.5546875" style="823" customWidth="1"/>
    <col min="12" max="12" width="15.21875" style="823" customWidth="1"/>
    <col min="13" max="13" width="13.33203125" style="823" customWidth="1"/>
    <col min="14" max="14" width="10.77734375" style="823" customWidth="1"/>
    <col min="15" max="15" width="16.21875" style="823" customWidth="1"/>
    <col min="16" max="17" width="14.33203125" style="823" customWidth="1"/>
    <col min="18" max="18" width="14.77734375" style="823" customWidth="1"/>
    <col min="19" max="19" width="13.33203125" style="823" customWidth="1"/>
    <col min="20" max="20" width="12.33203125" style="823" bestFit="1" customWidth="1"/>
    <col min="21" max="21" width="13.33203125" style="823" customWidth="1"/>
    <col min="22" max="22" width="12.77734375" style="823" customWidth="1"/>
    <col min="23" max="23" width="11.33203125" style="823" customWidth="1"/>
    <col min="24" max="24" width="12.33203125" style="823" customWidth="1"/>
    <col min="25" max="16384" width="10" style="823"/>
  </cols>
  <sheetData>
    <row r="1" spans="1:22" ht="15.6">
      <c r="A1" s="70"/>
      <c r="R1" s="922"/>
    </row>
    <row r="2" spans="1:22" ht="15">
      <c r="R2" s="922"/>
      <c r="S2" s="858"/>
    </row>
    <row r="3" spans="1:22" ht="15.6">
      <c r="D3" s="894"/>
      <c r="E3" s="894"/>
      <c r="F3" s="894"/>
      <c r="G3" s="894"/>
      <c r="H3" s="894"/>
      <c r="I3" s="894"/>
      <c r="J3" s="894"/>
      <c r="K3" s="894"/>
      <c r="L3" s="894"/>
    </row>
    <row r="4" spans="1:22" ht="15.6">
      <c r="A4" s="1480" t="s">
        <v>44</v>
      </c>
      <c r="B4" s="1480"/>
      <c r="C4" s="1480"/>
      <c r="D4" s="1480"/>
      <c r="E4" s="1480"/>
      <c r="F4" s="1480"/>
      <c r="G4" s="1480"/>
      <c r="H4" s="1480"/>
      <c r="I4" s="1480"/>
      <c r="J4" s="1480"/>
      <c r="K4" s="1480"/>
      <c r="L4" s="1480"/>
      <c r="M4" s="1480"/>
      <c r="N4" s="1480"/>
      <c r="O4" s="1480"/>
      <c r="P4" s="1480"/>
      <c r="Q4" s="1480"/>
      <c r="R4" s="1480"/>
      <c r="S4" s="1480"/>
    </row>
    <row r="5" spans="1:22" ht="15.6">
      <c r="A5" s="1480" t="s">
        <v>572</v>
      </c>
      <c r="B5" s="1480"/>
      <c r="C5" s="1480"/>
      <c r="D5" s="1480"/>
      <c r="E5" s="1480"/>
      <c r="F5" s="1480"/>
      <c r="G5" s="1480"/>
      <c r="H5" s="1480"/>
      <c r="I5" s="1480"/>
      <c r="J5" s="1480"/>
      <c r="K5" s="1480"/>
      <c r="L5" s="1480"/>
      <c r="M5" s="1480"/>
      <c r="N5" s="1480"/>
      <c r="O5" s="1480"/>
      <c r="P5" s="1480"/>
      <c r="Q5" s="1480"/>
      <c r="R5" s="1480"/>
      <c r="S5" s="1480"/>
      <c r="T5" s="828"/>
      <c r="U5" s="828"/>
      <c r="V5" s="828"/>
    </row>
    <row r="6" spans="1:22" ht="15.6">
      <c r="A6" s="1481" t="str">
        <f>+SUMMARY!A5</f>
        <v>NEW YORK POWER AUTHORITY</v>
      </c>
      <c r="B6" s="1481"/>
      <c r="C6" s="1481"/>
      <c r="D6" s="1481"/>
      <c r="E6" s="1481"/>
      <c r="F6" s="1481"/>
      <c r="G6" s="1481"/>
      <c r="H6" s="1481"/>
      <c r="I6" s="1481"/>
      <c r="J6" s="1481"/>
      <c r="K6" s="1481"/>
      <c r="L6" s="1481"/>
      <c r="M6" s="1481"/>
      <c r="N6" s="1481"/>
      <c r="O6" s="1481"/>
      <c r="P6" s="1481"/>
      <c r="Q6" s="1481"/>
      <c r="R6" s="1481"/>
      <c r="S6" s="1481"/>
      <c r="T6" s="830"/>
      <c r="U6" s="828"/>
      <c r="V6" s="828"/>
    </row>
    <row r="7" spans="1:22" ht="17.25" customHeight="1">
      <c r="A7" s="1482" t="str">
        <f>SUMMARY!A7</f>
        <v>YEAR ENDING DECEMBER 31, 2022</v>
      </c>
      <c r="B7" s="1482"/>
      <c r="C7" s="1482"/>
      <c r="D7" s="1482"/>
      <c r="E7" s="1482"/>
      <c r="F7" s="1482"/>
      <c r="G7" s="1482"/>
      <c r="H7" s="1482"/>
      <c r="I7" s="1482"/>
      <c r="J7" s="1482"/>
      <c r="K7" s="1482"/>
      <c r="L7" s="1482"/>
      <c r="M7" s="1482"/>
      <c r="N7" s="1482"/>
      <c r="O7" s="1482"/>
      <c r="P7" s="1482"/>
      <c r="Q7" s="1482"/>
      <c r="R7" s="1482"/>
      <c r="S7" s="1482"/>
      <c r="T7" s="828"/>
      <c r="U7" s="828"/>
      <c r="V7" s="828"/>
    </row>
    <row r="8" spans="1:22" ht="15.6">
      <c r="A8" s="829"/>
      <c r="C8" s="828"/>
      <c r="D8" s="923"/>
      <c r="E8" s="923"/>
      <c r="F8" s="923"/>
      <c r="G8" s="894"/>
      <c r="H8" s="923"/>
      <c r="I8" s="923"/>
      <c r="J8" s="923"/>
      <c r="K8" s="923"/>
      <c r="L8" s="923"/>
      <c r="M8" s="828"/>
      <c r="N8" s="828"/>
      <c r="O8" s="828"/>
      <c r="P8" s="828"/>
      <c r="Q8" s="828"/>
      <c r="R8" s="828"/>
      <c r="S8" s="828"/>
      <c r="T8" s="828"/>
      <c r="U8" s="828"/>
      <c r="V8" s="828"/>
    </row>
    <row r="9" spans="1:22">
      <c r="A9" s="829"/>
      <c r="C9" s="828"/>
      <c r="D9" s="828"/>
      <c r="E9" s="828"/>
      <c r="F9" s="828"/>
      <c r="G9" s="831"/>
      <c r="H9" s="828"/>
      <c r="I9" s="828"/>
      <c r="J9" s="828"/>
      <c r="K9" s="828"/>
      <c r="L9" s="828"/>
      <c r="M9" s="828"/>
      <c r="N9" s="828"/>
      <c r="O9" s="828"/>
      <c r="P9" s="828"/>
      <c r="Q9" s="828"/>
      <c r="R9" s="828"/>
      <c r="S9" s="828"/>
      <c r="T9" s="828"/>
      <c r="U9" s="828"/>
      <c r="V9" s="828"/>
    </row>
    <row r="10" spans="1:22" ht="15.6">
      <c r="A10" s="924"/>
      <c r="B10" s="925"/>
      <c r="C10" s="926"/>
      <c r="D10" s="926"/>
      <c r="E10" s="926"/>
      <c r="F10" s="926"/>
      <c r="G10" s="926"/>
      <c r="H10" s="926"/>
      <c r="I10" s="926"/>
      <c r="J10" s="927"/>
      <c r="K10" s="927"/>
      <c r="L10" s="926"/>
      <c r="M10" s="926"/>
      <c r="N10" s="926"/>
      <c r="O10" s="926"/>
      <c r="P10" s="926"/>
      <c r="Q10" s="926"/>
      <c r="R10" s="828"/>
      <c r="S10" s="828"/>
      <c r="T10" s="828"/>
      <c r="U10" s="828"/>
      <c r="V10" s="828"/>
    </row>
    <row r="11" spans="1:22" s="834" customFormat="1" ht="15">
      <c r="A11" s="928"/>
      <c r="B11" s="858"/>
      <c r="C11" s="898"/>
      <c r="D11" s="898"/>
      <c r="E11" s="898"/>
      <c r="F11" s="898"/>
      <c r="G11" s="898"/>
      <c r="H11" s="898"/>
      <c r="I11" s="898"/>
      <c r="J11" s="929"/>
      <c r="K11" s="929"/>
      <c r="L11" s="858"/>
      <c r="M11" s="898"/>
      <c r="N11" s="898"/>
      <c r="O11" s="898"/>
      <c r="P11" s="898"/>
      <c r="Q11" s="898"/>
      <c r="R11" s="930"/>
      <c r="S11" s="930"/>
      <c r="T11" s="930"/>
      <c r="U11" s="930"/>
      <c r="V11" s="930"/>
    </row>
    <row r="12" spans="1:22" s="834" customFormat="1" ht="15">
      <c r="A12" s="928"/>
      <c r="B12" s="858"/>
      <c r="C12" s="898"/>
      <c r="D12" s="898"/>
      <c r="E12" s="898"/>
      <c r="F12" s="898"/>
      <c r="G12" s="898"/>
      <c r="H12" s="898"/>
      <c r="I12" s="898"/>
      <c r="J12" s="898"/>
      <c r="K12" s="898"/>
      <c r="L12" s="858"/>
      <c r="M12" s="931"/>
      <c r="N12" s="931"/>
      <c r="O12" s="931"/>
      <c r="P12" s="898"/>
      <c r="Q12" s="898"/>
      <c r="R12" s="930"/>
      <c r="S12" s="930"/>
      <c r="T12" s="930"/>
      <c r="U12" s="930"/>
      <c r="V12" s="930"/>
    </row>
    <row r="13" spans="1:22" s="834" customFormat="1" ht="15.6">
      <c r="A13" s="1274" t="s">
        <v>573</v>
      </c>
      <c r="B13" s="858"/>
      <c r="C13" s="898"/>
      <c r="D13" s="898"/>
      <c r="E13" s="898"/>
      <c r="F13" s="898"/>
      <c r="G13" s="1274"/>
      <c r="H13" s="858"/>
      <c r="I13" s="1274"/>
      <c r="J13" s="931"/>
      <c r="K13" s="931"/>
      <c r="L13" s="858"/>
      <c r="M13" s="858"/>
      <c r="N13" s="858"/>
      <c r="O13" s="858"/>
      <c r="P13" s="931"/>
      <c r="Q13" s="931"/>
      <c r="S13" s="932"/>
      <c r="T13" s="933"/>
      <c r="U13" s="933"/>
      <c r="V13" s="930"/>
    </row>
    <row r="14" spans="1:22" s="834" customFormat="1" ht="15.6">
      <c r="A14" s="900" t="s">
        <v>354</v>
      </c>
      <c r="B14" s="934"/>
      <c r="C14" s="900" t="s">
        <v>574</v>
      </c>
      <c r="D14" s="935"/>
      <c r="E14" s="935"/>
      <c r="F14" s="935"/>
      <c r="G14" s="900" t="s">
        <v>575</v>
      </c>
      <c r="H14" s="934"/>
      <c r="I14" s="900"/>
      <c r="K14" s="936" t="s">
        <v>224</v>
      </c>
      <c r="L14" s="936"/>
      <c r="M14" s="936" t="s">
        <v>576</v>
      </c>
      <c r="N14" s="1269"/>
      <c r="O14" s="1269"/>
      <c r="P14" s="931"/>
      <c r="Q14" s="931"/>
      <c r="S14" s="930"/>
      <c r="T14" s="937"/>
      <c r="U14" s="933"/>
      <c r="V14" s="930"/>
    </row>
    <row r="15" spans="1:22" s="834" customFormat="1" ht="15">
      <c r="A15" s="858"/>
      <c r="B15" s="858"/>
      <c r="D15" s="938"/>
      <c r="E15" s="938"/>
      <c r="F15" s="938"/>
      <c r="G15" s="938" t="s">
        <v>8</v>
      </c>
      <c r="H15" s="858"/>
      <c r="I15" s="938"/>
      <c r="K15" s="939" t="s">
        <v>9</v>
      </c>
      <c r="L15" s="938"/>
      <c r="M15" s="939" t="s">
        <v>359</v>
      </c>
      <c r="N15" s="939"/>
      <c r="O15" s="939"/>
      <c r="P15" s="931"/>
      <c r="Q15" s="931"/>
      <c r="R15" s="940"/>
      <c r="S15" s="932"/>
      <c r="T15" s="940"/>
      <c r="U15" s="932"/>
      <c r="V15" s="930"/>
    </row>
    <row r="16" spans="1:22" s="834" customFormat="1" ht="15.6">
      <c r="B16" s="858"/>
      <c r="C16" s="941"/>
      <c r="D16" s="941"/>
      <c r="E16" s="941"/>
      <c r="F16" s="941"/>
      <c r="G16" s="931"/>
      <c r="H16" s="858"/>
      <c r="I16" s="931"/>
      <c r="K16" s="931"/>
      <c r="L16" s="931"/>
      <c r="M16" s="931"/>
      <c r="N16" s="931"/>
      <c r="O16" s="931"/>
      <c r="P16" s="931"/>
      <c r="Q16" s="931"/>
      <c r="R16" s="932"/>
      <c r="S16" s="930"/>
      <c r="T16" s="932"/>
      <c r="U16" s="932"/>
      <c r="V16" s="930"/>
    </row>
    <row r="17" spans="1:22" s="834" customFormat="1" ht="15.6">
      <c r="A17" s="936"/>
      <c r="B17" s="858"/>
      <c r="C17" s="898"/>
      <c r="D17" s="898"/>
      <c r="E17" s="898"/>
      <c r="F17" s="898"/>
      <c r="G17" s="931"/>
      <c r="H17" s="858"/>
      <c r="I17" s="931"/>
      <c r="K17" s="931"/>
      <c r="L17" s="931"/>
      <c r="M17" s="931"/>
      <c r="N17" s="931"/>
      <c r="O17" s="931"/>
      <c r="P17" s="931"/>
      <c r="Q17" s="931"/>
      <c r="R17" s="932"/>
      <c r="S17" s="930"/>
      <c r="T17" s="932"/>
      <c r="U17" s="932"/>
      <c r="V17" s="930"/>
    </row>
    <row r="18" spans="1:22" s="834" customFormat="1" ht="15">
      <c r="A18" s="942">
        <v>1</v>
      </c>
      <c r="B18" s="858"/>
      <c r="C18" s="898" t="s">
        <v>577</v>
      </c>
      <c r="D18" s="898"/>
      <c r="E18" s="898"/>
      <c r="F18" s="898"/>
      <c r="G18" s="943" t="s">
        <v>578</v>
      </c>
      <c r="H18" s="858"/>
      <c r="I18" s="942"/>
      <c r="K18" s="944">
        <f>+'B2-Plant'!Q41</f>
        <v>2571966968.9999995</v>
      </c>
      <c r="L18" s="858"/>
      <c r="M18" s="858"/>
      <c r="N18" s="858"/>
      <c r="O18" s="858"/>
      <c r="P18" s="931"/>
      <c r="Q18" s="931"/>
      <c r="R18" s="932"/>
      <c r="S18" s="930"/>
      <c r="T18" s="932"/>
      <c r="U18" s="932"/>
      <c r="V18" s="930"/>
    </row>
    <row r="19" spans="1:22" s="834" customFormat="1" ht="15">
      <c r="A19" s="942" t="s">
        <v>167</v>
      </c>
      <c r="B19" s="858"/>
      <c r="C19" s="898" t="s">
        <v>579</v>
      </c>
      <c r="D19" s="898"/>
      <c r="E19" s="898"/>
      <c r="F19" s="898"/>
      <c r="G19" s="943" t="s">
        <v>580</v>
      </c>
      <c r="H19" s="858"/>
      <c r="I19" s="942"/>
      <c r="K19" s="945">
        <f>+'B2-Plant'!R41</f>
        <v>1271400079.8300002</v>
      </c>
      <c r="L19" s="858"/>
      <c r="M19" s="858"/>
      <c r="N19" s="858"/>
      <c r="O19" s="858"/>
      <c r="P19" s="931"/>
      <c r="Q19" s="931"/>
      <c r="R19" s="932"/>
      <c r="S19" s="930"/>
      <c r="T19" s="932"/>
      <c r="U19" s="932"/>
      <c r="V19" s="930"/>
    </row>
    <row r="20" spans="1:22" s="834" customFormat="1" ht="15">
      <c r="A20" s="942" t="s">
        <v>171</v>
      </c>
      <c r="B20" s="858"/>
      <c r="C20" s="898" t="s">
        <v>581</v>
      </c>
      <c r="D20" s="898"/>
      <c r="E20" s="898"/>
      <c r="F20" s="898"/>
      <c r="G20" s="943" t="s">
        <v>582</v>
      </c>
      <c r="H20" s="858"/>
      <c r="I20" s="942"/>
      <c r="K20" s="946">
        <f>'C1-Rate Base'!D28+'C1-Rate Base'!D29+'C1-Rate Base'!D27</f>
        <v>166427259.02000001</v>
      </c>
      <c r="L20" s="858"/>
      <c r="M20" s="858"/>
      <c r="N20" s="858"/>
      <c r="O20" s="858"/>
      <c r="P20" s="931"/>
      <c r="Q20" s="931"/>
      <c r="R20" s="932"/>
      <c r="S20" s="930"/>
      <c r="T20" s="932"/>
      <c r="U20" s="932"/>
      <c r="V20" s="930"/>
    </row>
    <row r="21" spans="1:22" s="834" customFormat="1" ht="15">
      <c r="A21" s="942">
        <v>2</v>
      </c>
      <c r="B21" s="858"/>
      <c r="C21" s="898" t="s">
        <v>583</v>
      </c>
      <c r="D21" s="898"/>
      <c r="E21" s="898"/>
      <c r="F21" s="898"/>
      <c r="G21" s="943" t="s">
        <v>584</v>
      </c>
      <c r="H21" s="858"/>
      <c r="I21" s="942"/>
      <c r="K21" s="945">
        <f>+K18-K19+K20</f>
        <v>1466994148.1899993</v>
      </c>
      <c r="L21" s="858"/>
      <c r="M21" s="858"/>
      <c r="N21" s="858"/>
      <c r="O21" s="858"/>
      <c r="P21" s="931"/>
      <c r="Q21" s="931"/>
      <c r="R21" s="932"/>
      <c r="S21" s="930"/>
      <c r="T21" s="932"/>
      <c r="U21" s="932"/>
      <c r="V21" s="930"/>
    </row>
    <row r="22" spans="1:22" s="834" customFormat="1" ht="15">
      <c r="A22" s="942"/>
      <c r="B22" s="858"/>
      <c r="C22" s="858"/>
      <c r="D22" s="858"/>
      <c r="E22" s="858"/>
      <c r="F22" s="858"/>
      <c r="G22" s="943"/>
      <c r="H22" s="858"/>
      <c r="I22" s="942"/>
      <c r="K22" s="858"/>
      <c r="L22" s="858"/>
      <c r="M22" s="947"/>
      <c r="N22" s="931"/>
      <c r="O22" s="931"/>
      <c r="P22" s="931"/>
      <c r="Q22" s="931"/>
      <c r="R22" s="932"/>
      <c r="S22" s="932"/>
      <c r="T22" s="932"/>
      <c r="U22" s="932"/>
      <c r="V22" s="930"/>
    </row>
    <row r="23" spans="1:22" s="834" customFormat="1" ht="15">
      <c r="A23" s="942"/>
      <c r="B23" s="858"/>
      <c r="C23" s="898" t="s">
        <v>585</v>
      </c>
      <c r="D23" s="898"/>
      <c r="E23" s="898"/>
      <c r="F23" s="898"/>
      <c r="G23" s="943"/>
      <c r="H23" s="858"/>
      <c r="I23" s="942"/>
      <c r="K23" s="931"/>
      <c r="L23" s="931"/>
      <c r="M23" s="947"/>
      <c r="N23" s="858"/>
      <c r="O23" s="858"/>
      <c r="P23" s="931"/>
      <c r="Q23" s="931"/>
      <c r="R23" s="932"/>
      <c r="S23" s="932"/>
      <c r="T23" s="932"/>
      <c r="U23" s="932"/>
      <c r="V23" s="930"/>
    </row>
    <row r="24" spans="1:22" s="834" customFormat="1" ht="15">
      <c r="A24" s="942">
        <v>3</v>
      </c>
      <c r="B24" s="858"/>
      <c r="C24" s="898" t="s">
        <v>586</v>
      </c>
      <c r="D24" s="898"/>
      <c r="E24" s="898"/>
      <c r="F24" s="898"/>
      <c r="G24" s="943" t="s">
        <v>587</v>
      </c>
      <c r="H24" s="858"/>
      <c r="I24" s="942"/>
      <c r="K24" s="945">
        <f>+'A1-O&amp;M'!J40+'A2-A&amp;G'!J42</f>
        <v>144439587.0670971</v>
      </c>
      <c r="L24" s="931"/>
      <c r="M24" s="947"/>
      <c r="N24" s="948"/>
      <c r="O24" s="948"/>
      <c r="P24" s="931"/>
      <c r="Q24" s="931"/>
      <c r="R24" s="949"/>
      <c r="S24" s="950"/>
      <c r="T24" s="951"/>
      <c r="U24" s="932"/>
      <c r="V24" s="930"/>
    </row>
    <row r="25" spans="1:22" s="834" customFormat="1" ht="15">
      <c r="A25" s="942"/>
      <c r="B25" s="858"/>
      <c r="C25" s="898"/>
      <c r="D25" s="898"/>
      <c r="E25" s="898"/>
      <c r="F25" s="898"/>
      <c r="G25" s="943"/>
      <c r="H25" s="858"/>
      <c r="I25" s="942"/>
      <c r="K25" s="952"/>
      <c r="L25" s="952"/>
      <c r="M25" s="947"/>
      <c r="N25" s="858"/>
      <c r="O25" s="858"/>
      <c r="P25" s="931"/>
      <c r="Q25" s="931"/>
      <c r="R25" s="937"/>
      <c r="S25" s="932"/>
      <c r="T25" s="953"/>
      <c r="U25" s="933"/>
      <c r="V25" s="930"/>
    </row>
    <row r="26" spans="1:22" s="834" customFormat="1" ht="15.6">
      <c r="A26" s="939"/>
      <c r="B26" s="858"/>
      <c r="C26" s="898" t="s">
        <v>588</v>
      </c>
      <c r="D26" s="898"/>
      <c r="E26" s="898"/>
      <c r="F26" s="898"/>
      <c r="G26" s="954" t="s">
        <v>589</v>
      </c>
      <c r="H26" s="858"/>
      <c r="I26" s="833"/>
      <c r="K26" s="952"/>
      <c r="L26" s="952"/>
      <c r="M26" s="947"/>
      <c r="N26" s="955"/>
      <c r="O26" s="955"/>
      <c r="P26" s="931"/>
      <c r="Q26" s="931"/>
      <c r="U26" s="932"/>
      <c r="V26" s="930"/>
    </row>
    <row r="27" spans="1:22" s="834" customFormat="1" ht="15">
      <c r="A27" s="939" t="s">
        <v>590</v>
      </c>
      <c r="B27" s="858"/>
      <c r="C27" s="898" t="s">
        <v>591</v>
      </c>
      <c r="D27" s="898"/>
      <c r="E27" s="898"/>
      <c r="F27" s="898"/>
      <c r="G27" s="943" t="s">
        <v>592</v>
      </c>
      <c r="H27" s="858"/>
      <c r="I27" s="942"/>
      <c r="K27" s="945">
        <f>'B1-Depn'!N50</f>
        <v>19241748.491836745</v>
      </c>
      <c r="L27" s="952"/>
      <c r="M27" s="947"/>
      <c r="N27" s="931"/>
      <c r="O27" s="931"/>
      <c r="P27" s="931"/>
      <c r="Q27" s="931"/>
      <c r="R27" s="932"/>
      <c r="S27" s="932"/>
      <c r="T27" s="956"/>
      <c r="U27" s="932"/>
      <c r="V27" s="930"/>
    </row>
    <row r="28" spans="1:22" s="834" customFormat="1" ht="15">
      <c r="A28" s="939"/>
      <c r="B28" s="858"/>
      <c r="C28" s="898"/>
      <c r="D28" s="898"/>
      <c r="E28" s="898"/>
      <c r="F28" s="898"/>
      <c r="G28" s="943"/>
      <c r="H28" s="858"/>
      <c r="I28" s="942"/>
      <c r="K28" s="957"/>
      <c r="L28" s="952"/>
      <c r="M28" s="947"/>
      <c r="N28" s="931"/>
      <c r="O28" s="931"/>
      <c r="P28" s="931"/>
      <c r="Q28" s="931"/>
      <c r="R28" s="932"/>
      <c r="S28" s="932"/>
      <c r="T28" s="956"/>
      <c r="U28" s="932"/>
      <c r="V28" s="930"/>
    </row>
    <row r="29" spans="1:22" s="834" customFormat="1" ht="15.6">
      <c r="A29" s="939" t="s">
        <v>593</v>
      </c>
      <c r="B29" s="858"/>
      <c r="C29" s="941" t="s">
        <v>594</v>
      </c>
      <c r="D29" s="941"/>
      <c r="E29" s="898"/>
      <c r="F29" s="898"/>
      <c r="G29" s="943" t="s">
        <v>595</v>
      </c>
      <c r="H29" s="858"/>
      <c r="I29" s="942"/>
      <c r="K29" s="1427">
        <f>(K24+K27)/K18</f>
        <v>6.3640527865167107E-2</v>
      </c>
      <c r="L29" s="1427"/>
      <c r="M29" s="1427">
        <f>K29</f>
        <v>6.3640527865167107E-2</v>
      </c>
      <c r="N29" s="931"/>
      <c r="O29" s="931"/>
      <c r="P29" s="931"/>
      <c r="Q29" s="931"/>
      <c r="U29" s="933"/>
      <c r="V29" s="932" t="s">
        <v>596</v>
      </c>
    </row>
    <row r="30" spans="1:22" s="834" customFormat="1" ht="18.75" customHeight="1">
      <c r="A30" s="939"/>
      <c r="B30" s="858"/>
      <c r="C30" s="898"/>
      <c r="D30" s="898"/>
      <c r="E30" s="898"/>
      <c r="F30" s="898"/>
      <c r="G30" s="943"/>
      <c r="H30" s="858"/>
      <c r="I30" s="942"/>
      <c r="K30" s="952"/>
      <c r="L30" s="952"/>
      <c r="M30" s="947"/>
      <c r="N30" s="931"/>
      <c r="O30" s="931"/>
      <c r="P30" s="931"/>
      <c r="Q30" s="931"/>
      <c r="R30" s="959"/>
      <c r="S30" s="932"/>
      <c r="T30" s="932"/>
      <c r="U30" s="932"/>
      <c r="V30" s="930"/>
    </row>
    <row r="31" spans="1:22" s="834" customFormat="1" ht="15">
      <c r="A31" s="939"/>
      <c r="B31" s="858"/>
      <c r="C31" s="898" t="s">
        <v>597</v>
      </c>
      <c r="D31" s="898"/>
      <c r="E31" s="898"/>
      <c r="F31" s="898"/>
      <c r="G31" s="960"/>
      <c r="H31" s="858"/>
      <c r="I31" s="961"/>
      <c r="K31" s="952"/>
      <c r="L31" s="952"/>
      <c r="M31" s="947"/>
      <c r="N31" s="858"/>
      <c r="O31" s="858"/>
      <c r="P31" s="898"/>
      <c r="Q31" s="898"/>
      <c r="R31" s="930"/>
      <c r="S31" s="932"/>
      <c r="T31" s="932"/>
      <c r="U31" s="932"/>
      <c r="V31" s="930"/>
    </row>
    <row r="32" spans="1:22" s="834" customFormat="1" ht="15">
      <c r="A32" s="939" t="s">
        <v>598</v>
      </c>
      <c r="B32" s="858"/>
      <c r="C32" s="898" t="s">
        <v>122</v>
      </c>
      <c r="D32" s="898"/>
      <c r="E32" s="898"/>
      <c r="F32" s="898"/>
      <c r="G32" s="943" t="s">
        <v>599</v>
      </c>
      <c r="H32" s="858"/>
      <c r="I32" s="942"/>
      <c r="K32" s="945">
        <f>'C1-Rate Base'!P31</f>
        <v>118726483.24574803</v>
      </c>
      <c r="L32" s="952"/>
      <c r="M32" s="947"/>
      <c r="N32" s="858"/>
      <c r="O32" s="858"/>
      <c r="P32" s="898"/>
      <c r="Q32" s="898"/>
      <c r="R32" s="930"/>
      <c r="S32" s="932"/>
      <c r="T32" s="932"/>
      <c r="U32" s="932"/>
      <c r="V32" s="930"/>
    </row>
    <row r="33" spans="1:24" s="834" customFormat="1" ht="15">
      <c r="A33" s="939"/>
      <c r="B33" s="858"/>
      <c r="C33" s="898"/>
      <c r="D33" s="898"/>
      <c r="E33" s="898"/>
      <c r="F33" s="898"/>
      <c r="G33" s="943"/>
      <c r="H33" s="858"/>
      <c r="I33" s="942"/>
      <c r="K33" s="952"/>
      <c r="L33" s="952"/>
      <c r="M33" s="947"/>
      <c r="N33" s="858"/>
      <c r="O33" s="858"/>
      <c r="P33" s="898"/>
      <c r="Q33" s="898"/>
      <c r="R33" s="930"/>
      <c r="S33" s="932"/>
      <c r="T33" s="932"/>
      <c r="U33" s="932"/>
      <c r="V33" s="930"/>
    </row>
    <row r="34" spans="1:24" s="834" customFormat="1" ht="15.6">
      <c r="A34" s="939" t="s">
        <v>600</v>
      </c>
      <c r="B34" s="858"/>
      <c r="C34" s="962" t="s">
        <v>601</v>
      </c>
      <c r="D34" s="931"/>
      <c r="E34" s="931"/>
      <c r="F34" s="931"/>
      <c r="G34" s="943" t="s">
        <v>602</v>
      </c>
      <c r="H34" s="858"/>
      <c r="I34" s="942"/>
      <c r="K34" s="1427">
        <f>IF(K21=0,0,K32/K21)</f>
        <v>8.0931804255821096E-2</v>
      </c>
      <c r="L34" s="958"/>
      <c r="M34" s="1427">
        <f>K34</f>
        <v>8.0931804255821096E-2</v>
      </c>
      <c r="N34" s="858"/>
      <c r="O34" s="858"/>
      <c r="P34" s="898"/>
      <c r="Q34" s="898"/>
      <c r="R34" s="930"/>
      <c r="S34" s="932"/>
      <c r="T34" s="932"/>
      <c r="U34" s="932"/>
      <c r="V34" s="930"/>
    </row>
    <row r="35" spans="1:24" s="834" customFormat="1" ht="15">
      <c r="A35" s="939"/>
      <c r="B35" s="858"/>
      <c r="C35" s="898"/>
      <c r="D35" s="898"/>
      <c r="E35" s="898"/>
      <c r="F35" s="898"/>
      <c r="G35" s="943"/>
      <c r="H35" s="858"/>
      <c r="I35" s="942"/>
      <c r="K35" s="952"/>
      <c r="L35" s="952"/>
      <c r="M35" s="947"/>
      <c r="N35" s="858"/>
      <c r="O35" s="858"/>
      <c r="P35" s="898"/>
      <c r="Q35" s="898"/>
      <c r="R35" s="930"/>
      <c r="S35" s="932"/>
      <c r="T35" s="932"/>
      <c r="U35" s="932"/>
      <c r="V35" s="930"/>
    </row>
    <row r="36" spans="1:24" s="834" customFormat="1" ht="15">
      <c r="D36" s="858"/>
      <c r="E36" s="858"/>
      <c r="F36" s="858"/>
      <c r="G36" s="858"/>
      <c r="H36" s="858"/>
      <c r="I36" s="858"/>
      <c r="J36" s="858"/>
      <c r="K36" s="858"/>
      <c r="L36" s="858"/>
      <c r="M36" s="858"/>
      <c r="N36" s="858"/>
      <c r="O36" s="858"/>
      <c r="P36" s="858"/>
      <c r="Q36" s="858"/>
      <c r="R36" s="963"/>
      <c r="S36" s="858"/>
      <c r="T36" s="858"/>
      <c r="U36" s="858"/>
    </row>
    <row r="37" spans="1:24" s="965" customFormat="1" ht="21">
      <c r="A37" s="964"/>
      <c r="D37" s="966"/>
      <c r="E37" s="966"/>
      <c r="F37" s="966"/>
      <c r="G37" s="966"/>
      <c r="H37" s="966"/>
      <c r="I37" s="966"/>
      <c r="J37" s="966"/>
      <c r="K37" s="966"/>
      <c r="L37" s="966"/>
      <c r="M37" s="966"/>
      <c r="N37" s="966"/>
      <c r="O37" s="966"/>
      <c r="P37" s="966"/>
      <c r="Q37" s="966"/>
      <c r="R37" s="967"/>
      <c r="S37" s="966"/>
      <c r="U37" s="966"/>
    </row>
    <row r="38" spans="1:24" s="834" customFormat="1" ht="15.6">
      <c r="A38" s="1478" t="str">
        <f>A4</f>
        <v>Schedule F1</v>
      </c>
      <c r="B38" s="1478"/>
      <c r="C38" s="1478"/>
      <c r="D38" s="1478"/>
      <c r="E38" s="1478"/>
      <c r="F38" s="1478"/>
      <c r="G38" s="1478"/>
      <c r="H38" s="1478"/>
      <c r="I38" s="1478"/>
      <c r="J38" s="1478"/>
      <c r="K38" s="1478"/>
      <c r="L38" s="1478"/>
      <c r="M38" s="1478"/>
      <c r="N38" s="1478"/>
      <c r="O38" s="1478"/>
      <c r="P38" s="1478"/>
      <c r="Q38" s="1478"/>
      <c r="R38" s="1478"/>
      <c r="S38" s="1478"/>
      <c r="T38" s="858"/>
      <c r="U38" s="858"/>
    </row>
    <row r="39" spans="1:24" s="834" customFormat="1" ht="15.6">
      <c r="A39" s="1478" t="str">
        <f>A5</f>
        <v>Project Revenue Requirement Worksheet</v>
      </c>
      <c r="B39" s="1478"/>
      <c r="C39" s="1478"/>
      <c r="D39" s="1478"/>
      <c r="E39" s="1478"/>
      <c r="F39" s="1478"/>
      <c r="G39" s="1478"/>
      <c r="H39" s="1478"/>
      <c r="I39" s="1478"/>
      <c r="J39" s="1478"/>
      <c r="K39" s="1478"/>
      <c r="L39" s="1478"/>
      <c r="M39" s="1478"/>
      <c r="N39" s="1478"/>
      <c r="O39" s="1478"/>
      <c r="P39" s="1478"/>
      <c r="Q39" s="1478"/>
      <c r="R39" s="1478"/>
      <c r="S39" s="1478"/>
      <c r="T39" s="898"/>
      <c r="U39" s="931"/>
      <c r="V39" s="930"/>
    </row>
    <row r="40" spans="1:24" s="834" customFormat="1" ht="15.6">
      <c r="A40" s="1479" t="str">
        <f>A6</f>
        <v>NEW YORK POWER AUTHORITY</v>
      </c>
      <c r="B40" s="1479"/>
      <c r="C40" s="1479"/>
      <c r="D40" s="1479"/>
      <c r="E40" s="1479"/>
      <c r="F40" s="1479"/>
      <c r="G40" s="1479"/>
      <c r="H40" s="1479"/>
      <c r="I40" s="1479"/>
      <c r="J40" s="1479"/>
      <c r="K40" s="1479"/>
      <c r="L40" s="1479"/>
      <c r="M40" s="1479"/>
      <c r="N40" s="1479"/>
      <c r="O40" s="1479"/>
      <c r="P40" s="1479"/>
      <c r="Q40" s="1479"/>
      <c r="R40" s="1479"/>
      <c r="S40" s="1479"/>
      <c r="T40" s="898"/>
      <c r="U40" s="931"/>
      <c r="V40" s="930"/>
    </row>
    <row r="41" spans="1:24" s="834" customFormat="1" ht="15">
      <c r="A41" s="968"/>
      <c r="C41" s="930"/>
      <c r="D41" s="898"/>
      <c r="E41" s="858"/>
      <c r="F41" s="858"/>
      <c r="G41" s="858"/>
      <c r="H41" s="858"/>
      <c r="I41" s="858"/>
      <c r="J41" s="858"/>
      <c r="K41" s="858"/>
      <c r="L41" s="858"/>
      <c r="M41" s="931"/>
      <c r="N41" s="931"/>
      <c r="O41" s="931"/>
      <c r="P41" s="931"/>
      <c r="Q41" s="931"/>
      <c r="R41" s="858"/>
      <c r="S41" s="931"/>
      <c r="T41" s="898"/>
      <c r="U41" s="931"/>
      <c r="V41" s="930"/>
    </row>
    <row r="42" spans="1:24" s="834" customFormat="1">
      <c r="A42" s="968"/>
      <c r="E42" s="969"/>
      <c r="F42" s="969"/>
      <c r="H42" s="930"/>
      <c r="I42" s="930"/>
      <c r="J42" s="930"/>
      <c r="K42" s="930"/>
      <c r="L42" s="930"/>
      <c r="M42" s="930"/>
      <c r="N42" s="930"/>
      <c r="O42" s="930"/>
      <c r="P42" s="932"/>
      <c r="Q42" s="932"/>
      <c r="R42" s="932"/>
      <c r="S42" s="932"/>
      <c r="T42" s="930"/>
      <c r="U42" s="932"/>
      <c r="V42" s="930"/>
    </row>
    <row r="43" spans="1:24" s="834" customFormat="1">
      <c r="A43" s="968"/>
      <c r="C43" s="970">
        <v>-1</v>
      </c>
      <c r="D43" s="970">
        <v>-2</v>
      </c>
      <c r="E43" s="970">
        <v>-3</v>
      </c>
      <c r="F43" s="970">
        <v>-4</v>
      </c>
      <c r="G43" s="970">
        <v>-5</v>
      </c>
      <c r="H43" s="970">
        <v>-6</v>
      </c>
      <c r="I43" s="970">
        <v>-7</v>
      </c>
      <c r="J43" s="970">
        <v>-8</v>
      </c>
      <c r="K43" s="970">
        <v>-9</v>
      </c>
      <c r="L43" s="970">
        <v>-10</v>
      </c>
      <c r="M43" s="970">
        <v>-11</v>
      </c>
      <c r="N43" s="970">
        <v>-12</v>
      </c>
      <c r="O43" s="970">
        <v>-13</v>
      </c>
      <c r="P43" s="971" t="s">
        <v>603</v>
      </c>
      <c r="Q43" s="971" t="s">
        <v>604</v>
      </c>
      <c r="R43" s="971" t="s">
        <v>605</v>
      </c>
      <c r="S43" s="971" t="s">
        <v>606</v>
      </c>
      <c r="T43" s="971">
        <v>-17</v>
      </c>
      <c r="U43" s="971"/>
      <c r="V43" s="971"/>
      <c r="W43" s="971"/>
      <c r="X43" s="971"/>
    </row>
    <row r="44" spans="1:24" s="834" customFormat="1" ht="95.25" customHeight="1">
      <c r="A44" s="1286" t="s">
        <v>7</v>
      </c>
      <c r="B44" s="1287"/>
      <c r="C44" s="1287" t="s">
        <v>607</v>
      </c>
      <c r="D44" s="1288" t="s">
        <v>608</v>
      </c>
      <c r="E44" s="1289" t="s">
        <v>609</v>
      </c>
      <c r="F44" s="1288" t="s">
        <v>610</v>
      </c>
      <c r="G44" s="1288" t="str">
        <f>+C29</f>
        <v>Annual Allocation Factor for Expenses</v>
      </c>
      <c r="H44" s="1289" t="s">
        <v>611</v>
      </c>
      <c r="I44" s="1338" t="s">
        <v>612</v>
      </c>
      <c r="J44" s="1338" t="s">
        <v>613</v>
      </c>
      <c r="K44" s="1339" t="s">
        <v>614</v>
      </c>
      <c r="L44" s="1338" t="s">
        <v>615</v>
      </c>
      <c r="M44" s="1340" t="s">
        <v>616</v>
      </c>
      <c r="N44" s="1340" t="s">
        <v>617</v>
      </c>
      <c r="O44" s="1341" t="s">
        <v>618</v>
      </c>
      <c r="P44" s="1342" t="s">
        <v>619</v>
      </c>
      <c r="Q44" s="1342" t="str">
        <f>Index!D19</f>
        <v xml:space="preserve">PROJECT SPECIFIC CAPITAL STRUCTURE AND COST OF CAPITAL </v>
      </c>
      <c r="R44" s="1340" t="s">
        <v>620</v>
      </c>
      <c r="S44" s="1340" t="s">
        <v>621</v>
      </c>
      <c r="T44" s="1340" t="s">
        <v>622</v>
      </c>
    </row>
    <row r="45" spans="1:24" s="834" customFormat="1" ht="58.5" customHeight="1">
      <c r="A45" s="1343"/>
      <c r="B45" s="1344"/>
      <c r="C45" s="1345"/>
      <c r="D45" s="1345"/>
      <c r="E45" s="1346" t="s">
        <v>623</v>
      </c>
      <c r="F45" s="1346"/>
      <c r="G45" s="1346" t="s">
        <v>624</v>
      </c>
      <c r="H45" s="1347" t="s">
        <v>625</v>
      </c>
      <c r="I45" s="1346" t="s">
        <v>626</v>
      </c>
      <c r="J45" s="1346" t="s">
        <v>627</v>
      </c>
      <c r="K45" s="1348" t="s">
        <v>628</v>
      </c>
      <c r="L45" s="1346" t="s">
        <v>629</v>
      </c>
      <c r="M45" s="1348" t="s">
        <v>630</v>
      </c>
      <c r="N45" s="1346" t="s">
        <v>631</v>
      </c>
      <c r="O45" s="1349" t="s">
        <v>632</v>
      </c>
      <c r="P45" s="1350" t="s">
        <v>633</v>
      </c>
      <c r="Q45" s="1350" t="s">
        <v>40</v>
      </c>
      <c r="R45" s="1351" t="s">
        <v>634</v>
      </c>
      <c r="S45" s="1352" t="s">
        <v>635</v>
      </c>
      <c r="T45" s="1351" t="s">
        <v>636</v>
      </c>
    </row>
    <row r="46" spans="1:24" s="834" customFormat="1">
      <c r="A46" s="1290"/>
      <c r="B46" s="1291"/>
      <c r="C46" s="1291"/>
      <c r="D46" s="1291"/>
      <c r="E46" s="1291"/>
      <c r="F46" s="1292"/>
      <c r="G46" s="1291"/>
      <c r="H46" s="1292"/>
      <c r="I46" s="1291"/>
      <c r="J46" s="1291"/>
      <c r="K46" s="1353"/>
      <c r="L46" s="1291"/>
      <c r="M46" s="1353"/>
      <c r="N46" s="1353"/>
      <c r="O46" s="1291"/>
      <c r="P46" s="972"/>
      <c r="Q46" s="972"/>
      <c r="R46" s="1353"/>
      <c r="S46" s="1293"/>
      <c r="T46" s="1354"/>
    </row>
    <row r="47" spans="1:24" s="834" customFormat="1">
      <c r="A47" s="973" t="s">
        <v>167</v>
      </c>
      <c r="B47" s="974"/>
      <c r="C47" s="846" t="str">
        <f>+'F3-True-Up'!B20</f>
        <v>NTAC Facilities</v>
      </c>
      <c r="D47" s="975">
        <v>0</v>
      </c>
      <c r="E47" s="996">
        <f>+'B2-Plant'!Q41-SUM(E48:E65)</f>
        <v>2506765994.4999995</v>
      </c>
      <c r="F47" s="977">
        <f>+'B2-Plant'!R41-SUM(F48:F65)</f>
        <v>1267466561.3300002</v>
      </c>
      <c r="G47" s="976">
        <f>+K29</f>
        <v>6.3640527865167107E-2</v>
      </c>
      <c r="H47" s="977">
        <f>+E47*G47</f>
        <v>159531911.12443057</v>
      </c>
      <c r="I47" s="977">
        <f>'B2-Plant'!T41-SUM(I48:I65)+I49</f>
        <v>1239299433.1699996</v>
      </c>
      <c r="J47" s="976">
        <f>+M34</f>
        <v>8.0931804255821096E-2</v>
      </c>
      <c r="K47" s="978">
        <f>I47*J47</f>
        <v>100298739.13966444</v>
      </c>
      <c r="L47" s="979">
        <f>'B1-Depn'!H50-SUM(L48:L65)</f>
        <v>46344926.560000002</v>
      </c>
      <c r="M47" s="978">
        <f>+H47+K47+L47</f>
        <v>306175576.82409501</v>
      </c>
      <c r="N47" s="978">
        <v>0</v>
      </c>
      <c r="O47" s="846">
        <f>+'F2-Incentives'!K$25*'F1-Proj RR'!N47/100*'F1-Proj RR'!I47</f>
        <v>0</v>
      </c>
      <c r="P47" s="877"/>
      <c r="Q47" s="972"/>
      <c r="R47" s="978">
        <f>+M47+O47+P47+Q47</f>
        <v>306175576.82409501</v>
      </c>
      <c r="S47" s="977">
        <f>+'F3-True-Up'!J20</f>
        <v>30981048.496552136</v>
      </c>
      <c r="T47" s="978">
        <f>+R47+S47</f>
        <v>337156625.32064712</v>
      </c>
    </row>
    <row r="48" spans="1:24" s="834" customFormat="1">
      <c r="A48" s="973" t="s">
        <v>171</v>
      </c>
      <c r="B48" s="974"/>
      <c r="C48" s="846" t="s">
        <v>637</v>
      </c>
      <c r="D48" s="975">
        <v>0</v>
      </c>
      <c r="E48" s="977">
        <f>+'WP-BJ'!N28</f>
        <v>48367046.5</v>
      </c>
      <c r="F48" s="977">
        <f>+'WP-BJ'!O28</f>
        <v>3901968</v>
      </c>
      <c r="G48" s="976">
        <f>+G47</f>
        <v>6.3640527865167107E-2</v>
      </c>
      <c r="H48" s="977">
        <f t="shared" ref="H48:H65" si="0">+E48*G48</f>
        <v>3078104.3705390831</v>
      </c>
      <c r="I48" s="977">
        <f>+'WP-BJ'!P28</f>
        <v>44465078.5</v>
      </c>
      <c r="J48" s="976">
        <f>+J47</f>
        <v>8.0931804255821096E-2</v>
      </c>
      <c r="K48" s="978">
        <f t="shared" ref="K48:K65" si="1">I48*J48</f>
        <v>3598639.029381719</v>
      </c>
      <c r="L48" s="979">
        <f>+'WP-BJ'!I28</f>
        <v>765940</v>
      </c>
      <c r="M48" s="978">
        <f t="shared" ref="M48:M65" si="2">+H48+K48+L48</f>
        <v>7442683.3999208026</v>
      </c>
      <c r="N48" s="980">
        <v>0</v>
      </c>
      <c r="O48" s="846">
        <f>+'F2-Incentives'!K$25*'F1-Proj RR'!N48/100*'F1-Proj RR'!I48</f>
        <v>0</v>
      </c>
      <c r="P48" s="877"/>
      <c r="Q48" s="981">
        <f>+'D2-Project Cap Structures'!H35</f>
        <v>69357.992609450594</v>
      </c>
      <c r="R48" s="978">
        <f t="shared" ref="R48:R65" si="3">+M48+O48+P48+Q48</f>
        <v>7512041.3925302532</v>
      </c>
      <c r="S48" s="977">
        <f>+'F3-True-Up'!J21</f>
        <v>-946579.1746424021</v>
      </c>
      <c r="T48" s="978">
        <f>+R48+S48</f>
        <v>6565462.2178878514</v>
      </c>
    </row>
    <row r="49" spans="1:20" s="834" customFormat="1">
      <c r="A49" s="973" t="s">
        <v>174</v>
      </c>
      <c r="B49" s="974"/>
      <c r="C49" s="846" t="s">
        <v>638</v>
      </c>
      <c r="D49" s="975">
        <v>0</v>
      </c>
      <c r="E49" s="977">
        <f>+'WP-BJ'!N40</f>
        <v>0</v>
      </c>
      <c r="F49" s="977">
        <f>+'WP-BJ'!O40</f>
        <v>0</v>
      </c>
      <c r="G49" s="976">
        <f>+G48</f>
        <v>6.3640527865167107E-2</v>
      </c>
      <c r="H49" s="977">
        <f>+E49*G49</f>
        <v>0</v>
      </c>
      <c r="I49" s="977">
        <f>'C1-Rate Base'!D27</f>
        <v>166427259.02000001</v>
      </c>
      <c r="J49" s="976">
        <f>+J48</f>
        <v>8.0931804255821096E-2</v>
      </c>
      <c r="K49" s="978">
        <f>I49*J49</f>
        <v>13469258.349839477</v>
      </c>
      <c r="L49" s="979">
        <f>+'WP-BJ'!I40</f>
        <v>0</v>
      </c>
      <c r="M49" s="978">
        <f t="shared" si="2"/>
        <v>13469258.349839477</v>
      </c>
      <c r="N49" s="980">
        <v>0</v>
      </c>
      <c r="O49" s="846">
        <f>+'F2-Incentives'!K$25*'F1-Proj RR'!N49/100*'F1-Proj RR'!I49</f>
        <v>0</v>
      </c>
      <c r="P49" s="877"/>
      <c r="Q49" s="981">
        <f>+'D2-Project Cap Structures'!H51</f>
        <v>416068.14754999988</v>
      </c>
      <c r="R49" s="978">
        <f t="shared" si="3"/>
        <v>13885326.497389477</v>
      </c>
      <c r="S49" s="977">
        <f>+'F3-True-Up'!J22</f>
        <v>10848226.878727922</v>
      </c>
      <c r="T49" s="978">
        <f>+R49+S49</f>
        <v>24733553.376117401</v>
      </c>
    </row>
    <row r="50" spans="1:20" s="834" customFormat="1">
      <c r="A50" s="973" t="s">
        <v>177</v>
      </c>
      <c r="B50" s="974"/>
      <c r="C50" s="846" t="s">
        <v>639</v>
      </c>
      <c r="D50" s="975">
        <v>0</v>
      </c>
      <c r="E50" s="977">
        <f>+'WP-BJ'!N52</f>
        <v>16833928</v>
      </c>
      <c r="F50" s="977">
        <f>+'WP-BJ'!O52</f>
        <v>31550.5</v>
      </c>
      <c r="G50" s="976">
        <f t="shared" ref="G50:G65" si="4">+G49</f>
        <v>6.3640527865167107E-2</v>
      </c>
      <c r="H50" s="977">
        <f t="shared" si="0"/>
        <v>1071320.0639642167</v>
      </c>
      <c r="I50" s="977">
        <f>+'WP-BJ'!P52</f>
        <v>16802377.5</v>
      </c>
      <c r="J50" s="976">
        <f t="shared" ref="J50:J65" si="5">+J49</f>
        <v>8.0931804255821096E-2</v>
      </c>
      <c r="K50" s="978">
        <f t="shared" si="1"/>
        <v>1359846.7268624126</v>
      </c>
      <c r="L50" s="979">
        <f>+'WP-BJ'!I52</f>
        <v>63101</v>
      </c>
      <c r="M50" s="978">
        <f t="shared" si="2"/>
        <v>2494267.7908266294</v>
      </c>
      <c r="N50" s="980">
        <v>0</v>
      </c>
      <c r="O50" s="846">
        <f>+'F2-Incentives'!K$25*'F1-Proj RR'!N50/100*'F1-Proj RR'!I50</f>
        <v>0</v>
      </c>
      <c r="P50" s="1156"/>
      <c r="Q50" s="981">
        <f>+'D2-Project Cap Structures'!H67</f>
        <v>42005.94374999986</v>
      </c>
      <c r="R50" s="1157">
        <f t="shared" si="3"/>
        <v>2536273.7345766295</v>
      </c>
      <c r="S50" s="977">
        <f>+'F3-True-Up'!J23</f>
        <v>0</v>
      </c>
      <c r="T50" s="978">
        <f>+R50+S50</f>
        <v>2536273.7345766295</v>
      </c>
    </row>
    <row r="51" spans="1:20" s="834" customFormat="1">
      <c r="A51" s="973" t="s">
        <v>237</v>
      </c>
      <c r="B51" s="974"/>
      <c r="C51" s="975"/>
      <c r="D51" s="975">
        <v>0</v>
      </c>
      <c r="E51" s="982"/>
      <c r="F51" s="982"/>
      <c r="G51" s="976">
        <f t="shared" si="4"/>
        <v>6.3640527865167107E-2</v>
      </c>
      <c r="H51" s="977">
        <f t="shared" si="0"/>
        <v>0</v>
      </c>
      <c r="I51" s="847"/>
      <c r="J51" s="976">
        <f t="shared" si="5"/>
        <v>8.0931804255821096E-2</v>
      </c>
      <c r="K51" s="978">
        <f t="shared" si="1"/>
        <v>0</v>
      </c>
      <c r="L51" s="983"/>
      <c r="M51" s="978">
        <f t="shared" si="2"/>
        <v>0</v>
      </c>
      <c r="N51" s="980">
        <v>0</v>
      </c>
      <c r="O51" s="846">
        <f>+'F2-Incentives'!K$25*'F1-Proj RR'!N51/100*'F1-Proj RR'!I51</f>
        <v>0</v>
      </c>
      <c r="P51" s="877"/>
      <c r="Q51" s="877"/>
      <c r="R51" s="978">
        <f t="shared" si="3"/>
        <v>0</v>
      </c>
      <c r="S51" s="847">
        <f>+'F3-True-Up'!J24</f>
        <v>0</v>
      </c>
      <c r="T51" s="978">
        <f>+R51+S51</f>
        <v>0</v>
      </c>
    </row>
    <row r="52" spans="1:20" s="834" customFormat="1">
      <c r="A52" s="973" t="s">
        <v>241</v>
      </c>
      <c r="B52" s="974"/>
      <c r="C52" s="975">
        <v>0</v>
      </c>
      <c r="D52" s="975">
        <v>0</v>
      </c>
      <c r="E52" s="982">
        <v>0</v>
      </c>
      <c r="F52" s="847">
        <v>0</v>
      </c>
      <c r="G52" s="976">
        <f t="shared" si="4"/>
        <v>6.3640527865167107E-2</v>
      </c>
      <c r="H52" s="977">
        <f t="shared" si="0"/>
        <v>0</v>
      </c>
      <c r="I52" s="847">
        <v>0</v>
      </c>
      <c r="J52" s="976">
        <f t="shared" si="5"/>
        <v>8.0931804255821096E-2</v>
      </c>
      <c r="K52" s="978">
        <f t="shared" si="1"/>
        <v>0</v>
      </c>
      <c r="L52" s="983">
        <v>0</v>
      </c>
      <c r="M52" s="978">
        <f t="shared" si="2"/>
        <v>0</v>
      </c>
      <c r="N52" s="980">
        <v>0</v>
      </c>
      <c r="O52" s="846">
        <f>+'F2-Incentives'!K$25*'F1-Proj RR'!N52/100*'F1-Proj RR'!I52</f>
        <v>0</v>
      </c>
      <c r="P52" s="877"/>
      <c r="Q52" s="877"/>
      <c r="R52" s="978">
        <f t="shared" si="3"/>
        <v>0</v>
      </c>
      <c r="S52" s="982">
        <v>0</v>
      </c>
      <c r="T52" s="978">
        <f t="shared" ref="T52:T66" si="6">M52+S52</f>
        <v>0</v>
      </c>
    </row>
    <row r="53" spans="1:20" s="834" customFormat="1">
      <c r="A53" s="973" t="s">
        <v>246</v>
      </c>
      <c r="B53" s="974"/>
      <c r="C53" s="975">
        <v>0</v>
      </c>
      <c r="D53" s="975">
        <v>0</v>
      </c>
      <c r="E53" s="982">
        <v>0</v>
      </c>
      <c r="F53" s="847">
        <v>0</v>
      </c>
      <c r="G53" s="976">
        <f t="shared" si="4"/>
        <v>6.3640527865167107E-2</v>
      </c>
      <c r="H53" s="977">
        <f t="shared" si="0"/>
        <v>0</v>
      </c>
      <c r="I53" s="847">
        <v>0</v>
      </c>
      <c r="J53" s="976">
        <f t="shared" si="5"/>
        <v>8.0931804255821096E-2</v>
      </c>
      <c r="K53" s="978">
        <f t="shared" si="1"/>
        <v>0</v>
      </c>
      <c r="L53" s="983">
        <v>0</v>
      </c>
      <c r="M53" s="978">
        <f t="shared" si="2"/>
        <v>0</v>
      </c>
      <c r="N53" s="980">
        <v>0</v>
      </c>
      <c r="O53" s="846">
        <f>+'F2-Incentives'!K$25*'F1-Proj RR'!N53/100*'F1-Proj RR'!I53</f>
        <v>0</v>
      </c>
      <c r="P53" s="877"/>
      <c r="Q53" s="877"/>
      <c r="R53" s="978">
        <f t="shared" si="3"/>
        <v>0</v>
      </c>
      <c r="S53" s="982">
        <v>0</v>
      </c>
      <c r="T53" s="978">
        <f t="shared" si="6"/>
        <v>0</v>
      </c>
    </row>
    <row r="54" spans="1:20" s="834" customFormat="1">
      <c r="A54" s="973" t="s">
        <v>249</v>
      </c>
      <c r="B54" s="974"/>
      <c r="C54" s="975">
        <v>0</v>
      </c>
      <c r="D54" s="975">
        <v>0</v>
      </c>
      <c r="E54" s="982">
        <v>0</v>
      </c>
      <c r="F54" s="847">
        <v>0</v>
      </c>
      <c r="G54" s="976">
        <f t="shared" si="4"/>
        <v>6.3640527865167107E-2</v>
      </c>
      <c r="H54" s="977">
        <f t="shared" si="0"/>
        <v>0</v>
      </c>
      <c r="I54" s="847">
        <v>0</v>
      </c>
      <c r="J54" s="976">
        <f t="shared" si="5"/>
        <v>8.0931804255821096E-2</v>
      </c>
      <c r="K54" s="978">
        <f t="shared" si="1"/>
        <v>0</v>
      </c>
      <c r="L54" s="983">
        <v>0</v>
      </c>
      <c r="M54" s="978">
        <f t="shared" si="2"/>
        <v>0</v>
      </c>
      <c r="N54" s="980">
        <v>0</v>
      </c>
      <c r="O54" s="846">
        <f>+'F2-Incentives'!K$25*'F1-Proj RR'!N54/100*'F1-Proj RR'!I54</f>
        <v>0</v>
      </c>
      <c r="P54" s="877"/>
      <c r="Q54" s="877"/>
      <c r="R54" s="978">
        <f t="shared" si="3"/>
        <v>0</v>
      </c>
      <c r="S54" s="982">
        <v>0</v>
      </c>
      <c r="T54" s="978">
        <f t="shared" si="6"/>
        <v>0</v>
      </c>
    </row>
    <row r="55" spans="1:20" s="834" customFormat="1">
      <c r="A55" s="973" t="s">
        <v>253</v>
      </c>
      <c r="B55" s="974"/>
      <c r="C55" s="975">
        <v>0</v>
      </c>
      <c r="D55" s="975">
        <v>0</v>
      </c>
      <c r="E55" s="982">
        <v>0</v>
      </c>
      <c r="F55" s="847">
        <v>0</v>
      </c>
      <c r="G55" s="976">
        <f t="shared" si="4"/>
        <v>6.3640527865167107E-2</v>
      </c>
      <c r="H55" s="977">
        <f t="shared" si="0"/>
        <v>0</v>
      </c>
      <c r="I55" s="847">
        <v>0</v>
      </c>
      <c r="J55" s="976">
        <f t="shared" si="5"/>
        <v>8.0931804255821096E-2</v>
      </c>
      <c r="K55" s="978">
        <f t="shared" si="1"/>
        <v>0</v>
      </c>
      <c r="L55" s="983">
        <v>0</v>
      </c>
      <c r="M55" s="978">
        <f t="shared" si="2"/>
        <v>0</v>
      </c>
      <c r="N55" s="980">
        <v>0</v>
      </c>
      <c r="O55" s="846">
        <f>+'F2-Incentives'!K$25*'F1-Proj RR'!N55/100*'F1-Proj RR'!I55</f>
        <v>0</v>
      </c>
      <c r="P55" s="877"/>
      <c r="Q55" s="877"/>
      <c r="R55" s="978">
        <f t="shared" si="3"/>
        <v>0</v>
      </c>
      <c r="S55" s="982">
        <v>0</v>
      </c>
      <c r="T55" s="978">
        <f t="shared" si="6"/>
        <v>0</v>
      </c>
    </row>
    <row r="56" spans="1:20" s="834" customFormat="1">
      <c r="A56" s="973" t="s">
        <v>257</v>
      </c>
      <c r="B56" s="974"/>
      <c r="C56" s="975">
        <v>0</v>
      </c>
      <c r="D56" s="975">
        <v>0</v>
      </c>
      <c r="E56" s="975">
        <v>0</v>
      </c>
      <c r="F56" s="847">
        <v>0</v>
      </c>
      <c r="G56" s="976">
        <f t="shared" si="4"/>
        <v>6.3640527865167107E-2</v>
      </c>
      <c r="H56" s="977">
        <f t="shared" si="0"/>
        <v>0</v>
      </c>
      <c r="I56" s="847">
        <v>0</v>
      </c>
      <c r="J56" s="976">
        <f t="shared" si="5"/>
        <v>8.0931804255821096E-2</v>
      </c>
      <c r="K56" s="978">
        <f t="shared" si="1"/>
        <v>0</v>
      </c>
      <c r="L56" s="983">
        <v>0</v>
      </c>
      <c r="M56" s="978">
        <f t="shared" si="2"/>
        <v>0</v>
      </c>
      <c r="N56" s="980">
        <v>0</v>
      </c>
      <c r="O56" s="846">
        <f>+'F2-Incentives'!K$25*'F1-Proj RR'!N56/100*'F1-Proj RR'!I56</f>
        <v>0</v>
      </c>
      <c r="P56" s="877"/>
      <c r="Q56" s="877"/>
      <c r="R56" s="978">
        <f t="shared" si="3"/>
        <v>0</v>
      </c>
      <c r="S56" s="982">
        <v>0</v>
      </c>
      <c r="T56" s="978">
        <f t="shared" si="6"/>
        <v>0</v>
      </c>
    </row>
    <row r="57" spans="1:20" s="834" customFormat="1">
      <c r="A57" s="973" t="s">
        <v>261</v>
      </c>
      <c r="B57" s="974"/>
      <c r="C57" s="975">
        <v>0</v>
      </c>
      <c r="D57" s="975">
        <v>0</v>
      </c>
      <c r="E57" s="975">
        <v>0</v>
      </c>
      <c r="F57" s="847">
        <v>0</v>
      </c>
      <c r="G57" s="976">
        <f t="shared" si="4"/>
        <v>6.3640527865167107E-2</v>
      </c>
      <c r="H57" s="977">
        <f t="shared" si="0"/>
        <v>0</v>
      </c>
      <c r="I57" s="847">
        <v>0</v>
      </c>
      <c r="J57" s="976">
        <f t="shared" si="5"/>
        <v>8.0931804255821096E-2</v>
      </c>
      <c r="K57" s="978">
        <f t="shared" si="1"/>
        <v>0</v>
      </c>
      <c r="L57" s="983">
        <v>0</v>
      </c>
      <c r="M57" s="978">
        <f t="shared" si="2"/>
        <v>0</v>
      </c>
      <c r="N57" s="980">
        <v>0</v>
      </c>
      <c r="O57" s="846">
        <f>+'F2-Incentives'!K$25*'F1-Proj RR'!N57/100*'F1-Proj RR'!I57</f>
        <v>0</v>
      </c>
      <c r="P57" s="877"/>
      <c r="Q57" s="877"/>
      <c r="R57" s="978">
        <f t="shared" si="3"/>
        <v>0</v>
      </c>
      <c r="S57" s="982">
        <v>0</v>
      </c>
      <c r="T57" s="978">
        <f t="shared" si="6"/>
        <v>0</v>
      </c>
    </row>
    <row r="58" spans="1:20" s="834" customFormat="1">
      <c r="A58" s="973" t="s">
        <v>265</v>
      </c>
      <c r="B58" s="974"/>
      <c r="C58" s="975">
        <v>0</v>
      </c>
      <c r="D58" s="975">
        <v>0</v>
      </c>
      <c r="E58" s="975">
        <v>0</v>
      </c>
      <c r="F58" s="847">
        <v>0</v>
      </c>
      <c r="G58" s="976">
        <f t="shared" si="4"/>
        <v>6.3640527865167107E-2</v>
      </c>
      <c r="H58" s="977">
        <f t="shared" si="0"/>
        <v>0</v>
      </c>
      <c r="I58" s="847">
        <v>0</v>
      </c>
      <c r="J58" s="976">
        <f t="shared" si="5"/>
        <v>8.0931804255821096E-2</v>
      </c>
      <c r="K58" s="978">
        <f t="shared" si="1"/>
        <v>0</v>
      </c>
      <c r="L58" s="983">
        <v>0</v>
      </c>
      <c r="M58" s="978">
        <f t="shared" si="2"/>
        <v>0</v>
      </c>
      <c r="N58" s="980">
        <v>0</v>
      </c>
      <c r="O58" s="846">
        <f>+'F2-Incentives'!K$25*'F1-Proj RR'!N58/100*'F1-Proj RR'!I58</f>
        <v>0</v>
      </c>
      <c r="P58" s="877"/>
      <c r="Q58" s="877"/>
      <c r="R58" s="978">
        <f t="shared" si="3"/>
        <v>0</v>
      </c>
      <c r="S58" s="982">
        <v>0</v>
      </c>
      <c r="T58" s="978">
        <f t="shared" si="6"/>
        <v>0</v>
      </c>
    </row>
    <row r="59" spans="1:20" s="834" customFormat="1">
      <c r="A59" s="973" t="s">
        <v>270</v>
      </c>
      <c r="B59" s="974"/>
      <c r="C59" s="975">
        <v>0</v>
      </c>
      <c r="D59" s="975">
        <v>0</v>
      </c>
      <c r="E59" s="975">
        <v>0</v>
      </c>
      <c r="F59" s="847">
        <v>0</v>
      </c>
      <c r="G59" s="976">
        <f t="shared" si="4"/>
        <v>6.3640527865167107E-2</v>
      </c>
      <c r="H59" s="977">
        <f t="shared" si="0"/>
        <v>0</v>
      </c>
      <c r="I59" s="847">
        <v>0</v>
      </c>
      <c r="J59" s="976">
        <f t="shared" si="5"/>
        <v>8.0931804255821096E-2</v>
      </c>
      <c r="K59" s="978">
        <f t="shared" si="1"/>
        <v>0</v>
      </c>
      <c r="L59" s="983">
        <v>0</v>
      </c>
      <c r="M59" s="978">
        <f t="shared" si="2"/>
        <v>0</v>
      </c>
      <c r="N59" s="980">
        <v>0</v>
      </c>
      <c r="O59" s="846">
        <f>+'F2-Incentives'!K$25*'F1-Proj RR'!N59/100*'F1-Proj RR'!I59</f>
        <v>0</v>
      </c>
      <c r="P59" s="877"/>
      <c r="Q59" s="877"/>
      <c r="R59" s="978">
        <f t="shared" si="3"/>
        <v>0</v>
      </c>
      <c r="S59" s="982">
        <v>0</v>
      </c>
      <c r="T59" s="978">
        <f t="shared" si="6"/>
        <v>0</v>
      </c>
    </row>
    <row r="60" spans="1:20" s="834" customFormat="1">
      <c r="A60" s="973" t="s">
        <v>273</v>
      </c>
      <c r="B60" s="974"/>
      <c r="C60" s="975">
        <v>0</v>
      </c>
      <c r="D60" s="975">
        <v>0</v>
      </c>
      <c r="E60" s="975">
        <v>0</v>
      </c>
      <c r="F60" s="847">
        <v>0</v>
      </c>
      <c r="G60" s="976">
        <f t="shared" si="4"/>
        <v>6.3640527865167107E-2</v>
      </c>
      <c r="H60" s="977">
        <f t="shared" si="0"/>
        <v>0</v>
      </c>
      <c r="I60" s="847">
        <v>0</v>
      </c>
      <c r="J60" s="976">
        <f t="shared" si="5"/>
        <v>8.0931804255821096E-2</v>
      </c>
      <c r="K60" s="978">
        <f t="shared" si="1"/>
        <v>0</v>
      </c>
      <c r="L60" s="982">
        <v>0</v>
      </c>
      <c r="M60" s="978">
        <f t="shared" si="2"/>
        <v>0</v>
      </c>
      <c r="N60" s="980">
        <v>0</v>
      </c>
      <c r="O60" s="846">
        <f>+'F2-Incentives'!K$25*'F1-Proj RR'!N60/100*'F1-Proj RR'!I60</f>
        <v>0</v>
      </c>
      <c r="P60" s="877"/>
      <c r="Q60" s="877"/>
      <c r="R60" s="978">
        <f t="shared" si="3"/>
        <v>0</v>
      </c>
      <c r="S60" s="982">
        <v>0</v>
      </c>
      <c r="T60" s="978">
        <f t="shared" si="6"/>
        <v>0</v>
      </c>
    </row>
    <row r="61" spans="1:20" s="834" customFormat="1">
      <c r="A61" s="973" t="s">
        <v>640</v>
      </c>
      <c r="B61" s="974"/>
      <c r="C61" s="975">
        <v>0</v>
      </c>
      <c r="D61" s="975">
        <v>0</v>
      </c>
      <c r="E61" s="975">
        <v>0</v>
      </c>
      <c r="F61" s="847">
        <v>0</v>
      </c>
      <c r="G61" s="976">
        <f t="shared" si="4"/>
        <v>6.3640527865167107E-2</v>
      </c>
      <c r="H61" s="977">
        <f t="shared" si="0"/>
        <v>0</v>
      </c>
      <c r="I61" s="847">
        <v>0</v>
      </c>
      <c r="J61" s="976">
        <f t="shared" si="5"/>
        <v>8.0931804255821096E-2</v>
      </c>
      <c r="K61" s="978">
        <f t="shared" si="1"/>
        <v>0</v>
      </c>
      <c r="L61" s="982">
        <v>0</v>
      </c>
      <c r="M61" s="984">
        <f t="shared" si="2"/>
        <v>0</v>
      </c>
      <c r="N61" s="980">
        <v>0</v>
      </c>
      <c r="O61" s="846">
        <f>+'F2-Incentives'!K$25*'F1-Proj RR'!N61/100*'F1-Proj RR'!I61</f>
        <v>0</v>
      </c>
      <c r="P61" s="877"/>
      <c r="Q61" s="877"/>
      <c r="R61" s="978">
        <f t="shared" si="3"/>
        <v>0</v>
      </c>
      <c r="S61" s="982">
        <v>0</v>
      </c>
      <c r="T61" s="978">
        <f t="shared" si="6"/>
        <v>0</v>
      </c>
    </row>
    <row r="62" spans="1:20" s="834" customFormat="1">
      <c r="A62" s="835"/>
      <c r="C62" s="975">
        <v>0</v>
      </c>
      <c r="D62" s="975">
        <v>0</v>
      </c>
      <c r="E62" s="975">
        <v>0</v>
      </c>
      <c r="F62" s="847">
        <v>0</v>
      </c>
      <c r="G62" s="976">
        <f t="shared" si="4"/>
        <v>6.3640527865167107E-2</v>
      </c>
      <c r="H62" s="977">
        <f t="shared" si="0"/>
        <v>0</v>
      </c>
      <c r="I62" s="847">
        <v>0</v>
      </c>
      <c r="J62" s="976">
        <f t="shared" si="5"/>
        <v>8.0931804255821096E-2</v>
      </c>
      <c r="K62" s="978">
        <f t="shared" si="1"/>
        <v>0</v>
      </c>
      <c r="L62" s="982">
        <v>0</v>
      </c>
      <c r="M62" s="984">
        <f t="shared" si="2"/>
        <v>0</v>
      </c>
      <c r="N62" s="980">
        <v>0</v>
      </c>
      <c r="O62" s="846">
        <f>+'F2-Incentives'!K$25*'F1-Proj RR'!N62/100*'F1-Proj RR'!I62</f>
        <v>0</v>
      </c>
      <c r="P62" s="877"/>
      <c r="Q62" s="877"/>
      <c r="R62" s="978">
        <f t="shared" si="3"/>
        <v>0</v>
      </c>
      <c r="S62" s="982">
        <v>0</v>
      </c>
      <c r="T62" s="978">
        <f t="shared" si="6"/>
        <v>0</v>
      </c>
    </row>
    <row r="63" spans="1:20" s="834" customFormat="1">
      <c r="A63" s="835"/>
      <c r="C63" s="975">
        <v>0</v>
      </c>
      <c r="D63" s="975">
        <v>0</v>
      </c>
      <c r="E63" s="975">
        <v>0</v>
      </c>
      <c r="F63" s="847">
        <v>0</v>
      </c>
      <c r="G63" s="976">
        <f t="shared" si="4"/>
        <v>6.3640527865167107E-2</v>
      </c>
      <c r="H63" s="977">
        <f t="shared" si="0"/>
        <v>0</v>
      </c>
      <c r="I63" s="847">
        <v>0</v>
      </c>
      <c r="J63" s="976">
        <f t="shared" si="5"/>
        <v>8.0931804255821096E-2</v>
      </c>
      <c r="K63" s="978">
        <f t="shared" si="1"/>
        <v>0</v>
      </c>
      <c r="L63" s="982">
        <v>0</v>
      </c>
      <c r="M63" s="984">
        <f t="shared" si="2"/>
        <v>0</v>
      </c>
      <c r="N63" s="980">
        <v>0</v>
      </c>
      <c r="O63" s="846">
        <f>+'F2-Incentives'!K$25*'F1-Proj RR'!N63/100*'F1-Proj RR'!I63</f>
        <v>0</v>
      </c>
      <c r="P63" s="877"/>
      <c r="Q63" s="877"/>
      <c r="R63" s="978">
        <f t="shared" si="3"/>
        <v>0</v>
      </c>
      <c r="S63" s="982">
        <v>0</v>
      </c>
      <c r="T63" s="978">
        <f t="shared" si="6"/>
        <v>0</v>
      </c>
    </row>
    <row r="64" spans="1:20" s="834" customFormat="1">
      <c r="A64" s="835"/>
      <c r="C64" s="975">
        <v>0</v>
      </c>
      <c r="D64" s="975">
        <v>0</v>
      </c>
      <c r="E64" s="975">
        <v>0</v>
      </c>
      <c r="F64" s="847">
        <v>0</v>
      </c>
      <c r="G64" s="976">
        <f t="shared" si="4"/>
        <v>6.3640527865167107E-2</v>
      </c>
      <c r="H64" s="977">
        <f t="shared" si="0"/>
        <v>0</v>
      </c>
      <c r="I64" s="847">
        <v>0</v>
      </c>
      <c r="J64" s="976">
        <f t="shared" si="5"/>
        <v>8.0931804255821096E-2</v>
      </c>
      <c r="K64" s="978">
        <f t="shared" si="1"/>
        <v>0</v>
      </c>
      <c r="L64" s="982">
        <v>0</v>
      </c>
      <c r="M64" s="984">
        <f t="shared" si="2"/>
        <v>0</v>
      </c>
      <c r="N64" s="980">
        <v>0</v>
      </c>
      <c r="O64" s="846">
        <f>+'F2-Incentives'!K$25*'F1-Proj RR'!N64/100*'F1-Proj RR'!I64</f>
        <v>0</v>
      </c>
      <c r="P64" s="877"/>
      <c r="Q64" s="877"/>
      <c r="R64" s="978">
        <f t="shared" si="3"/>
        <v>0</v>
      </c>
      <c r="S64" s="982">
        <v>0</v>
      </c>
      <c r="T64" s="978">
        <f t="shared" si="6"/>
        <v>0</v>
      </c>
    </row>
    <row r="65" spans="1:24" s="834" customFormat="1">
      <c r="A65" s="835"/>
      <c r="C65" s="975">
        <v>0</v>
      </c>
      <c r="D65" s="975">
        <v>0</v>
      </c>
      <c r="E65" s="975">
        <v>0</v>
      </c>
      <c r="F65" s="847">
        <v>0</v>
      </c>
      <c r="G65" s="976">
        <f t="shared" si="4"/>
        <v>6.3640527865167107E-2</v>
      </c>
      <c r="H65" s="977">
        <f t="shared" si="0"/>
        <v>0</v>
      </c>
      <c r="I65" s="847">
        <v>0</v>
      </c>
      <c r="J65" s="976">
        <f t="shared" si="5"/>
        <v>8.0931804255821096E-2</v>
      </c>
      <c r="K65" s="978">
        <f t="shared" si="1"/>
        <v>0</v>
      </c>
      <c r="L65" s="982">
        <v>0</v>
      </c>
      <c r="M65" s="984">
        <f t="shared" si="2"/>
        <v>0</v>
      </c>
      <c r="N65" s="980">
        <v>0</v>
      </c>
      <c r="O65" s="846">
        <f>+'F2-Incentives'!K$25*'F1-Proj RR'!N65/100*'F1-Proj RR'!I65</f>
        <v>0</v>
      </c>
      <c r="P65" s="877"/>
      <c r="Q65" s="877"/>
      <c r="R65" s="978">
        <f t="shared" si="3"/>
        <v>0</v>
      </c>
      <c r="S65" s="982">
        <v>0</v>
      </c>
      <c r="T65" s="978">
        <f t="shared" si="6"/>
        <v>0</v>
      </c>
    </row>
    <row r="66" spans="1:24" s="834" customFormat="1">
      <c r="A66" s="841"/>
      <c r="B66" s="842"/>
      <c r="C66" s="842"/>
      <c r="D66" s="842"/>
      <c r="E66" s="842"/>
      <c r="F66" s="842"/>
      <c r="G66" s="985"/>
      <c r="H66" s="986"/>
      <c r="I66" s="842"/>
      <c r="J66" s="842"/>
      <c r="K66" s="987"/>
      <c r="L66" s="842"/>
      <c r="M66" s="988"/>
      <c r="N66" s="989"/>
      <c r="O66" s="990"/>
      <c r="P66" s="987"/>
      <c r="Q66" s="987"/>
      <c r="R66" s="989"/>
      <c r="S66" s="842"/>
      <c r="T66" s="991">
        <f t="shared" si="6"/>
        <v>0</v>
      </c>
    </row>
    <row r="67" spans="1:24" s="834" customFormat="1">
      <c r="A67" s="940" t="s">
        <v>641</v>
      </c>
      <c r="C67" s="930" t="s">
        <v>157</v>
      </c>
      <c r="D67" s="930"/>
      <c r="E67" s="992">
        <f>SUM(E47:E65)</f>
        <v>2571966968.9999995</v>
      </c>
      <c r="F67" s="992">
        <f>SUM(F47:F65)</f>
        <v>1271400079.8300002</v>
      </c>
      <c r="G67" s="992"/>
      <c r="H67" s="992">
        <f>SUM(H47:H65)</f>
        <v>163681335.55893385</v>
      </c>
      <c r="I67" s="992">
        <f>SUM(I47:I65)</f>
        <v>1466994148.1899996</v>
      </c>
      <c r="J67" s="932"/>
      <c r="K67" s="932"/>
      <c r="L67" s="977">
        <f>SUM(L47:L66)</f>
        <v>47173967.560000002</v>
      </c>
      <c r="M67" s="977">
        <f>SUM(M47:M66)</f>
        <v>329581786.3646819</v>
      </c>
      <c r="N67" s="993"/>
      <c r="O67" s="977">
        <f>SUM(O47:O66)</f>
        <v>0</v>
      </c>
      <c r="R67" s="977">
        <f>SUM(R47:R66)</f>
        <v>330109218.44859141</v>
      </c>
      <c r="S67" s="977">
        <f>SUM(S47:S66)</f>
        <v>40882696.200637653</v>
      </c>
      <c r="T67" s="977">
        <f>SUM(T47:T66)</f>
        <v>370991914.64922905</v>
      </c>
    </row>
    <row r="68" spans="1:24" s="834" customFormat="1">
      <c r="E68" s="977"/>
      <c r="F68" s="977"/>
      <c r="H68" s="977"/>
      <c r="K68" s="977"/>
      <c r="L68" s="977"/>
      <c r="O68" s="977"/>
      <c r="P68" s="977"/>
      <c r="Q68" s="977"/>
      <c r="T68" s="993"/>
      <c r="X68" s="977"/>
    </row>
    <row r="69" spans="1:24" s="834" customFormat="1">
      <c r="A69" s="994"/>
      <c r="L69" s="846"/>
      <c r="M69" s="993"/>
      <c r="N69" s="993"/>
      <c r="O69" s="993"/>
      <c r="U69" s="995"/>
    </row>
    <row r="70" spans="1:24" s="834" customFormat="1"/>
    <row r="71" spans="1:24" s="834" customFormat="1">
      <c r="T71" s="996"/>
    </row>
    <row r="72" spans="1:24" s="834" customFormat="1">
      <c r="A72" s="834" t="s">
        <v>642</v>
      </c>
    </row>
    <row r="73" spans="1:24" s="834" customFormat="1" ht="13.8" thickBot="1">
      <c r="A73" s="997" t="s">
        <v>643</v>
      </c>
    </row>
    <row r="74" spans="1:24" s="834" customFormat="1" ht="12.75" customHeight="1">
      <c r="A74" s="998" t="s">
        <v>550</v>
      </c>
      <c r="C74" s="1476" t="s">
        <v>644</v>
      </c>
      <c r="D74" s="1476"/>
      <c r="E74" s="1476"/>
      <c r="F74" s="1476"/>
      <c r="G74" s="1476"/>
      <c r="H74" s="1476"/>
      <c r="I74" s="1476"/>
      <c r="J74" s="1476"/>
      <c r="K74" s="1476"/>
      <c r="L74" s="1476"/>
      <c r="M74" s="1476"/>
      <c r="N74" s="1476"/>
      <c r="O74" s="1476"/>
      <c r="P74" s="1476"/>
      <c r="Q74" s="1476"/>
      <c r="R74" s="1476"/>
    </row>
    <row r="75" spans="1:24" s="834" customFormat="1" ht="12.75" customHeight="1">
      <c r="A75" s="998" t="s">
        <v>645</v>
      </c>
      <c r="C75" s="1476" t="s">
        <v>646</v>
      </c>
      <c r="D75" s="1476"/>
      <c r="E75" s="1476"/>
      <c r="F75" s="1476"/>
      <c r="G75" s="1476"/>
      <c r="H75" s="1476"/>
      <c r="I75" s="1476"/>
      <c r="J75" s="1476"/>
      <c r="K75" s="1476"/>
      <c r="L75" s="1476"/>
      <c r="M75" s="1476"/>
      <c r="N75" s="1476"/>
      <c r="O75" s="1476"/>
      <c r="P75" s="1476"/>
      <c r="Q75" s="1476"/>
      <c r="R75" s="1476"/>
    </row>
    <row r="76" spans="1:24" s="834" customFormat="1" ht="27" customHeight="1">
      <c r="A76" s="998" t="s">
        <v>647</v>
      </c>
      <c r="C76" s="1477" t="s">
        <v>648</v>
      </c>
      <c r="D76" s="1477"/>
      <c r="E76" s="1477"/>
      <c r="F76" s="1477"/>
      <c r="G76" s="1477"/>
      <c r="H76" s="1477"/>
      <c r="I76" s="1477"/>
      <c r="J76" s="1477"/>
      <c r="K76" s="1477"/>
      <c r="L76" s="1477"/>
      <c r="M76" s="1477"/>
      <c r="N76" s="1477"/>
      <c r="O76" s="1477"/>
      <c r="P76" s="1477"/>
      <c r="Q76" s="1272"/>
      <c r="R76" s="1272"/>
    </row>
    <row r="77" spans="1:24" s="834" customFormat="1">
      <c r="A77" s="998" t="s">
        <v>649</v>
      </c>
      <c r="C77" s="1476" t="s">
        <v>650</v>
      </c>
      <c r="D77" s="1476"/>
      <c r="E77" s="1476"/>
      <c r="F77" s="1476"/>
      <c r="G77" s="1476"/>
      <c r="H77" s="1476"/>
      <c r="I77" s="1476"/>
      <c r="J77" s="1476"/>
      <c r="K77" s="1476"/>
      <c r="L77" s="1476"/>
      <c r="M77" s="1476"/>
      <c r="N77" s="1476"/>
      <c r="O77" s="1476"/>
      <c r="P77" s="1476"/>
      <c r="Q77" s="1476"/>
      <c r="R77" s="1476"/>
    </row>
    <row r="78" spans="1:24" s="834" customFormat="1" ht="25.5" customHeight="1">
      <c r="A78" s="998" t="s">
        <v>651</v>
      </c>
      <c r="C78" s="1477" t="s">
        <v>652</v>
      </c>
      <c r="D78" s="1477"/>
      <c r="E78" s="1477"/>
      <c r="F78" s="1477"/>
      <c r="G78" s="1477"/>
      <c r="H78" s="1477"/>
      <c r="I78" s="1477"/>
      <c r="J78" s="1477"/>
      <c r="K78" s="1477"/>
      <c r="L78" s="1477"/>
      <c r="M78" s="1477"/>
      <c r="N78" s="1477"/>
      <c r="O78" s="1477"/>
      <c r="P78" s="1477"/>
      <c r="Q78" s="1272"/>
      <c r="R78" s="1272"/>
    </row>
    <row r="79" spans="1:24" s="834" customFormat="1" ht="12.75" customHeight="1">
      <c r="A79" s="1276" t="s">
        <v>653</v>
      </c>
      <c r="C79" s="1475" t="s">
        <v>654</v>
      </c>
      <c r="D79" s="1475"/>
      <c r="E79" s="1475"/>
      <c r="F79" s="1475"/>
      <c r="G79" s="1475"/>
      <c r="H79" s="1475"/>
      <c r="I79" s="1475"/>
      <c r="J79" s="1475"/>
      <c r="K79" s="1475"/>
      <c r="L79" s="1475"/>
      <c r="M79" s="1475"/>
      <c r="N79" s="1475"/>
      <c r="O79" s="1475"/>
      <c r="P79" s="1475"/>
      <c r="Q79" s="1475"/>
      <c r="R79" s="1475"/>
    </row>
    <row r="80" spans="1:24" s="834" customFormat="1" ht="13.5" customHeight="1">
      <c r="A80" s="1276" t="s">
        <v>655</v>
      </c>
      <c r="C80" s="1271" t="s">
        <v>656</v>
      </c>
      <c r="D80" s="1271"/>
      <c r="E80" s="1271"/>
      <c r="F80" s="1271"/>
      <c r="G80" s="1271"/>
      <c r="H80" s="1271"/>
      <c r="I80" s="1271"/>
      <c r="J80" s="1271"/>
      <c r="K80" s="1271"/>
      <c r="L80" s="1271"/>
      <c r="M80" s="1271"/>
      <c r="N80" s="1271"/>
      <c r="O80" s="1271"/>
      <c r="P80" s="1271"/>
      <c r="Q80" s="1271"/>
      <c r="R80" s="1271"/>
    </row>
    <row r="81" spans="1:24" s="834" customFormat="1">
      <c r="A81" s="998" t="s">
        <v>657</v>
      </c>
      <c r="C81" s="834" t="s">
        <v>658</v>
      </c>
      <c r="D81" s="999"/>
      <c r="E81" s="999"/>
      <c r="F81" s="999"/>
      <c r="G81" s="999"/>
      <c r="H81" s="999"/>
      <c r="I81" s="999"/>
      <c r="J81" s="999"/>
      <c r="K81" s="999"/>
      <c r="L81" s="999"/>
      <c r="M81" s="999"/>
      <c r="N81" s="999"/>
      <c r="O81" s="999"/>
      <c r="P81" s="999"/>
      <c r="Q81" s="999"/>
      <c r="R81" s="999"/>
    </row>
    <row r="82" spans="1:24" s="965" customFormat="1" ht="12.75" customHeight="1">
      <c r="A82" s="1000" t="s">
        <v>659</v>
      </c>
      <c r="C82" s="1001" t="s">
        <v>660</v>
      </c>
    </row>
    <row r="83" spans="1:24" s="864" customFormat="1" ht="13.8">
      <c r="A83" s="1002"/>
      <c r="D83" s="1002"/>
      <c r="E83" s="1003"/>
      <c r="F83" s="1003"/>
      <c r="G83" s="1004"/>
      <c r="J83" s="1005"/>
      <c r="P83" s="1004"/>
      <c r="Q83" s="1004"/>
      <c r="R83" s="1006"/>
    </row>
    <row r="84" spans="1:24" s="864" customFormat="1" ht="13.8">
      <c r="A84" s="1007"/>
      <c r="C84" s="1473"/>
      <c r="D84" s="1473"/>
      <c r="E84" s="1473"/>
      <c r="F84" s="1473"/>
      <c r="G84" s="1473"/>
      <c r="H84" s="1473"/>
      <c r="I84" s="1473"/>
      <c r="J84" s="1473"/>
      <c r="K84" s="1473"/>
      <c r="L84" s="1473"/>
      <c r="M84" s="1473"/>
      <c r="N84" s="1473"/>
      <c r="O84" s="1473"/>
      <c r="P84" s="1473"/>
      <c r="Q84" s="1473"/>
      <c r="R84" s="1473"/>
    </row>
    <row r="85" spans="1:24" s="864" customFormat="1" ht="13.8">
      <c r="C85" s="1473"/>
      <c r="D85" s="1473"/>
      <c r="E85" s="1473"/>
      <c r="F85" s="1473"/>
      <c r="G85" s="1473"/>
      <c r="H85" s="1473"/>
      <c r="I85" s="1473"/>
      <c r="J85" s="1473"/>
      <c r="K85" s="1473"/>
      <c r="L85" s="1473"/>
      <c r="M85" s="1473"/>
      <c r="N85" s="1473"/>
      <c r="O85" s="1473"/>
      <c r="P85" s="1473"/>
      <c r="Q85" s="1473"/>
      <c r="R85" s="1473"/>
    </row>
    <row r="86" spans="1:24" s="864" customFormat="1" ht="13.8">
      <c r="C86" s="1474"/>
      <c r="D86" s="1474"/>
      <c r="E86" s="1474"/>
      <c r="F86" s="1474"/>
      <c r="G86" s="1474"/>
      <c r="H86" s="1474"/>
      <c r="I86" s="1474"/>
      <c r="J86" s="1474"/>
      <c r="K86" s="1474"/>
      <c r="L86" s="1474"/>
      <c r="M86" s="1474"/>
      <c r="N86" s="1474"/>
      <c r="O86" s="1474"/>
      <c r="P86" s="1474"/>
      <c r="Q86" s="1474"/>
      <c r="R86" s="1474"/>
      <c r="S86" s="1474"/>
      <c r="T86" s="1474"/>
      <c r="U86" s="1474"/>
      <c r="V86" s="1474"/>
      <c r="W86" s="1474"/>
      <c r="X86" s="1474"/>
    </row>
    <row r="87" spans="1:24" ht="13.8">
      <c r="C87" s="1474"/>
      <c r="D87" s="1474"/>
      <c r="E87" s="1474"/>
      <c r="F87" s="1474"/>
      <c r="G87" s="1474"/>
      <c r="H87" s="1474"/>
      <c r="I87" s="1474"/>
      <c r="J87" s="1474"/>
      <c r="K87" s="1474"/>
      <c r="L87" s="1474"/>
      <c r="M87" s="1474"/>
      <c r="N87" s="1474"/>
      <c r="O87" s="1474"/>
      <c r="P87" s="1474"/>
      <c r="Q87" s="1474"/>
      <c r="R87" s="1474"/>
      <c r="S87" s="864"/>
      <c r="T87" s="864"/>
      <c r="U87" s="864"/>
      <c r="V87" s="864"/>
      <c r="W87" s="864"/>
      <c r="X87" s="864"/>
    </row>
    <row r="88" spans="1:24" ht="13.8">
      <c r="C88" s="1474"/>
      <c r="D88" s="1474"/>
      <c r="E88" s="1474"/>
      <c r="F88" s="1474"/>
      <c r="G88" s="1474"/>
      <c r="H88" s="1474"/>
      <c r="I88" s="1474"/>
      <c r="J88" s="1474"/>
      <c r="K88" s="1474"/>
      <c r="L88" s="1474"/>
      <c r="M88" s="1474"/>
      <c r="N88" s="1474"/>
      <c r="O88" s="1474"/>
      <c r="P88" s="1474"/>
      <c r="Q88" s="1474"/>
      <c r="R88" s="1474"/>
      <c r="S88" s="1474"/>
      <c r="T88" s="1474"/>
      <c r="U88" s="1474"/>
      <c r="V88" s="1474"/>
      <c r="W88" s="1474"/>
      <c r="X88" s="1474"/>
    </row>
    <row r="89" spans="1:24" ht="13.8">
      <c r="C89" s="1472"/>
      <c r="D89" s="1472"/>
      <c r="E89" s="1472"/>
      <c r="F89" s="1472"/>
      <c r="G89" s="1472"/>
      <c r="H89" s="1472"/>
      <c r="I89" s="1472"/>
      <c r="J89" s="1472"/>
      <c r="K89" s="1472"/>
      <c r="L89" s="1472"/>
      <c r="M89" s="1472"/>
      <c r="N89" s="1472"/>
      <c r="O89" s="1472"/>
      <c r="P89" s="1472"/>
      <c r="Q89" s="1472"/>
      <c r="R89" s="1472"/>
      <c r="S89" s="864"/>
      <c r="T89" s="864"/>
      <c r="U89" s="864"/>
      <c r="V89" s="864"/>
      <c r="W89" s="864"/>
      <c r="X89" s="864"/>
    </row>
    <row r="90" spans="1:24" ht="13.8">
      <c r="C90" s="1273"/>
      <c r="D90" s="1273"/>
      <c r="E90" s="1273"/>
      <c r="F90" s="1273"/>
      <c r="G90" s="1273"/>
      <c r="H90" s="1273"/>
      <c r="I90" s="1273"/>
      <c r="J90" s="1273"/>
      <c r="K90" s="1273"/>
      <c r="L90" s="1273"/>
      <c r="M90" s="1273"/>
      <c r="N90" s="1273"/>
      <c r="O90" s="1273"/>
      <c r="P90" s="1273"/>
      <c r="Q90" s="1273"/>
      <c r="R90" s="1273"/>
      <c r="S90" s="864"/>
      <c r="T90" s="864"/>
      <c r="U90" s="864"/>
      <c r="V90" s="864"/>
      <c r="W90" s="864"/>
      <c r="X90" s="864"/>
    </row>
    <row r="91" spans="1:24" ht="13.8">
      <c r="C91" s="1008"/>
      <c r="D91" s="864"/>
      <c r="E91" s="864"/>
      <c r="F91" s="864"/>
      <c r="G91" s="864"/>
      <c r="H91" s="864"/>
      <c r="I91" s="864"/>
      <c r="J91" s="864"/>
      <c r="K91" s="864"/>
      <c r="L91" s="864"/>
      <c r="M91" s="864"/>
      <c r="N91" s="864"/>
      <c r="O91" s="864"/>
      <c r="P91" s="864"/>
      <c r="Q91" s="864"/>
      <c r="R91" s="864"/>
      <c r="S91" s="864"/>
      <c r="T91" s="864"/>
      <c r="U91" s="864"/>
      <c r="V91" s="864"/>
      <c r="W91" s="864"/>
      <c r="X91" s="864"/>
    </row>
    <row r="92" spans="1:24" ht="13.8">
      <c r="C92" s="864"/>
      <c r="D92" s="864"/>
      <c r="E92" s="864"/>
      <c r="F92" s="864"/>
      <c r="G92" s="864"/>
      <c r="H92" s="864"/>
      <c r="I92" s="864"/>
      <c r="J92" s="864"/>
      <c r="K92" s="864"/>
      <c r="L92" s="864"/>
      <c r="M92" s="864"/>
      <c r="N92" s="864"/>
      <c r="O92" s="864"/>
      <c r="P92" s="864"/>
      <c r="Q92" s="864"/>
      <c r="R92" s="864"/>
      <c r="S92" s="864"/>
      <c r="T92" s="864"/>
      <c r="U92" s="864"/>
      <c r="V92" s="864"/>
      <c r="W92" s="864"/>
      <c r="X92" s="864"/>
    </row>
  </sheetData>
  <customSheetViews>
    <customSheetView guid="{343BF296-013A-41F5-BDAB-AD6220EA7F78}" scale="58" showPageBreaks="1" fitToPage="1" printArea="1" view="pageBreakPreview" topLeftCell="A28">
      <selection activeCell="T68" sqref="T68:T69"/>
      <rowBreaks count="1" manualBreakCount="1">
        <brk id="36" max="16383" man="1"/>
      </rowBreaks>
      <colBreaks count="1" manualBreakCount="1">
        <brk id="12" max="82" man="1"/>
      </colBreaks>
      <pageMargins left="0" right="0" top="0" bottom="0" header="0" footer="0"/>
      <pageSetup scale="40" fitToHeight="0" orientation="landscape" r:id="rId1"/>
    </customSheetView>
    <customSheetView guid="{B321D76C-CDE5-48BB-9CDE-80FF97D58FCF}" scale="115" showPageBreaks="1" fitToPage="1" printArea="1" view="pageBreakPreview" topLeftCell="A64">
      <selection activeCell="D33" sqref="D33"/>
      <rowBreaks count="1" manualBreakCount="1">
        <brk id="36" max="16383" man="1"/>
      </rowBreaks>
      <colBreaks count="1" manualBreakCount="1">
        <brk id="12" max="82" man="1"/>
      </colBreaks>
      <pageMargins left="0" right="0" top="0" bottom="0" header="0" footer="0"/>
      <pageSetup scale="40" fitToHeight="0" orientation="landscape" r:id="rId2"/>
    </customSheetView>
  </customSheetViews>
  <mergeCells count="19">
    <mergeCell ref="A38:S38"/>
    <mergeCell ref="A39:S39"/>
    <mergeCell ref="A40:S40"/>
    <mergeCell ref="A4:S4"/>
    <mergeCell ref="A5:S5"/>
    <mergeCell ref="A6:S6"/>
    <mergeCell ref="A7:S7"/>
    <mergeCell ref="C79:R79"/>
    <mergeCell ref="C74:R74"/>
    <mergeCell ref="C75:R75"/>
    <mergeCell ref="C77:R77"/>
    <mergeCell ref="C76:P76"/>
    <mergeCell ref="C78:P78"/>
    <mergeCell ref="C89:R89"/>
    <mergeCell ref="C84:R84"/>
    <mergeCell ref="C85:R85"/>
    <mergeCell ref="C86:X86"/>
    <mergeCell ref="C87:R87"/>
    <mergeCell ref="C88:X88"/>
  </mergeCells>
  <pageMargins left="0.7" right="0.7" top="0.75" bottom="0.75" header="0.3" footer="0.3"/>
  <pageSetup scale="40" fitToHeight="0" orientation="landscape" r:id="rId3"/>
  <rowBreaks count="1" manualBreakCount="1">
    <brk id="36" max="16383" man="1"/>
  </rowBreaks>
  <colBreaks count="1" manualBreakCount="1">
    <brk id="12" max="82" man="1"/>
  </colBreaks>
  <ignoredErrors>
    <ignoredError sqref="G15:M15" numberStoredAsText="1"/>
  </ignoredError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8"/>
    <pageSetUpPr fitToPage="1"/>
  </sheetPr>
  <dimension ref="A1:L32"/>
  <sheetViews>
    <sheetView view="pageBreakPreview" zoomScale="90" zoomScaleNormal="100" zoomScaleSheetLayoutView="90" workbookViewId="0">
      <selection activeCell="R43" sqref="R43"/>
    </sheetView>
  </sheetViews>
  <sheetFormatPr defaultColWidth="9" defaultRowHeight="15.6"/>
  <cols>
    <col min="1" max="1" width="6.21875" style="893" customWidth="1"/>
    <col min="2" max="2" width="27.33203125" style="894" customWidth="1"/>
    <col min="3" max="4" width="34.33203125" style="894" customWidth="1"/>
    <col min="5" max="5" width="15.21875" style="894" customWidth="1"/>
    <col min="6" max="6" width="23.33203125" style="894" customWidth="1"/>
    <col min="7" max="7" width="4.77734375" style="894" customWidth="1"/>
    <col min="8" max="8" width="10.109375" style="894" bestFit="1" customWidth="1"/>
    <col min="9" max="9" width="4.33203125" style="894" customWidth="1"/>
    <col min="10" max="10" width="13.77734375" style="894" customWidth="1"/>
    <col min="11" max="11" width="29.109375" style="921" customWidth="1"/>
    <col min="12" max="16384" width="9" style="863"/>
  </cols>
  <sheetData>
    <row r="1" spans="1:12" s="892" customFormat="1">
      <c r="A1" s="70"/>
    </row>
    <row r="2" spans="1:12">
      <c r="C2" s="895"/>
      <c r="D2" s="895"/>
      <c r="E2" s="895"/>
      <c r="F2" s="895"/>
      <c r="G2" s="896"/>
      <c r="H2" s="895"/>
      <c r="I2" s="895"/>
      <c r="J2" s="895"/>
      <c r="K2" s="897"/>
    </row>
    <row r="3" spans="1:12">
      <c r="B3" s="893"/>
      <c r="C3" s="895"/>
      <c r="D3" s="895"/>
      <c r="E3" s="895"/>
      <c r="F3" s="895"/>
      <c r="G3" s="896"/>
      <c r="H3" s="895"/>
      <c r="I3" s="895"/>
      <c r="J3" s="895"/>
      <c r="K3" s="897"/>
    </row>
    <row r="4" spans="1:12" ht="15.75" customHeight="1">
      <c r="A4" s="1483" t="s">
        <v>46</v>
      </c>
      <c r="B4" s="1483"/>
      <c r="C4" s="1483"/>
      <c r="D4" s="1483"/>
      <c r="E4" s="1483"/>
      <c r="F4" s="1483"/>
      <c r="G4" s="1483"/>
      <c r="H4" s="1483"/>
      <c r="I4" s="1483"/>
      <c r="J4" s="1483"/>
      <c r="K4" s="1483"/>
    </row>
    <row r="5" spans="1:12" ht="15.75" customHeight="1">
      <c r="A5" s="1479" t="s">
        <v>661</v>
      </c>
      <c r="B5" s="1479"/>
      <c r="C5" s="1479"/>
      <c r="D5" s="1479"/>
      <c r="E5" s="1479"/>
      <c r="F5" s="1479"/>
      <c r="G5" s="1479"/>
      <c r="H5" s="1479"/>
      <c r="I5" s="1479"/>
      <c r="J5" s="1479"/>
      <c r="K5" s="1479"/>
    </row>
    <row r="6" spans="1:12">
      <c r="A6" s="1484" t="str">
        <f>+'F1-Proj RR'!A6</f>
        <v>NEW YORK POWER AUTHORITY</v>
      </c>
      <c r="B6" s="1484"/>
      <c r="C6" s="1484"/>
      <c r="D6" s="1484"/>
      <c r="E6" s="1484"/>
      <c r="F6" s="1484"/>
      <c r="G6" s="1484"/>
      <c r="H6" s="1484"/>
      <c r="I6" s="1484"/>
      <c r="J6" s="1484"/>
      <c r="K6" s="1484"/>
      <c r="L6" s="898"/>
    </row>
    <row r="7" spans="1:12">
      <c r="A7" s="1485" t="str">
        <f>SUMMARY!A7</f>
        <v>YEAR ENDING DECEMBER 31, 2022</v>
      </c>
      <c r="B7" s="1485"/>
      <c r="C7" s="1485"/>
      <c r="D7" s="1485"/>
      <c r="E7" s="1485"/>
      <c r="F7" s="1485"/>
      <c r="G7" s="1485"/>
      <c r="H7" s="1485"/>
      <c r="I7" s="1485"/>
      <c r="J7" s="1485"/>
      <c r="K7" s="1485"/>
      <c r="L7" s="898"/>
    </row>
    <row r="8" spans="1:12" s="858" customFormat="1">
      <c r="A8" s="1274" t="s">
        <v>573</v>
      </c>
      <c r="K8" s="899"/>
    </row>
    <row r="9" spans="1:12" s="858" customFormat="1" ht="16.2" thickBot="1">
      <c r="A9" s="900" t="s">
        <v>354</v>
      </c>
      <c r="B9" s="900" t="s">
        <v>574</v>
      </c>
      <c r="C9" s="900" t="s">
        <v>662</v>
      </c>
      <c r="K9" s="901" t="s">
        <v>663</v>
      </c>
    </row>
    <row r="10" spans="1:12" s="858" customFormat="1" ht="15">
      <c r="A10" s="902"/>
      <c r="K10" s="899"/>
    </row>
    <row r="11" spans="1:12" s="858" customFormat="1" ht="15">
      <c r="A11" s="902">
        <v>1</v>
      </c>
      <c r="B11" s="858" t="s">
        <v>664</v>
      </c>
      <c r="C11" s="858" t="s">
        <v>665</v>
      </c>
      <c r="K11" s="902">
        <f>'C1-Rate Base'!L31</f>
        <v>1733161921.1377101</v>
      </c>
    </row>
    <row r="12" spans="1:12" s="858" customFormat="1" ht="15">
      <c r="A12" s="902"/>
      <c r="K12" s="899"/>
    </row>
    <row r="13" spans="1:12" s="858" customFormat="1" thickBot="1">
      <c r="A13" s="903">
        <f>+A11+1</f>
        <v>2</v>
      </c>
      <c r="B13" s="904" t="s">
        <v>666</v>
      </c>
      <c r="C13" s="905"/>
      <c r="D13" s="905"/>
      <c r="E13" s="905"/>
      <c r="F13" s="905"/>
      <c r="G13" s="905"/>
      <c r="H13" s="905"/>
      <c r="I13" s="905"/>
      <c r="J13" s="901" t="s">
        <v>663</v>
      </c>
      <c r="K13" s="899"/>
    </row>
    <row r="14" spans="1:12" s="858" customFormat="1">
      <c r="A14" s="903"/>
      <c r="B14" s="906"/>
      <c r="C14" s="905"/>
      <c r="D14" s="905"/>
      <c r="E14" s="905"/>
      <c r="F14" s="905"/>
      <c r="G14" s="905"/>
      <c r="H14" s="907"/>
      <c r="I14" s="905"/>
      <c r="J14" s="908" t="s">
        <v>667</v>
      </c>
      <c r="K14" s="899"/>
    </row>
    <row r="15" spans="1:12" s="858" customFormat="1" ht="16.2" thickBot="1">
      <c r="A15" s="903"/>
      <c r="B15" s="906"/>
      <c r="C15" s="905"/>
      <c r="D15" s="905"/>
      <c r="E15" s="905"/>
      <c r="F15" s="909" t="s">
        <v>668</v>
      </c>
      <c r="G15" s="905"/>
      <c r="H15" s="909" t="s">
        <v>669</v>
      </c>
      <c r="I15" s="905"/>
      <c r="J15" s="909" t="s">
        <v>669</v>
      </c>
      <c r="K15" s="899"/>
    </row>
    <row r="16" spans="1:12" s="858" customFormat="1" ht="15">
      <c r="A16" s="903">
        <f>+A13+1</f>
        <v>3</v>
      </c>
      <c r="B16" s="904" t="s">
        <v>670</v>
      </c>
      <c r="C16" s="910" t="s">
        <v>671</v>
      </c>
      <c r="D16" s="910"/>
      <c r="E16" s="905"/>
      <c r="F16" s="1255">
        <f>+'D1-Cap Structure'!D21</f>
        <v>0.5</v>
      </c>
      <c r="G16" s="911"/>
      <c r="H16" s="1253">
        <f>+'D1-Cap Structure'!F21</f>
        <v>4.2505644767237546E-2</v>
      </c>
      <c r="I16" s="912"/>
      <c r="J16" s="912">
        <f>F16*H16</f>
        <v>2.1252822383618773E-2</v>
      </c>
      <c r="K16" s="899"/>
    </row>
    <row r="17" spans="1:11" s="858" customFormat="1" ht="39.75" customHeight="1" thickBot="1">
      <c r="A17" s="903">
        <f>+A16+1</f>
        <v>4</v>
      </c>
      <c r="B17" s="904" t="s">
        <v>672</v>
      </c>
      <c r="C17" s="910" t="s">
        <v>673</v>
      </c>
      <c r="D17" s="913" t="s">
        <v>674</v>
      </c>
      <c r="E17" s="905"/>
      <c r="F17" s="1255">
        <f>+'D1-Cap Structure'!D23</f>
        <v>0.5</v>
      </c>
      <c r="G17" s="911"/>
      <c r="H17" s="1254">
        <f>+'D1-Cap Structure'!F23+0.01</f>
        <v>0.1045</v>
      </c>
      <c r="I17" s="912"/>
      <c r="J17" s="914">
        <f>F17*H17</f>
        <v>5.2249999999999998E-2</v>
      </c>
      <c r="K17" s="899"/>
    </row>
    <row r="18" spans="1:11" s="858" customFormat="1" ht="15">
      <c r="A18" s="903">
        <f>+A17+1</f>
        <v>5</v>
      </c>
      <c r="B18" s="906" t="s">
        <v>675</v>
      </c>
      <c r="C18" s="910"/>
      <c r="D18" s="910"/>
      <c r="E18" s="905"/>
      <c r="F18" s="915" t="s">
        <v>596</v>
      </c>
      <c r="G18" s="915"/>
      <c r="H18" s="912"/>
      <c r="I18" s="912"/>
      <c r="J18" s="912">
        <f>SUM(J16:J17)</f>
        <v>7.3502822383618771E-2</v>
      </c>
      <c r="K18" s="899"/>
    </row>
    <row r="19" spans="1:11" s="858" customFormat="1" ht="15">
      <c r="A19" s="903">
        <f t="shared" ref="A19:A25" si="0">+A18+1</f>
        <v>6</v>
      </c>
      <c r="B19" s="906" t="s">
        <v>676</v>
      </c>
      <c r="C19" s="910"/>
      <c r="D19" s="910"/>
      <c r="E19" s="905"/>
      <c r="F19" s="905"/>
      <c r="G19" s="905"/>
      <c r="H19" s="905"/>
      <c r="I19" s="905"/>
      <c r="J19" s="916"/>
      <c r="K19" s="917">
        <f>+J18*K11</f>
        <v>127392292.85143659</v>
      </c>
    </row>
    <row r="20" spans="1:11" s="858" customFormat="1" ht="15">
      <c r="A20" s="903"/>
      <c r="K20" s="917"/>
    </row>
    <row r="21" spans="1:11" s="858" customFormat="1" ht="15">
      <c r="A21" s="903"/>
      <c r="K21" s="917"/>
    </row>
    <row r="22" spans="1:11" s="858" customFormat="1" ht="15">
      <c r="A22" s="903">
        <f>+A19+1</f>
        <v>7</v>
      </c>
      <c r="B22" s="858" t="s">
        <v>677</v>
      </c>
      <c r="K22" s="917">
        <f>+'C1-Rate Base'!P31</f>
        <v>118726483.24574803</v>
      </c>
    </row>
    <row r="23" spans="1:11" s="858" customFormat="1" ht="15">
      <c r="A23" s="903">
        <f>+A22+1</f>
        <v>8</v>
      </c>
      <c r="B23" s="910" t="s">
        <v>678</v>
      </c>
      <c r="E23" s="858" t="s">
        <v>679</v>
      </c>
      <c r="K23" s="917">
        <f>+K19-K22</f>
        <v>8665809.605688557</v>
      </c>
    </row>
    <row r="24" spans="1:11" s="858" customFormat="1" ht="15">
      <c r="A24" s="903">
        <f t="shared" si="0"/>
        <v>9</v>
      </c>
      <c r="B24" s="858" t="s">
        <v>680</v>
      </c>
      <c r="E24" s="858" t="s">
        <v>681</v>
      </c>
      <c r="K24" s="918">
        <f>+'C1-Rate Base'!D19</f>
        <v>1300566889.1699996</v>
      </c>
    </row>
    <row r="25" spans="1:11" s="858" customFormat="1" ht="15">
      <c r="A25" s="903">
        <f t="shared" si="0"/>
        <v>10</v>
      </c>
      <c r="B25" s="858" t="s">
        <v>682</v>
      </c>
      <c r="E25" s="858" t="s">
        <v>683</v>
      </c>
      <c r="K25" s="1252">
        <f>IF(K24=0,0,K23/K24)</f>
        <v>6.6631018195603409E-3</v>
      </c>
    </row>
    <row r="26" spans="1:11" s="858" customFormat="1" ht="15">
      <c r="A26" s="902"/>
      <c r="K26" s="899"/>
    </row>
    <row r="27" spans="1:11" s="858" customFormat="1" ht="15">
      <c r="A27" s="902" t="s">
        <v>684</v>
      </c>
      <c r="K27" s="899"/>
    </row>
    <row r="28" spans="1:11" s="858" customFormat="1" ht="15">
      <c r="A28" s="919" t="s">
        <v>550</v>
      </c>
      <c r="B28" s="858" t="s">
        <v>685</v>
      </c>
      <c r="K28" s="899"/>
    </row>
    <row r="29" spans="1:11" s="858" customFormat="1" ht="15">
      <c r="A29" s="919"/>
      <c r="B29" s="858" t="s">
        <v>686</v>
      </c>
      <c r="K29" s="899"/>
    </row>
    <row r="30" spans="1:11" s="858" customFormat="1" ht="15">
      <c r="A30" s="919"/>
      <c r="B30" s="858" t="s">
        <v>687</v>
      </c>
      <c r="K30" s="899"/>
    </row>
    <row r="31" spans="1:11" s="858" customFormat="1" ht="15">
      <c r="A31" s="919"/>
      <c r="B31" s="858" t="s">
        <v>688</v>
      </c>
      <c r="K31" s="899"/>
    </row>
    <row r="32" spans="1:11">
      <c r="A32" s="920"/>
    </row>
  </sheetData>
  <customSheetViews>
    <customSheetView guid="{343BF296-013A-41F5-BDAB-AD6220EA7F78}" scale="90" showPageBreaks="1" fitToPage="1" printArea="1" view="pageBreakPreview" topLeftCell="B1">
      <selection activeCell="K11" sqref="K11"/>
      <pageMargins left="0" right="0" top="0" bottom="0" header="0" footer="0"/>
      <pageSetup scale="61" orientation="landscape" r:id="rId1"/>
    </customSheetView>
    <customSheetView guid="{B321D76C-CDE5-48BB-9CDE-80FF97D58FCF}" scale="90" showPageBreaks="1" fitToPage="1" printArea="1" view="pageBreakPreview">
      <selection activeCell="D33" sqref="D33"/>
      <pageMargins left="0" right="0" top="0" bottom="0" header="0" footer="0"/>
      <pageSetup scale="61" orientation="landscape" r:id="rId2"/>
    </customSheetView>
  </customSheetViews>
  <mergeCells count="4">
    <mergeCell ref="A4:K4"/>
    <mergeCell ref="A5:K5"/>
    <mergeCell ref="A6:K6"/>
    <mergeCell ref="A7:K7"/>
  </mergeCells>
  <pageMargins left="0.7" right="0.7" top="0.75" bottom="0.75" header="0.3" footer="0.3"/>
  <pageSetup scale="61" orientation="landscape" r:id="rId3"/>
  <ignoredErrors>
    <ignoredError sqref="A13:A25" unlockedFormula="1"/>
  </ignoredError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8"/>
    <pageSetUpPr fitToPage="1"/>
  </sheetPr>
  <dimension ref="A1:N85"/>
  <sheetViews>
    <sheetView view="pageBreakPreview" zoomScale="90" zoomScaleNormal="70" zoomScaleSheetLayoutView="90" workbookViewId="0">
      <selection activeCell="B20" sqref="B20"/>
    </sheetView>
  </sheetViews>
  <sheetFormatPr defaultColWidth="10" defaultRowHeight="13.2"/>
  <cols>
    <col min="1" max="1" width="6.77734375" style="823" customWidth="1"/>
    <col min="2" max="2" width="43.77734375" style="823" customWidth="1"/>
    <col min="3" max="3" width="16" style="823" bestFit="1" customWidth="1"/>
    <col min="4" max="4" width="21" style="823" customWidth="1"/>
    <col min="5" max="5" width="26" style="823" customWidth="1"/>
    <col min="6" max="6" width="23.33203125" style="823" customWidth="1"/>
    <col min="7" max="7" width="14.77734375" style="823" customWidth="1"/>
    <col min="8" max="8" width="16.21875" style="823" customWidth="1"/>
    <col min="9" max="9" width="20.77734375" style="823" customWidth="1"/>
    <col min="10" max="10" width="15.33203125" style="823" customWidth="1"/>
    <col min="11" max="11" width="29.109375" style="823" customWidth="1"/>
    <col min="12" max="12" width="15.21875" style="823" customWidth="1"/>
    <col min="13" max="16384" width="10" style="823"/>
  </cols>
  <sheetData>
    <row r="1" spans="1:12" ht="15.6">
      <c r="A1" s="70"/>
    </row>
    <row r="2" spans="1:12">
      <c r="J2" s="824"/>
    </row>
    <row r="4" spans="1:12">
      <c r="E4" s="825"/>
    </row>
    <row r="5" spans="1:12" ht="15.6">
      <c r="A5" s="1480" t="s">
        <v>48</v>
      </c>
      <c r="B5" s="1480"/>
      <c r="C5" s="1480"/>
      <c r="D5" s="1480"/>
      <c r="E5" s="1480"/>
      <c r="F5" s="1480"/>
      <c r="G5" s="1480"/>
      <c r="H5" s="1480"/>
      <c r="I5" s="1480"/>
      <c r="J5" s="1480"/>
      <c r="K5" s="826"/>
      <c r="L5" s="826"/>
    </row>
    <row r="6" spans="1:12" ht="15.6">
      <c r="A6" s="1480" t="s">
        <v>689</v>
      </c>
      <c r="B6" s="1480"/>
      <c r="C6" s="1480"/>
      <c r="D6" s="1480"/>
      <c r="E6" s="1480"/>
      <c r="F6" s="1480"/>
      <c r="G6" s="1480"/>
      <c r="H6" s="1480"/>
      <c r="I6" s="1480"/>
      <c r="J6" s="1480"/>
      <c r="K6" s="827"/>
      <c r="L6" s="826"/>
    </row>
    <row r="7" spans="1:12" ht="15.6">
      <c r="A7" s="1481" t="str">
        <f>'F2-Incentives'!A5</f>
        <v>Incentives</v>
      </c>
      <c r="B7" s="1481"/>
      <c r="C7" s="1481"/>
      <c r="D7" s="1481"/>
      <c r="E7" s="1481"/>
      <c r="F7" s="1481"/>
      <c r="G7" s="1481"/>
      <c r="H7" s="1481"/>
      <c r="I7" s="1481"/>
      <c r="J7" s="1481"/>
      <c r="K7" s="828"/>
      <c r="L7" s="828"/>
    </row>
    <row r="8" spans="1:12" ht="15.6">
      <c r="A8" s="1485" t="str">
        <f>SUMMARY!A7</f>
        <v>YEAR ENDING DECEMBER 31, 2022</v>
      </c>
      <c r="B8" s="1485"/>
      <c r="C8" s="1485"/>
      <c r="D8" s="1485"/>
      <c r="E8" s="1485"/>
      <c r="F8" s="1485"/>
      <c r="G8" s="1485"/>
      <c r="H8" s="1485"/>
      <c r="I8" s="1485"/>
      <c r="J8" s="1485"/>
      <c r="K8" s="828"/>
      <c r="L8" s="828"/>
    </row>
    <row r="9" spans="1:12">
      <c r="A9" s="829"/>
      <c r="C9" s="828"/>
      <c r="D9" s="828"/>
      <c r="E9" s="830" t="s">
        <v>690</v>
      </c>
      <c r="F9" s="828"/>
      <c r="G9" s="828"/>
      <c r="H9" s="831"/>
      <c r="I9" s="828"/>
      <c r="J9" s="828"/>
      <c r="K9" s="828"/>
      <c r="L9" s="828"/>
    </row>
    <row r="10" spans="1:12">
      <c r="A10" s="829"/>
      <c r="E10" s="832"/>
      <c r="F10" s="832"/>
      <c r="G10" s="832"/>
      <c r="I10" s="828"/>
      <c r="J10" s="828"/>
      <c r="K10" s="828"/>
      <c r="L10" s="828"/>
    </row>
    <row r="11" spans="1:12" s="834" customFormat="1" ht="15">
      <c r="A11" s="1294" t="s">
        <v>8</v>
      </c>
      <c r="B11" s="1294" t="s">
        <v>9</v>
      </c>
      <c r="C11" s="1294" t="s">
        <v>359</v>
      </c>
      <c r="D11" s="1294" t="s">
        <v>360</v>
      </c>
      <c r="E11" s="1294" t="s">
        <v>162</v>
      </c>
      <c r="F11" s="1294" t="s">
        <v>163</v>
      </c>
      <c r="G11" s="1294" t="s">
        <v>228</v>
      </c>
      <c r="H11" s="1294" t="s">
        <v>361</v>
      </c>
      <c r="I11" s="1294" t="s">
        <v>362</v>
      </c>
      <c r="J11" s="1294" t="s">
        <v>363</v>
      </c>
      <c r="K11" s="833"/>
      <c r="L11" s="833"/>
    </row>
    <row r="12" spans="1:12" s="834" customFormat="1">
      <c r="A12" s="835"/>
      <c r="E12" s="1276" t="s">
        <v>691</v>
      </c>
      <c r="F12" s="1276" t="s">
        <v>692</v>
      </c>
      <c r="H12" s="1276" t="s">
        <v>693</v>
      </c>
      <c r="I12" s="1276" t="s">
        <v>692</v>
      </c>
      <c r="J12" s="836"/>
    </row>
    <row r="13" spans="1:12" s="834" customFormat="1">
      <c r="A13" s="835"/>
      <c r="C13" s="1276" t="s">
        <v>694</v>
      </c>
      <c r="E13" s="1276" t="s">
        <v>350</v>
      </c>
      <c r="F13" s="1276" t="s">
        <v>695</v>
      </c>
      <c r="G13" s="1276"/>
      <c r="H13" s="1276" t="s">
        <v>696</v>
      </c>
      <c r="I13" s="1276" t="s">
        <v>695</v>
      </c>
      <c r="J13" s="1277" t="s">
        <v>157</v>
      </c>
    </row>
    <row r="14" spans="1:12" s="834" customFormat="1">
      <c r="A14" s="1275" t="s">
        <v>573</v>
      </c>
      <c r="B14" s="1276" t="s">
        <v>697</v>
      </c>
      <c r="C14" s="1276" t="s">
        <v>698</v>
      </c>
      <c r="D14" s="1276" t="s">
        <v>699</v>
      </c>
      <c r="E14" s="1276" t="s">
        <v>700</v>
      </c>
      <c r="F14" s="1276" t="s">
        <v>701</v>
      </c>
      <c r="G14" s="837" t="s">
        <v>702</v>
      </c>
      <c r="H14" s="1276" t="s">
        <v>703</v>
      </c>
      <c r="I14" s="1276" t="s">
        <v>696</v>
      </c>
      <c r="J14" s="1277" t="s">
        <v>692</v>
      </c>
    </row>
    <row r="15" spans="1:12" s="834" customFormat="1">
      <c r="A15" s="838" t="s">
        <v>354</v>
      </c>
      <c r="B15" s="839" t="s">
        <v>21</v>
      </c>
      <c r="C15" s="839" t="s">
        <v>704</v>
      </c>
      <c r="D15" s="839" t="s">
        <v>705</v>
      </c>
      <c r="E15" s="839" t="s">
        <v>706</v>
      </c>
      <c r="F15" s="839" t="s">
        <v>707</v>
      </c>
      <c r="G15" s="839" t="s">
        <v>695</v>
      </c>
      <c r="H15" s="839" t="s">
        <v>707</v>
      </c>
      <c r="I15" s="839" t="s">
        <v>707</v>
      </c>
      <c r="J15" s="840" t="s">
        <v>695</v>
      </c>
    </row>
    <row r="16" spans="1:12" s="834" customFormat="1">
      <c r="A16" s="835"/>
      <c r="D16" s="1276"/>
      <c r="E16" s="1276"/>
      <c r="J16" s="836"/>
    </row>
    <row r="17" spans="1:12" s="834" customFormat="1">
      <c r="A17" s="835"/>
      <c r="D17" s="1276" t="s">
        <v>596</v>
      </c>
      <c r="E17" s="1276"/>
      <c r="G17" s="1276" t="s">
        <v>708</v>
      </c>
      <c r="H17" s="1276"/>
      <c r="I17" s="1276" t="s">
        <v>709</v>
      </c>
      <c r="J17" s="836" t="s">
        <v>710</v>
      </c>
    </row>
    <row r="18" spans="1:12" s="834" customFormat="1" ht="26.25" customHeight="1">
      <c r="A18" s="841"/>
      <c r="B18" s="842"/>
      <c r="C18" s="842"/>
      <c r="D18" s="843" t="s">
        <v>711</v>
      </c>
      <c r="E18" s="844" t="s">
        <v>712</v>
      </c>
      <c r="F18" s="839" t="s">
        <v>713</v>
      </c>
      <c r="G18" s="1276" t="s">
        <v>714</v>
      </c>
      <c r="H18" s="1276" t="s">
        <v>715</v>
      </c>
      <c r="I18" s="1276" t="s">
        <v>716</v>
      </c>
      <c r="J18" s="840" t="s">
        <v>717</v>
      </c>
    </row>
    <row r="19" spans="1:12" s="834" customFormat="1">
      <c r="A19" s="1295"/>
      <c r="B19" s="1292"/>
      <c r="C19" s="1292"/>
      <c r="D19" s="1292"/>
      <c r="E19" s="1292"/>
      <c r="F19" s="1292"/>
      <c r="G19" s="1292"/>
      <c r="H19" s="1292"/>
      <c r="I19" s="1292"/>
      <c r="J19" s="1296"/>
    </row>
    <row r="20" spans="1:12" s="834" customFormat="1">
      <c r="A20" s="845" t="s">
        <v>167</v>
      </c>
      <c r="B20" s="846" t="str">
        <f>+SUMMARY!B42</f>
        <v>NTAC Facilities</v>
      </c>
      <c r="C20" s="847">
        <v>0</v>
      </c>
      <c r="D20" s="848">
        <v>280490238.25999999</v>
      </c>
      <c r="E20" s="849">
        <f>+'F1-Proj RR'!R47+'F1-Proj RR'!R50</f>
        <v>308711850.55867165</v>
      </c>
      <c r="F20" s="849">
        <f>+E20-D20</f>
        <v>28221612.298671663</v>
      </c>
      <c r="G20" s="848">
        <f>I74</f>
        <v>-54866.450449282434</v>
      </c>
      <c r="H20" s="1248">
        <f>+H$68</f>
        <v>4.1631578947368417E-3</v>
      </c>
      <c r="I20" s="849">
        <f>(F20+G20)*H20*24</f>
        <v>2814302.6483297558</v>
      </c>
      <c r="J20" s="850">
        <f>+I20+F20+G20</f>
        <v>30981048.496552136</v>
      </c>
    </row>
    <row r="21" spans="1:12" s="834" customFormat="1">
      <c r="A21" s="845" t="s">
        <v>171</v>
      </c>
      <c r="B21" s="851" t="s">
        <v>637</v>
      </c>
      <c r="C21" s="848">
        <v>0</v>
      </c>
      <c r="D21" s="848">
        <v>8370402.3899999997</v>
      </c>
      <c r="E21" s="849">
        <f>+'F1-Proj RR'!R48</f>
        <v>7512041.3925302532</v>
      </c>
      <c r="F21" s="849">
        <f>+E21-D21</f>
        <v>-858360.99746974651</v>
      </c>
      <c r="G21" s="848">
        <f>I75</f>
        <v>-2231.4076045959678</v>
      </c>
      <c r="H21" s="1248">
        <f>+H$68</f>
        <v>4.1631578947368417E-3</v>
      </c>
      <c r="I21" s="849">
        <f>(F21+G21)*H21*24</f>
        <v>-85986.769568059564</v>
      </c>
      <c r="J21" s="850">
        <f>+I21+F21+G21</f>
        <v>-946579.1746424021</v>
      </c>
    </row>
    <row r="22" spans="1:12" s="834" customFormat="1">
      <c r="A22" s="845" t="s">
        <v>174</v>
      </c>
      <c r="B22" s="846" t="s">
        <v>638</v>
      </c>
      <c r="C22" s="848">
        <v>0</v>
      </c>
      <c r="D22" s="848">
        <v>4019307.48</v>
      </c>
      <c r="E22" s="849">
        <f>+'F1-Proj RR'!R49</f>
        <v>13885326.497389477</v>
      </c>
      <c r="F22" s="849">
        <f>+E22-D22</f>
        <v>9866019.0173894763</v>
      </c>
      <c r="G22" s="848">
        <f>I76</f>
        <v>-3239.536863190845</v>
      </c>
      <c r="H22" s="1248">
        <f>+H$68</f>
        <v>4.1631578947368417E-3</v>
      </c>
      <c r="I22" s="849">
        <f>(F22+G22)*H22*24</f>
        <v>985447.39820163674</v>
      </c>
      <c r="J22" s="850">
        <f>+I22+F22+G22</f>
        <v>10848226.878727922</v>
      </c>
    </row>
    <row r="23" spans="1:12" s="834" customFormat="1">
      <c r="A23" s="845" t="s">
        <v>177</v>
      </c>
      <c r="B23" s="852"/>
      <c r="C23" s="848">
        <v>0</v>
      </c>
      <c r="D23" s="848">
        <v>0</v>
      </c>
      <c r="E23" s="848">
        <v>0</v>
      </c>
      <c r="F23" s="849">
        <f>+E23-D23</f>
        <v>0</v>
      </c>
      <c r="G23" s="848">
        <v>0</v>
      </c>
      <c r="H23" s="848">
        <v>0</v>
      </c>
      <c r="I23" s="849">
        <f>(F23+G23)*H23*24</f>
        <v>0</v>
      </c>
      <c r="J23" s="850">
        <f>+I23+F23+G23</f>
        <v>0</v>
      </c>
    </row>
    <row r="24" spans="1:12" s="834" customFormat="1">
      <c r="A24" s="845" t="s">
        <v>237</v>
      </c>
      <c r="B24" s="852">
        <v>0</v>
      </c>
      <c r="C24" s="848">
        <v>0</v>
      </c>
      <c r="D24" s="848">
        <v>0</v>
      </c>
      <c r="E24" s="848">
        <v>0</v>
      </c>
      <c r="F24" s="849">
        <f>+E24-D24</f>
        <v>0</v>
      </c>
      <c r="G24" s="848">
        <v>0</v>
      </c>
      <c r="H24" s="848">
        <v>0</v>
      </c>
      <c r="I24" s="849">
        <f>(F24+G24)*H24*24</f>
        <v>0</v>
      </c>
      <c r="J24" s="850">
        <f>+I24+F24+G24</f>
        <v>0</v>
      </c>
    </row>
    <row r="25" spans="1:12" s="834" customFormat="1">
      <c r="A25" s="1457" t="s">
        <v>146</v>
      </c>
      <c r="B25" s="852"/>
      <c r="C25" s="848"/>
      <c r="D25" s="848"/>
      <c r="E25" s="848"/>
      <c r="F25" s="849"/>
      <c r="G25" s="848"/>
      <c r="H25" s="848"/>
      <c r="I25" s="849"/>
      <c r="J25" s="850"/>
    </row>
    <row r="26" spans="1:12" s="834" customFormat="1">
      <c r="A26" s="1457" t="s">
        <v>146</v>
      </c>
      <c r="B26" s="853"/>
      <c r="C26" s="853"/>
      <c r="D26" s="853"/>
      <c r="E26" s="853"/>
      <c r="F26" s="849"/>
      <c r="G26" s="848"/>
      <c r="H26" s="852"/>
      <c r="I26" s="849"/>
      <c r="J26" s="850"/>
    </row>
    <row r="27" spans="1:12" s="834" customFormat="1">
      <c r="A27" s="838"/>
      <c r="B27" s="842"/>
      <c r="C27" s="842"/>
      <c r="D27" s="842"/>
      <c r="E27" s="842"/>
      <c r="F27" s="842"/>
      <c r="G27" s="842"/>
      <c r="H27" s="842"/>
      <c r="I27" s="842"/>
      <c r="J27" s="854"/>
    </row>
    <row r="28" spans="1:12" s="834" customFormat="1" ht="15">
      <c r="A28" s="855">
        <v>2</v>
      </c>
      <c r="B28" s="834" t="s">
        <v>718</v>
      </c>
      <c r="D28" s="856"/>
      <c r="E28" s="856"/>
      <c r="F28" s="857">
        <f>SUM(F20:F27)</f>
        <v>37229270.318591394</v>
      </c>
      <c r="G28" s="857"/>
      <c r="H28" s="856"/>
      <c r="I28" s="1446">
        <f>SUM(I20:I27)</f>
        <v>3713763.2769633327</v>
      </c>
      <c r="J28" s="857">
        <f>SUM(J20:J26)</f>
        <v>40882696.200637653</v>
      </c>
      <c r="K28" s="858"/>
    </row>
    <row r="29" spans="1:12" s="834" customFormat="1" ht="15">
      <c r="A29" s="855"/>
      <c r="K29" s="858"/>
      <c r="L29" s="858"/>
    </row>
    <row r="30" spans="1:12" s="834" customFormat="1">
      <c r="A30" s="855">
        <v>3</v>
      </c>
      <c r="B30" s="834" t="s">
        <v>719</v>
      </c>
      <c r="F30" s="857"/>
      <c r="G30" s="857"/>
      <c r="I30" s="856"/>
      <c r="J30" s="857">
        <f>+J28</f>
        <v>40882696.200637653</v>
      </c>
      <c r="K30" s="856"/>
      <c r="L30" s="856"/>
    </row>
    <row r="31" spans="1:12" s="834" customFormat="1">
      <c r="A31" s="855"/>
      <c r="F31" s="857"/>
      <c r="G31" s="857"/>
      <c r="I31" s="856"/>
      <c r="J31" s="859"/>
      <c r="K31" s="856"/>
      <c r="L31" s="856"/>
    </row>
    <row r="32" spans="1:12" s="834" customFormat="1">
      <c r="A32" s="855"/>
      <c r="B32" s="381" t="s">
        <v>460</v>
      </c>
      <c r="D32" s="1486"/>
      <c r="E32" s="1486"/>
      <c r="F32" s="1486"/>
      <c r="G32" s="1486"/>
      <c r="H32" s="1486"/>
      <c r="I32" s="1486"/>
      <c r="J32" s="1486"/>
      <c r="K32" s="1486"/>
      <c r="L32" s="856"/>
    </row>
    <row r="33" spans="1:14" s="834" customFormat="1">
      <c r="A33" s="855"/>
      <c r="B33" s="834" t="s">
        <v>720</v>
      </c>
      <c r="F33" s="857"/>
      <c r="G33" s="857"/>
      <c r="I33" s="856"/>
      <c r="J33" s="859"/>
      <c r="K33" s="856"/>
      <c r="L33" s="856"/>
    </row>
    <row r="34" spans="1:14" s="834" customFormat="1">
      <c r="A34" s="855"/>
      <c r="B34" s="860" t="s">
        <v>721</v>
      </c>
      <c r="F34" s="857"/>
      <c r="G34" s="857"/>
      <c r="I34" s="856"/>
      <c r="J34" s="859"/>
      <c r="K34" s="856"/>
      <c r="L34" s="856"/>
    </row>
    <row r="35" spans="1:14" s="834" customFormat="1">
      <c r="A35" s="855"/>
      <c r="B35" s="834" t="s">
        <v>722</v>
      </c>
      <c r="F35" s="857"/>
      <c r="G35" s="857"/>
      <c r="I35" s="1428"/>
      <c r="J35" s="859"/>
      <c r="K35" s="856"/>
      <c r="L35" s="856"/>
    </row>
    <row r="36" spans="1:14" s="834" customFormat="1">
      <c r="A36" s="855"/>
      <c r="F36" s="857"/>
      <c r="G36" s="857"/>
      <c r="I36" s="856"/>
      <c r="J36" s="859"/>
      <c r="K36" s="856"/>
      <c r="L36" s="856"/>
    </row>
    <row r="37" spans="1:14" s="864" customFormat="1" ht="15.6">
      <c r="A37" s="861"/>
      <c r="B37" s="862"/>
      <c r="C37" s="823"/>
      <c r="D37" s="823"/>
      <c r="E37" s="823"/>
      <c r="F37" s="823"/>
      <c r="G37" s="823"/>
      <c r="H37" s="823"/>
      <c r="I37" s="823"/>
      <c r="J37" s="823"/>
      <c r="K37" s="863"/>
      <c r="L37" s="863"/>
    </row>
    <row r="38" spans="1:14" ht="21">
      <c r="A38" s="865"/>
      <c r="B38" s="864"/>
      <c r="L38" s="864"/>
    </row>
    <row r="39" spans="1:14" ht="15.6">
      <c r="E39" s="1269" t="str">
        <f>+A5</f>
        <v>Schedule F3</v>
      </c>
      <c r="J39" s="824"/>
      <c r="L39" s="864"/>
    </row>
    <row r="40" spans="1:14" ht="15.6">
      <c r="E40" s="866" t="s">
        <v>689</v>
      </c>
      <c r="L40" s="864"/>
    </row>
    <row r="41" spans="1:14" ht="15.6">
      <c r="E41" s="1270" t="str">
        <f>+A7</f>
        <v>Incentives</v>
      </c>
      <c r="L41" s="864"/>
    </row>
    <row r="42" spans="1:14" ht="13.8">
      <c r="L42" s="864"/>
    </row>
    <row r="43" spans="1:14" ht="13.8">
      <c r="L43" s="864"/>
    </row>
    <row r="44" spans="1:14" s="834" customFormat="1">
      <c r="A44" s="867" t="s">
        <v>723</v>
      </c>
    </row>
    <row r="45" spans="1:14" s="834" customFormat="1"/>
    <row r="46" spans="1:14" s="834" customFormat="1"/>
    <row r="47" spans="1:14" s="834" customFormat="1" ht="27.75" customHeight="1">
      <c r="A47" s="868">
        <f>+A30+1</f>
        <v>4</v>
      </c>
      <c r="B47" s="869" t="s">
        <v>724</v>
      </c>
      <c r="C47" s="1276"/>
      <c r="D47" s="1276" t="s">
        <v>725</v>
      </c>
      <c r="E47" s="837" t="s">
        <v>726</v>
      </c>
      <c r="K47" s="858"/>
      <c r="L47" s="858"/>
      <c r="M47" s="858"/>
      <c r="N47" s="858"/>
    </row>
    <row r="48" spans="1:14" s="834" customFormat="1" ht="12.75" customHeight="1">
      <c r="A48" s="868">
        <f>+A47+1</f>
        <v>5</v>
      </c>
      <c r="B48" s="834" t="s">
        <v>727</v>
      </c>
      <c r="C48" s="869"/>
      <c r="D48" s="1245">
        <v>2022</v>
      </c>
      <c r="E48" s="1244">
        <v>2.8E-3</v>
      </c>
      <c r="F48" s="1421"/>
      <c r="G48" s="870"/>
      <c r="H48" s="870"/>
      <c r="K48" s="858"/>
      <c r="L48" s="858"/>
      <c r="M48" s="858"/>
      <c r="N48" s="858"/>
    </row>
    <row r="49" spans="1:14" s="834" customFormat="1" ht="12.75" customHeight="1">
      <c r="A49" s="868">
        <f t="shared" ref="A49:A66" si="0">+A48+1</f>
        <v>6</v>
      </c>
      <c r="B49" s="834" t="s">
        <v>728</v>
      </c>
      <c r="C49" s="869"/>
      <c r="D49" s="1245">
        <v>2022</v>
      </c>
      <c r="E49" s="1244">
        <v>2.5000000000000001E-3</v>
      </c>
      <c r="F49" s="1421"/>
      <c r="G49" s="870"/>
      <c r="H49" s="870"/>
      <c r="K49" s="858"/>
      <c r="L49" s="858"/>
      <c r="M49" s="858"/>
      <c r="N49" s="858"/>
    </row>
    <row r="50" spans="1:14" s="834" customFormat="1" ht="12.75" customHeight="1">
      <c r="A50" s="868">
        <f t="shared" si="0"/>
        <v>7</v>
      </c>
      <c r="B50" s="834" t="s">
        <v>729</v>
      </c>
      <c r="C50" s="869"/>
      <c r="D50" s="1245">
        <v>2022</v>
      </c>
      <c r="E50" s="1244">
        <v>2.8E-3</v>
      </c>
      <c r="F50" s="1421"/>
      <c r="G50" s="870"/>
      <c r="H50" s="870"/>
      <c r="K50" s="858"/>
      <c r="L50" s="858"/>
      <c r="M50" s="858"/>
      <c r="N50" s="858"/>
    </row>
    <row r="51" spans="1:14" s="834" customFormat="1" ht="12.75" customHeight="1">
      <c r="A51" s="868">
        <f t="shared" si="0"/>
        <v>8</v>
      </c>
      <c r="B51" s="834" t="s">
        <v>730</v>
      </c>
      <c r="C51" s="869"/>
      <c r="D51" s="1245">
        <v>2022</v>
      </c>
      <c r="E51" s="1244">
        <v>2.7000000000000001E-3</v>
      </c>
      <c r="F51" s="1421"/>
      <c r="G51" s="870"/>
      <c r="H51" s="870"/>
      <c r="K51" s="858"/>
      <c r="L51" s="858"/>
      <c r="M51" s="858"/>
      <c r="N51" s="858"/>
    </row>
    <row r="52" spans="1:14" s="834" customFormat="1" ht="12.75" customHeight="1">
      <c r="A52" s="868">
        <f t="shared" si="0"/>
        <v>9</v>
      </c>
      <c r="B52" s="834" t="s">
        <v>731</v>
      </c>
      <c r="C52" s="869"/>
      <c r="D52" s="1245">
        <v>2022</v>
      </c>
      <c r="E52" s="1244">
        <v>2.8E-3</v>
      </c>
      <c r="F52" s="1421"/>
      <c r="G52" s="870"/>
      <c r="H52" s="870"/>
      <c r="K52" s="858"/>
      <c r="L52" s="858"/>
      <c r="M52" s="858"/>
      <c r="N52" s="858"/>
    </row>
    <row r="53" spans="1:14" s="834" customFormat="1" ht="12.75" customHeight="1">
      <c r="A53" s="868">
        <f t="shared" si="0"/>
        <v>10</v>
      </c>
      <c r="B53" s="834" t="s">
        <v>732</v>
      </c>
      <c r="C53" s="869"/>
      <c r="D53" s="1245">
        <v>2022</v>
      </c>
      <c r="E53" s="1244">
        <v>2.7000000000000001E-3</v>
      </c>
      <c r="F53" s="1421"/>
      <c r="G53" s="870"/>
      <c r="H53" s="870"/>
      <c r="K53" s="858"/>
      <c r="L53" s="858"/>
      <c r="M53" s="858"/>
      <c r="N53" s="858"/>
    </row>
    <row r="54" spans="1:14" s="834" customFormat="1" ht="12.75" customHeight="1">
      <c r="A54" s="868">
        <f t="shared" si="0"/>
        <v>11</v>
      </c>
      <c r="B54" s="834" t="s">
        <v>733</v>
      </c>
      <c r="C54" s="869"/>
      <c r="D54" s="1245">
        <v>2022</v>
      </c>
      <c r="E54" s="1244">
        <v>3.0999999999999999E-3</v>
      </c>
      <c r="F54" s="1421"/>
      <c r="G54" s="870"/>
      <c r="H54" s="870"/>
      <c r="K54" s="858"/>
      <c r="L54" s="858"/>
      <c r="M54" s="858"/>
      <c r="N54" s="858"/>
    </row>
    <row r="55" spans="1:14" s="834" customFormat="1" ht="12.75" customHeight="1">
      <c r="A55" s="868">
        <f t="shared" si="0"/>
        <v>12</v>
      </c>
      <c r="B55" s="834" t="s">
        <v>734</v>
      </c>
      <c r="C55" s="869"/>
      <c r="D55" s="1245">
        <v>2022</v>
      </c>
      <c r="E55" s="1244">
        <v>3.0999999999999999E-3</v>
      </c>
      <c r="F55" s="1421"/>
      <c r="G55" s="870"/>
      <c r="H55" s="870"/>
      <c r="K55" s="858"/>
      <c r="L55" s="858"/>
      <c r="M55" s="858"/>
      <c r="N55" s="858"/>
    </row>
    <row r="56" spans="1:14" s="834" customFormat="1" ht="12.75" customHeight="1">
      <c r="A56" s="868">
        <f t="shared" si="0"/>
        <v>13</v>
      </c>
      <c r="B56" s="834" t="s">
        <v>735</v>
      </c>
      <c r="C56" s="869"/>
      <c r="D56" s="1245">
        <v>2022</v>
      </c>
      <c r="E56" s="1244">
        <v>3.0000000000000001E-3</v>
      </c>
      <c r="F56" s="1421"/>
      <c r="G56" s="870"/>
      <c r="H56" s="870"/>
      <c r="K56" s="858"/>
      <c r="L56" s="858"/>
      <c r="M56" s="858"/>
      <c r="N56" s="858"/>
    </row>
    <row r="57" spans="1:14" s="834" customFormat="1" ht="12.75" customHeight="1">
      <c r="A57" s="868">
        <f t="shared" si="0"/>
        <v>14</v>
      </c>
      <c r="B57" s="834" t="s">
        <v>736</v>
      </c>
      <c r="C57" s="869"/>
      <c r="D57" s="1245">
        <v>2022</v>
      </c>
      <c r="E57" s="1244">
        <v>4.1999999999999997E-3</v>
      </c>
      <c r="F57" s="1421"/>
      <c r="G57" s="870"/>
      <c r="H57" s="870"/>
      <c r="K57" s="858"/>
      <c r="L57" s="858"/>
      <c r="M57" s="858"/>
      <c r="N57" s="858"/>
    </row>
    <row r="58" spans="1:14" s="834" customFormat="1" ht="12.75" customHeight="1">
      <c r="A58" s="868">
        <f t="shared" si="0"/>
        <v>15</v>
      </c>
      <c r="B58" s="834" t="s">
        <v>737</v>
      </c>
      <c r="C58" s="869"/>
      <c r="D58" s="1245">
        <v>2022</v>
      </c>
      <c r="E58" s="1244">
        <v>4.0000000000000001E-3</v>
      </c>
      <c r="F58" s="1421"/>
      <c r="G58" s="870"/>
      <c r="H58" s="870"/>
      <c r="K58" s="858"/>
      <c r="L58" s="858"/>
      <c r="M58" s="858"/>
      <c r="N58" s="858"/>
    </row>
    <row r="59" spans="1:14" s="834" customFormat="1" ht="15">
      <c r="A59" s="868">
        <f t="shared" si="0"/>
        <v>16</v>
      </c>
      <c r="B59" s="834" t="s">
        <v>738</v>
      </c>
      <c r="C59" s="869"/>
      <c r="D59" s="1245">
        <v>2022</v>
      </c>
      <c r="E59" s="1244">
        <v>4.1999999999999997E-3</v>
      </c>
      <c r="F59" s="1421"/>
      <c r="G59" s="870"/>
      <c r="H59" s="870"/>
      <c r="K59" s="858"/>
      <c r="L59" s="858"/>
      <c r="M59" s="858"/>
      <c r="N59" s="858"/>
    </row>
    <row r="60" spans="1:14" s="834" customFormat="1" ht="15">
      <c r="A60" s="868">
        <f t="shared" si="0"/>
        <v>17</v>
      </c>
      <c r="B60" s="834" t="s">
        <v>727</v>
      </c>
      <c r="C60" s="869"/>
      <c r="D60" s="1245">
        <v>2023</v>
      </c>
      <c r="E60" s="1244">
        <v>5.4000000000000003E-3</v>
      </c>
      <c r="F60" s="1421"/>
      <c r="G60" s="870"/>
      <c r="H60" s="870"/>
      <c r="K60" s="858"/>
      <c r="L60" s="858"/>
      <c r="M60" s="858"/>
      <c r="N60" s="858"/>
    </row>
    <row r="61" spans="1:14" s="834" customFormat="1" ht="15">
      <c r="A61" s="868">
        <f t="shared" si="0"/>
        <v>18</v>
      </c>
      <c r="B61" s="834" t="s">
        <v>728</v>
      </c>
      <c r="C61" s="869"/>
      <c r="D61" s="1245">
        <v>2023</v>
      </c>
      <c r="E61" s="1244">
        <v>4.7999999999999996E-3</v>
      </c>
      <c r="F61" s="1421"/>
      <c r="G61" s="870"/>
      <c r="H61" s="870"/>
      <c r="K61" s="858"/>
      <c r="L61" s="858"/>
      <c r="M61" s="858"/>
      <c r="N61" s="858"/>
    </row>
    <row r="62" spans="1:14" s="834" customFormat="1" ht="15">
      <c r="A62" s="868">
        <f t="shared" si="0"/>
        <v>19</v>
      </c>
      <c r="B62" s="834" t="s">
        <v>729</v>
      </c>
      <c r="C62" s="869"/>
      <c r="D62" s="1245">
        <v>2023</v>
      </c>
      <c r="E62" s="1244">
        <v>5.4000000000000003E-3</v>
      </c>
      <c r="F62" s="1421"/>
      <c r="G62" s="870"/>
      <c r="H62" s="870"/>
      <c r="K62" s="858"/>
      <c r="L62" s="858"/>
      <c r="M62" s="858"/>
      <c r="N62" s="858"/>
    </row>
    <row r="63" spans="1:14" s="834" customFormat="1" ht="15">
      <c r="A63" s="868">
        <f t="shared" si="0"/>
        <v>20</v>
      </c>
      <c r="B63" s="834" t="s">
        <v>730</v>
      </c>
      <c r="C63" s="869"/>
      <c r="D63" s="1245">
        <v>2023</v>
      </c>
      <c r="E63" s="1244">
        <v>6.1999999999999998E-3</v>
      </c>
      <c r="F63" s="1421"/>
      <c r="G63" s="870"/>
      <c r="H63" s="870"/>
      <c r="K63" s="858"/>
      <c r="L63" s="858"/>
      <c r="M63" s="858"/>
      <c r="N63" s="858"/>
    </row>
    <row r="64" spans="1:14" s="834" customFormat="1" ht="15">
      <c r="A64" s="868">
        <f t="shared" si="0"/>
        <v>21</v>
      </c>
      <c r="B64" s="834" t="s">
        <v>731</v>
      </c>
      <c r="C64" s="869"/>
      <c r="D64" s="1245">
        <v>2023</v>
      </c>
      <c r="E64" s="1244">
        <v>6.4000000000000003E-3</v>
      </c>
      <c r="F64" s="1421"/>
      <c r="G64" s="870"/>
      <c r="H64" s="870"/>
      <c r="K64" s="858"/>
      <c r="L64" s="858"/>
      <c r="M64" s="858"/>
      <c r="N64" s="858"/>
    </row>
    <row r="65" spans="1:14" s="834" customFormat="1" ht="13.5" customHeight="1">
      <c r="A65" s="868">
        <f t="shared" si="0"/>
        <v>22</v>
      </c>
      <c r="B65" s="834" t="s">
        <v>732</v>
      </c>
      <c r="D65" s="1245">
        <v>2023</v>
      </c>
      <c r="E65" s="1244">
        <v>6.1999999999999998E-3</v>
      </c>
      <c r="F65" s="1421"/>
      <c r="G65" s="870"/>
      <c r="H65" s="870"/>
      <c r="K65" s="858"/>
      <c r="L65" s="858"/>
      <c r="M65" s="858"/>
      <c r="N65" s="858"/>
    </row>
    <row r="66" spans="1:14" s="834" customFormat="1" ht="13.5" customHeight="1">
      <c r="A66" s="868">
        <f t="shared" si="0"/>
        <v>23</v>
      </c>
      <c r="B66" s="834" t="s">
        <v>733</v>
      </c>
      <c r="C66" s="869"/>
      <c r="D66" s="1245">
        <v>2023</v>
      </c>
      <c r="E66" s="1244">
        <v>6.7999999999999996E-3</v>
      </c>
      <c r="F66" s="1421"/>
      <c r="G66" s="870"/>
      <c r="H66" s="870"/>
      <c r="K66" s="858"/>
      <c r="L66" s="858"/>
      <c r="M66" s="858"/>
      <c r="N66" s="858"/>
    </row>
    <row r="67" spans="1:14" s="834" customFormat="1" ht="13.5" customHeight="1">
      <c r="A67" s="868"/>
      <c r="C67" s="869"/>
      <c r="D67" s="870"/>
      <c r="E67" s="1297">
        <f>SUM(E48:E66)</f>
        <v>7.909999999999999E-2</v>
      </c>
      <c r="F67" s="870"/>
      <c r="G67" s="870"/>
      <c r="H67" s="870"/>
      <c r="K67" s="833"/>
      <c r="L67" s="858"/>
      <c r="M67" s="858"/>
      <c r="N67" s="858"/>
    </row>
    <row r="68" spans="1:14" s="834" customFormat="1" ht="15">
      <c r="A68" s="868">
        <f>+A66+1</f>
        <v>24</v>
      </c>
      <c r="B68" s="1271" t="s">
        <v>739</v>
      </c>
      <c r="D68" s="871"/>
      <c r="E68" s="1246">
        <f>E67/19</f>
        <v>4.1631578947368417E-3</v>
      </c>
      <c r="F68" s="870"/>
      <c r="G68" s="870"/>
      <c r="H68" s="1247">
        <f>E68</f>
        <v>4.1631578947368417E-3</v>
      </c>
      <c r="K68" s="1426"/>
      <c r="L68" s="858"/>
      <c r="M68" s="858"/>
      <c r="N68" s="858"/>
    </row>
    <row r="69" spans="1:14" s="834" customFormat="1" ht="15">
      <c r="A69" s="868"/>
      <c r="D69" s="870"/>
      <c r="E69" s="870"/>
      <c r="F69" s="870"/>
      <c r="G69" s="870"/>
      <c r="H69" s="870"/>
      <c r="K69" s="858"/>
      <c r="L69" s="858"/>
      <c r="M69" s="858"/>
      <c r="N69" s="858"/>
    </row>
    <row r="70" spans="1:14" s="834" customFormat="1" ht="15">
      <c r="A70" s="867" t="s">
        <v>740</v>
      </c>
      <c r="D70" s="870"/>
      <c r="E70" s="870"/>
      <c r="F70" s="870"/>
      <c r="G70" s="870"/>
      <c r="H70" s="870"/>
      <c r="K70" s="858"/>
      <c r="L70" s="858"/>
      <c r="M70" s="858"/>
      <c r="N70" s="858"/>
    </row>
    <row r="71" spans="1:14" s="834" customFormat="1" ht="15">
      <c r="A71" s="868"/>
      <c r="B71" s="1276" t="s">
        <v>741</v>
      </c>
      <c r="C71" s="1276" t="s">
        <v>742</v>
      </c>
      <c r="D71" s="1276"/>
      <c r="E71" s="1276"/>
      <c r="F71" s="1276"/>
      <c r="G71" s="1276" t="s">
        <v>743</v>
      </c>
      <c r="H71" s="1276" t="s">
        <v>744</v>
      </c>
      <c r="I71" s="1276" t="s">
        <v>745</v>
      </c>
      <c r="K71" s="858"/>
      <c r="L71" s="858"/>
      <c r="M71" s="858"/>
      <c r="N71" s="858"/>
    </row>
    <row r="72" spans="1:14" s="834" customFormat="1" ht="15">
      <c r="A72" s="868"/>
      <c r="B72" s="1355" t="s">
        <v>746</v>
      </c>
      <c r="C72" s="1494" t="s">
        <v>695</v>
      </c>
      <c r="D72" s="1495"/>
      <c r="E72" s="1495"/>
      <c r="F72" s="1496"/>
      <c r="G72" s="1356" t="s">
        <v>747</v>
      </c>
      <c r="H72" s="1356" t="s">
        <v>696</v>
      </c>
      <c r="I72" s="1356" t="s">
        <v>748</v>
      </c>
      <c r="K72" s="858"/>
      <c r="L72" s="858"/>
      <c r="M72" s="858"/>
      <c r="N72" s="858"/>
    </row>
    <row r="73" spans="1:14" s="834" customFormat="1" ht="15">
      <c r="A73" s="868"/>
      <c r="B73" s="872" t="s">
        <v>749</v>
      </c>
      <c r="C73" s="1497" t="s">
        <v>750</v>
      </c>
      <c r="D73" s="1498"/>
      <c r="E73" s="1498"/>
      <c r="F73" s="1499"/>
      <c r="G73" s="873" t="s">
        <v>751</v>
      </c>
      <c r="H73" s="873" t="s">
        <v>752</v>
      </c>
      <c r="I73" s="873" t="s">
        <v>753</v>
      </c>
      <c r="K73" s="858"/>
      <c r="L73" s="858"/>
      <c r="M73" s="858"/>
      <c r="N73" s="858"/>
    </row>
    <row r="74" spans="1:14" s="834" customFormat="1" ht="15">
      <c r="A74" s="868">
        <v>25</v>
      </c>
      <c r="B74" s="874">
        <v>0</v>
      </c>
      <c r="C74" s="1500" t="s">
        <v>2066</v>
      </c>
      <c r="D74" s="1501"/>
      <c r="E74" s="1501"/>
      <c r="F74" s="1502"/>
      <c r="G74" s="874">
        <v>-53112.074758827686</v>
      </c>
      <c r="H74" s="874">
        <f>G74*(0.275263157894737*12)%</f>
        <v>-1754.3756904547513</v>
      </c>
      <c r="I74" s="875">
        <f t="shared" ref="I74:I79" si="1">+G74+H74</f>
        <v>-54866.450449282434</v>
      </c>
      <c r="K74" s="858"/>
      <c r="L74" s="858"/>
      <c r="M74" s="858"/>
      <c r="N74" s="858"/>
    </row>
    <row r="75" spans="1:14" s="834" customFormat="1" ht="15">
      <c r="A75" s="868" t="s">
        <v>754</v>
      </c>
      <c r="B75" s="874">
        <v>0</v>
      </c>
      <c r="C75" s="1500" t="s">
        <v>2067</v>
      </c>
      <c r="D75" s="1501"/>
      <c r="E75" s="1501"/>
      <c r="F75" s="1502"/>
      <c r="G75" s="874">
        <v>-2160.0574949216098</v>
      </c>
      <c r="H75" s="874">
        <f t="shared" ref="H75:H76" si="2">G75*(0.275263157894737*12)%</f>
        <v>-71.350109674358052</v>
      </c>
      <c r="I75" s="875">
        <f t="shared" si="1"/>
        <v>-2231.4076045959678</v>
      </c>
      <c r="K75" s="858"/>
      <c r="L75" s="858"/>
      <c r="M75" s="858"/>
      <c r="N75" s="858"/>
    </row>
    <row r="76" spans="1:14" s="834" customFormat="1" ht="15">
      <c r="A76" s="868" t="s">
        <v>755</v>
      </c>
      <c r="B76" s="874">
        <v>0</v>
      </c>
      <c r="C76" s="1500" t="s">
        <v>2068</v>
      </c>
      <c r="D76" s="1501"/>
      <c r="E76" s="1501"/>
      <c r="F76" s="1502"/>
      <c r="G76" s="874">
        <v>-3135.9514357652515</v>
      </c>
      <c r="H76" s="874">
        <f t="shared" si="2"/>
        <v>-103.58542742559331</v>
      </c>
      <c r="I76" s="875">
        <f t="shared" si="1"/>
        <v>-3239.536863190845</v>
      </c>
      <c r="K76" s="858"/>
      <c r="L76" s="858"/>
      <c r="M76" s="858"/>
      <c r="N76" s="858"/>
    </row>
    <row r="77" spans="1:14" s="834" customFormat="1" ht="15">
      <c r="A77" s="868" t="s">
        <v>756</v>
      </c>
      <c r="B77" s="876"/>
      <c r="C77" s="1488"/>
      <c r="D77" s="1489"/>
      <c r="E77" s="1489"/>
      <c r="F77" s="1490"/>
      <c r="G77" s="877"/>
      <c r="H77" s="877"/>
      <c r="I77" s="875">
        <f t="shared" si="1"/>
        <v>0</v>
      </c>
      <c r="K77" s="858"/>
      <c r="L77" s="858"/>
      <c r="M77" s="858"/>
      <c r="N77" s="858"/>
    </row>
    <row r="78" spans="1:14" s="834" customFormat="1" ht="15">
      <c r="A78" s="852" t="s">
        <v>146</v>
      </c>
      <c r="B78" s="878"/>
      <c r="C78" s="1488"/>
      <c r="D78" s="1489"/>
      <c r="E78" s="1489"/>
      <c r="F78" s="1490"/>
      <c r="G78" s="877"/>
      <c r="H78" s="877"/>
      <c r="I78" s="875">
        <f t="shared" si="1"/>
        <v>0</v>
      </c>
      <c r="K78" s="858"/>
      <c r="L78" s="858"/>
      <c r="M78" s="858"/>
      <c r="N78" s="858"/>
    </row>
    <row r="79" spans="1:14" s="834" customFormat="1" ht="15">
      <c r="A79" s="852" t="s">
        <v>146</v>
      </c>
      <c r="B79" s="879"/>
      <c r="C79" s="1491"/>
      <c r="D79" s="1492"/>
      <c r="E79" s="1492"/>
      <c r="F79" s="1493"/>
      <c r="G79" s="880"/>
      <c r="H79" s="880"/>
      <c r="I79" s="881">
        <f t="shared" si="1"/>
        <v>0</v>
      </c>
      <c r="K79" s="858"/>
      <c r="L79" s="858"/>
      <c r="M79" s="858"/>
      <c r="N79" s="858"/>
    </row>
    <row r="80" spans="1:14" s="834" customFormat="1" ht="15">
      <c r="A80" s="882">
        <v>26</v>
      </c>
      <c r="B80" s="834" t="s">
        <v>157</v>
      </c>
      <c r="I80" s="883">
        <f>SUM(I74:I79)</f>
        <v>-60337.394917069243</v>
      </c>
      <c r="K80" s="858"/>
      <c r="L80" s="858"/>
      <c r="M80" s="858"/>
      <c r="N80" s="858"/>
    </row>
    <row r="81" spans="1:14" s="834" customFormat="1" ht="15">
      <c r="A81" s="868"/>
      <c r="D81" s="884"/>
      <c r="E81" s="884"/>
      <c r="F81" s="884"/>
      <c r="G81" s="884"/>
      <c r="H81" s="884"/>
      <c r="I81" s="884"/>
      <c r="J81" s="884"/>
      <c r="K81" s="885"/>
      <c r="L81" s="885"/>
      <c r="M81" s="885"/>
      <c r="N81" s="885"/>
    </row>
    <row r="82" spans="1:14" s="834" customFormat="1" ht="30" customHeight="1">
      <c r="A82" s="886" t="s">
        <v>460</v>
      </c>
      <c r="B82" s="886" t="s">
        <v>550</v>
      </c>
      <c r="C82" s="1476" t="s">
        <v>757</v>
      </c>
      <c r="D82" s="1476"/>
      <c r="E82" s="1476"/>
      <c r="F82" s="1476"/>
      <c r="G82" s="1476"/>
      <c r="H82" s="1476"/>
      <c r="I82" s="1476"/>
      <c r="J82" s="1476"/>
      <c r="K82" s="887"/>
      <c r="L82" s="887"/>
      <c r="M82" s="887"/>
      <c r="N82" s="887"/>
    </row>
    <row r="83" spans="1:14">
      <c r="A83" s="888"/>
      <c r="B83" s="889"/>
    </row>
    <row r="84" spans="1:14">
      <c r="A84" s="890"/>
      <c r="B84" s="891"/>
      <c r="C84" s="1487"/>
      <c r="D84" s="1487"/>
      <c r="E84" s="1487"/>
      <c r="F84" s="1487"/>
      <c r="G84" s="1487"/>
      <c r="H84" s="1487"/>
      <c r="I84" s="1487"/>
    </row>
    <row r="85" spans="1:14" ht="57" customHeight="1"/>
  </sheetData>
  <customSheetViews>
    <customSheetView guid="{343BF296-013A-41F5-BDAB-AD6220EA7F78}" showPageBreaks="1" printArea="1" view="pageBreakPreview">
      <selection activeCell="J28" sqref="J28"/>
      <rowBreaks count="1" manualBreakCount="1">
        <brk id="37" max="9" man="1"/>
      </rowBreaks>
      <pageMargins left="0" right="0" top="0" bottom="0" header="0" footer="0"/>
      <pageSetup scale="60" fitToHeight="2" orientation="landscape" r:id="rId1"/>
    </customSheetView>
    <customSheetView guid="{B321D76C-CDE5-48BB-9CDE-80FF97D58FCF}" showPageBreaks="1" printArea="1" view="pageBreakPreview" topLeftCell="A7">
      <selection activeCell="D38" sqref="D38"/>
      <rowBreaks count="1" manualBreakCount="1">
        <brk id="37" max="9" man="1"/>
      </rowBreaks>
      <pageMargins left="0" right="0" top="0" bottom="0" header="0" footer="0"/>
      <pageSetup scale="60" fitToHeight="2" orientation="landscape" r:id="rId2"/>
    </customSheetView>
  </customSheetViews>
  <mergeCells count="15">
    <mergeCell ref="C84:I84"/>
    <mergeCell ref="C78:F78"/>
    <mergeCell ref="C79:F79"/>
    <mergeCell ref="C82:J82"/>
    <mergeCell ref="C72:F72"/>
    <mergeCell ref="C73:F73"/>
    <mergeCell ref="C74:F74"/>
    <mergeCell ref="C75:F75"/>
    <mergeCell ref="C76:F76"/>
    <mergeCell ref="C77:F77"/>
    <mergeCell ref="A8:J8"/>
    <mergeCell ref="A7:J7"/>
    <mergeCell ref="A6:J6"/>
    <mergeCell ref="A5:J5"/>
    <mergeCell ref="D32:K32"/>
  </mergeCells>
  <pageMargins left="0.7" right="0.7" top="0.75" bottom="0.75" header="0.3" footer="0.3"/>
  <pageSetup scale="61" fitToHeight="0" orientation="landscape" r:id="rId3"/>
  <rowBreaks count="1" manualBreakCount="1">
    <brk id="37" max="9" man="1"/>
  </rowBreaks>
  <ignoredErrors>
    <ignoredError sqref="A11:J11" numberStoredAsText="1"/>
  </ignoredErrors>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92D050"/>
    <pageSetUpPr fitToPage="1"/>
  </sheetPr>
  <dimension ref="A1:P79"/>
  <sheetViews>
    <sheetView view="pageBreakPreview" zoomScale="90" zoomScaleNormal="110" zoomScaleSheetLayoutView="90" workbookViewId="0">
      <selection activeCell="C60" sqref="C60"/>
    </sheetView>
  </sheetViews>
  <sheetFormatPr defaultColWidth="8.5546875" defaultRowHeight="12"/>
  <cols>
    <col min="1" max="1" width="6.77734375" style="59" customWidth="1"/>
    <col min="2" max="2" width="44.33203125" style="59" customWidth="1"/>
    <col min="3" max="4" width="15.77734375" style="59" customWidth="1"/>
    <col min="5" max="5" width="17.33203125" style="59" bestFit="1" customWidth="1"/>
    <col min="6" max="6" width="23.33203125" style="59" customWidth="1"/>
    <col min="7" max="7" width="14.21875" style="59" customWidth="1"/>
    <col min="8" max="8" width="13.33203125" style="59" customWidth="1"/>
    <col min="9" max="9" width="15.33203125" style="59" customWidth="1"/>
    <col min="10" max="10" width="9.77734375" style="59" bestFit="1" customWidth="1"/>
    <col min="11" max="11" width="29.109375" style="59" customWidth="1"/>
    <col min="12" max="16384" width="8.5546875" style="59"/>
  </cols>
  <sheetData>
    <row r="1" spans="1:16" s="216" customFormat="1" ht="15.6">
      <c r="A1" s="70"/>
    </row>
    <row r="2" spans="1:16" s="216" customFormat="1"/>
    <row r="3" spans="1:16" s="216" customFormat="1"/>
    <row r="4" spans="1:16" s="216" customFormat="1" ht="17.399999999999999">
      <c r="A4" s="1463" t="s">
        <v>0</v>
      </c>
      <c r="B4" s="1463"/>
      <c r="C4" s="1463"/>
      <c r="D4" s="1463"/>
      <c r="E4" s="1463"/>
      <c r="F4" s="1463"/>
      <c r="G4" s="1463"/>
      <c r="H4" s="221"/>
      <c r="I4" s="221"/>
      <c r="J4" s="221"/>
      <c r="K4" s="221"/>
      <c r="L4" s="221"/>
      <c r="M4" s="221"/>
      <c r="N4" s="221"/>
      <c r="O4" s="221"/>
      <c r="P4" s="221"/>
    </row>
    <row r="5" spans="1:16" s="216" customFormat="1" ht="17.399999999999999">
      <c r="A5" s="1463" t="s">
        <v>1</v>
      </c>
      <c r="B5" s="1463"/>
      <c r="C5" s="1463"/>
      <c r="D5" s="1463"/>
      <c r="E5" s="1463"/>
      <c r="F5" s="1463"/>
      <c r="G5" s="1463"/>
      <c r="H5" s="221"/>
      <c r="I5" s="221"/>
      <c r="J5" s="221"/>
      <c r="K5" s="221"/>
      <c r="L5" s="221"/>
      <c r="M5" s="221"/>
      <c r="N5" s="221"/>
      <c r="O5" s="221"/>
    </row>
    <row r="6" spans="1:16" s="216" customFormat="1" ht="17.399999999999999">
      <c r="A6" s="1464" t="str">
        <f>SUMMARY!A7</f>
        <v>YEAR ENDING DECEMBER 31, 2022</v>
      </c>
      <c r="B6" s="1464"/>
      <c r="C6" s="1464"/>
      <c r="D6" s="1464"/>
      <c r="E6" s="1464"/>
      <c r="F6" s="1464"/>
      <c r="G6" s="1464"/>
      <c r="H6" s="221"/>
      <c r="I6" s="221"/>
      <c r="J6" s="221"/>
      <c r="K6" s="221"/>
      <c r="L6" s="221"/>
      <c r="M6" s="221"/>
      <c r="N6" s="221"/>
      <c r="O6" s="221"/>
    </row>
    <row r="7" spans="1:16" s="216" customFormat="1" ht="17.399999999999999">
      <c r="A7" s="218"/>
      <c r="B7" s="222"/>
      <c r="F7" s="218"/>
      <c r="G7" s="218"/>
      <c r="H7" s="218"/>
    </row>
    <row r="8" spans="1:16" s="216" customFormat="1" ht="17.399999999999999">
      <c r="A8" s="1463" t="s">
        <v>758</v>
      </c>
      <c r="B8" s="1463"/>
      <c r="C8" s="1463"/>
      <c r="D8" s="1463"/>
      <c r="E8" s="1463"/>
      <c r="F8" s="1463"/>
      <c r="G8" s="1463"/>
      <c r="H8" s="221"/>
      <c r="I8" s="221"/>
      <c r="J8" s="221"/>
      <c r="K8" s="221"/>
      <c r="L8" s="221"/>
      <c r="M8" s="221"/>
      <c r="N8" s="221"/>
      <c r="O8" s="221"/>
      <c r="P8" s="221"/>
    </row>
    <row r="9" spans="1:16" s="216" customFormat="1" ht="17.399999999999999">
      <c r="A9" s="1463" t="s">
        <v>759</v>
      </c>
      <c r="B9" s="1463"/>
      <c r="C9" s="1463"/>
      <c r="D9" s="1463"/>
      <c r="E9" s="1463"/>
      <c r="F9" s="1463"/>
      <c r="G9" s="1463"/>
      <c r="H9" s="221"/>
      <c r="I9" s="221"/>
      <c r="J9" s="221"/>
      <c r="K9" s="221"/>
      <c r="L9" s="221"/>
      <c r="M9" s="221"/>
      <c r="N9" s="221"/>
      <c r="O9" s="221"/>
      <c r="P9" s="221"/>
    </row>
    <row r="10" spans="1:16" s="216" customFormat="1" ht="15.75" customHeight="1">
      <c r="A10" s="1463"/>
      <c r="B10" s="1463"/>
      <c r="C10" s="1463"/>
      <c r="D10" s="1463"/>
      <c r="E10" s="1463"/>
      <c r="F10" s="1463"/>
      <c r="G10" s="1463"/>
    </row>
    <row r="11" spans="1:16" s="216" customFormat="1" ht="13.2">
      <c r="A11" s="811"/>
      <c r="B11" s="811" t="s">
        <v>8</v>
      </c>
      <c r="C11" s="811" t="s">
        <v>9</v>
      </c>
      <c r="D11" s="811" t="s">
        <v>359</v>
      </c>
      <c r="E11" s="811" t="s">
        <v>360</v>
      </c>
      <c r="F11" s="811" t="s">
        <v>162</v>
      </c>
      <c r="G11" s="811" t="s">
        <v>163</v>
      </c>
      <c r="H11" s="811"/>
    </row>
    <row r="12" spans="1:16" ht="14.4">
      <c r="B12" s="1357"/>
      <c r="C12" s="1358"/>
      <c r="D12" s="1358"/>
      <c r="E12" s="1358"/>
      <c r="F12" s="1359" t="s">
        <v>760</v>
      </c>
      <c r="G12" s="1359" t="s">
        <v>761</v>
      </c>
      <c r="H12" s="812"/>
      <c r="I12" s="812"/>
    </row>
    <row r="13" spans="1:16" s="216" customFormat="1" ht="18" customHeight="1" thickBot="1">
      <c r="A13" s="1298" t="s">
        <v>7</v>
      </c>
      <c r="B13" s="813" t="s">
        <v>4</v>
      </c>
      <c r="C13" s="1360" t="s">
        <v>365</v>
      </c>
      <c r="D13" s="1360" t="s">
        <v>377</v>
      </c>
      <c r="E13" s="1360" t="s">
        <v>762</v>
      </c>
      <c r="F13" s="5" t="s">
        <v>763</v>
      </c>
      <c r="G13" s="6" t="s">
        <v>764</v>
      </c>
    </row>
    <row r="14" spans="1:16" s="216" customFormat="1" ht="15" thickBot="1">
      <c r="B14" s="1361"/>
      <c r="C14" s="1362"/>
      <c r="D14" s="1362"/>
      <c r="E14" s="1362"/>
      <c r="F14" s="1363"/>
      <c r="G14" s="814"/>
    </row>
    <row r="15" spans="1:16" s="216" customFormat="1" ht="14.4">
      <c r="A15" s="1230" t="s">
        <v>167</v>
      </c>
      <c r="B15" s="1364" t="s">
        <v>765</v>
      </c>
      <c r="C15" s="1365">
        <f>SUM('WP-AB'!D39:V39)</f>
        <v>156121018.61000001</v>
      </c>
      <c r="D15" s="1365">
        <f>SUM('WP-AB'!W39:AF39)</f>
        <v>0</v>
      </c>
      <c r="E15" s="1365">
        <f>SUM('WP-AB'!AG39,'WP-AB'!AH39,'WP-AB'!AI39,'WP-AB'!AJ39,'WP-AB'!AK39,'WP-AB'!AL39,'WP-AB'!AR39:AY39)</f>
        <v>683957089.42999995</v>
      </c>
      <c r="F15" s="1366">
        <f>SUM(C15:E15)</f>
        <v>840078108.03999996</v>
      </c>
      <c r="G15" s="1367">
        <f>SUM(F15)</f>
        <v>840078108.03999996</v>
      </c>
    </row>
    <row r="16" spans="1:16" s="216" customFormat="1" ht="14.4">
      <c r="A16" s="1230" t="s">
        <v>171</v>
      </c>
      <c r="B16" s="1364" t="s">
        <v>766</v>
      </c>
      <c r="C16" s="1365">
        <f>SUM('WP-AB'!D19:V19)</f>
        <v>469855190.09000003</v>
      </c>
      <c r="D16" s="1365">
        <f>SUM('WP-AB'!W19:AF19)</f>
        <v>0</v>
      </c>
      <c r="E16" s="1365">
        <f>SUM('WP-AB'!AG19,'WP-AB'!AH19,'WP-AB'!AI19,'WP-AB'!AJ19,'WP-AB'!AK19,'WP-AB'!AL19)</f>
        <v>0</v>
      </c>
      <c r="F16" s="1366">
        <f t="shared" ref="F16:F30" si="0">SUM(C16:E16)</f>
        <v>469855190.09000003</v>
      </c>
      <c r="G16" s="1367">
        <f>SUM(F16:F16)</f>
        <v>469855190.09000003</v>
      </c>
    </row>
    <row r="17" spans="1:8" s="216" customFormat="1" ht="14.4">
      <c r="A17" s="1230" t="s">
        <v>174</v>
      </c>
      <c r="B17" s="1364" t="s">
        <v>767</v>
      </c>
      <c r="C17" s="1365"/>
      <c r="D17" s="1365">
        <f>SUM('WP-AB'!D43:AF43)</f>
        <v>408721007.66000003</v>
      </c>
      <c r="E17" s="1365">
        <f>SUM('WP-AB'!AG43,'WP-AB'!AH43,'WP-AB'!AI43,'WP-AB'!AJ43,'WP-AB'!AK43,'WP-AB'!AL43,'WP-AB'!AR43)</f>
        <v>895686563.88000011</v>
      </c>
      <c r="F17" s="1366">
        <f t="shared" si="0"/>
        <v>1304407571.5400002</v>
      </c>
      <c r="G17" s="1367">
        <f>F17</f>
        <v>1304407571.5400002</v>
      </c>
    </row>
    <row r="18" spans="1:8" s="216" customFormat="1" ht="15" thickBot="1">
      <c r="A18" s="1299" t="s">
        <v>146</v>
      </c>
      <c r="B18" s="815" t="s">
        <v>146</v>
      </c>
      <c r="C18" s="1300" t="s">
        <v>768</v>
      </c>
      <c r="D18" s="1300" t="s">
        <v>768</v>
      </c>
      <c r="E18" s="1300" t="s">
        <v>768</v>
      </c>
      <c r="F18" s="1301" t="s">
        <v>768</v>
      </c>
      <c r="G18" s="1301" t="s">
        <v>768</v>
      </c>
    </row>
    <row r="19" spans="1:8" s="216" customFormat="1" ht="14.4">
      <c r="A19" s="1230" t="s">
        <v>769</v>
      </c>
      <c r="B19" s="816" t="s">
        <v>770</v>
      </c>
      <c r="C19" s="1365">
        <f>SUM('WP-AB'!D20:V20)</f>
        <v>0</v>
      </c>
      <c r="D19" s="1365">
        <f>SUM('WP-AB'!W20:AF20)</f>
        <v>0</v>
      </c>
      <c r="E19" s="1365">
        <f>SUM('WP-AB'!AG20,'WP-AB'!AH20,'WP-AB'!AI20,'WP-AB'!AJ20,'WP-AB'!AK20,'WP-AB'!AL20)</f>
        <v>0</v>
      </c>
      <c r="F19" s="1302">
        <f t="shared" si="0"/>
        <v>0</v>
      </c>
      <c r="G19" s="1368"/>
    </row>
    <row r="20" spans="1:8" s="216" customFormat="1" ht="14.4">
      <c r="A20" s="1230" t="s">
        <v>771</v>
      </c>
      <c r="B20" s="1364" t="s">
        <v>772</v>
      </c>
      <c r="C20" s="1365">
        <f>SUM('WP-AB'!D23:V23)</f>
        <v>12785918</v>
      </c>
      <c r="D20" s="1365">
        <f>SUM('WP-AB'!W23:AF23)</f>
        <v>0</v>
      </c>
      <c r="E20" s="1365">
        <f>SUM('WP-AB'!AG23,'WP-AB'!AH23,'WP-AB'!AI23,'WP-AB'!AJ23,'WP-AB'!AK23,'WP-AB'!AL23)</f>
        <v>0</v>
      </c>
      <c r="F20" s="1366">
        <f t="shared" si="0"/>
        <v>12785918</v>
      </c>
      <c r="G20" s="1303"/>
    </row>
    <row r="21" spans="1:8" s="216" customFormat="1" ht="14.4">
      <c r="A21" s="1230" t="s">
        <v>773</v>
      </c>
      <c r="B21" s="1364" t="s">
        <v>774</v>
      </c>
      <c r="C21" s="1365">
        <f>SUM('WP-AB'!D24:V24)</f>
        <v>831718.7300000001</v>
      </c>
      <c r="D21" s="1365">
        <f>SUM('WP-AB'!W24:AF24)</f>
        <v>0</v>
      </c>
      <c r="E21" s="1365">
        <f>SUM('WP-AB'!AG24,'WP-AB'!AH24,'WP-AB'!AI24,'WP-AB'!AJ24,'WP-AB'!AK24,'WP-AB'!AL24)</f>
        <v>0</v>
      </c>
      <c r="F21" s="1366">
        <f t="shared" si="0"/>
        <v>831718.7300000001</v>
      </c>
      <c r="G21" s="1303"/>
    </row>
    <row r="22" spans="1:8" s="216" customFormat="1" ht="14.4">
      <c r="A22" s="1230" t="s">
        <v>775</v>
      </c>
      <c r="B22" s="1364" t="s">
        <v>776</v>
      </c>
      <c r="C22" s="1365">
        <f>SUM('WP-AB'!D25:V25)</f>
        <v>10274506.859999999</v>
      </c>
      <c r="D22" s="1365">
        <f>SUM('WP-AB'!W25:AF25)</f>
        <v>0</v>
      </c>
      <c r="E22" s="1365">
        <f>SUM('WP-AB'!AG25,'WP-AB'!AH25,'WP-AB'!AI25,'WP-AB'!AJ25,'WP-AB'!AK25,'WP-AB'!AL25)</f>
        <v>0</v>
      </c>
      <c r="F22" s="1366">
        <f t="shared" si="0"/>
        <v>10274506.859999999</v>
      </c>
      <c r="G22" s="1303"/>
    </row>
    <row r="23" spans="1:8" s="216" customFormat="1" ht="14.4">
      <c r="A23" s="1230" t="s">
        <v>777</v>
      </c>
      <c r="B23" s="1364" t="s">
        <v>778</v>
      </c>
      <c r="C23" s="1365">
        <f>SUM('WP-AB'!D26:V26)</f>
        <v>26311044.300000001</v>
      </c>
      <c r="D23" s="1365">
        <f>SUM('WP-AB'!W26:AF26)</f>
        <v>0</v>
      </c>
      <c r="E23" s="1365">
        <f>SUM('WP-AB'!AG26,'WP-AB'!AH26,'WP-AB'!AI26,'WP-AB'!AJ26,'WP-AB'!AK26,'WP-AB'!AL26)</f>
        <v>0</v>
      </c>
      <c r="F23" s="1366">
        <f t="shared" si="0"/>
        <v>26311044.300000001</v>
      </c>
      <c r="G23" s="1303"/>
    </row>
    <row r="24" spans="1:8" s="216" customFormat="1" ht="14.4">
      <c r="A24" s="1230" t="s">
        <v>779</v>
      </c>
      <c r="B24" s="1364" t="s">
        <v>780</v>
      </c>
      <c r="C24" s="1365">
        <f>SUM('WP-AB'!D32:V32)</f>
        <v>6129541.9100000011</v>
      </c>
      <c r="D24" s="1365">
        <f>SUM('WP-AB'!W32:AF32)</f>
        <v>0</v>
      </c>
      <c r="E24" s="1365">
        <f>SUM('WP-AB'!AG32,'WP-AB'!AH32,'WP-AB'!AI32,'WP-AB'!AJ32,'WP-AB'!AK32,'WP-AB'!AL32)</f>
        <v>0</v>
      </c>
      <c r="F24" s="1366">
        <f t="shared" si="0"/>
        <v>6129541.9100000011</v>
      </c>
      <c r="G24" s="1303"/>
    </row>
    <row r="25" spans="1:8" s="216" customFormat="1" ht="14.4">
      <c r="A25" s="1230" t="s">
        <v>781</v>
      </c>
      <c r="B25" s="1364" t="s">
        <v>782</v>
      </c>
      <c r="C25" s="1365">
        <f>SUM('WP-AB'!D33:V33)</f>
        <v>187996.52000000002</v>
      </c>
      <c r="D25" s="1365">
        <f>SUM('WP-AB'!W33:AF33)</f>
        <v>0</v>
      </c>
      <c r="E25" s="1365">
        <f>SUM('WP-AB'!AG33,'WP-AB'!AH33,'WP-AB'!AI33,'WP-AB'!AJ33,'WP-AB'!AK33,'WP-AB'!AL33)</f>
        <v>0</v>
      </c>
      <c r="F25" s="1366">
        <f t="shared" si="0"/>
        <v>187996.52000000002</v>
      </c>
      <c r="G25" s="1303"/>
    </row>
    <row r="26" spans="1:8" s="216" customFormat="1" ht="14.4">
      <c r="A26" s="1230" t="s">
        <v>783</v>
      </c>
      <c r="B26" s="1364" t="s">
        <v>784</v>
      </c>
      <c r="C26" s="1365">
        <f>SUM('WP-AB'!D34:V34)</f>
        <v>19412178.960000001</v>
      </c>
      <c r="D26" s="1365">
        <f>SUM('WP-AB'!W34:AF34)</f>
        <v>0</v>
      </c>
      <c r="E26" s="1365">
        <f>SUM('WP-AB'!AG34,'WP-AB'!AH34,'WP-AB'!AI34,'WP-AB'!AJ34,'WP-AB'!AK34,'WP-AB'!AL34,'WP-AB'!AR34:AY34)</f>
        <v>8527603.9800000004</v>
      </c>
      <c r="F26" s="1366">
        <f t="shared" si="0"/>
        <v>27939782.940000001</v>
      </c>
      <c r="G26" s="1303"/>
    </row>
    <row r="27" spans="1:8" s="216" customFormat="1" ht="14.4">
      <c r="A27" s="1230" t="s">
        <v>785</v>
      </c>
      <c r="B27" s="1364" t="s">
        <v>786</v>
      </c>
      <c r="C27" s="1365">
        <f>SUM('WP-AB'!D40:V40)</f>
        <v>0</v>
      </c>
      <c r="D27" s="1365">
        <f>SUM('WP-AB'!W40:AF40)</f>
        <v>6793142.7000000002</v>
      </c>
      <c r="E27" s="1365">
        <f>SUM('WP-AB'!AG40,'WP-AB'!AH40,'WP-AB'!AI40,'WP-AB'!AJ40,'WP-AB'!AK40,'WP-AB'!AL40)</f>
        <v>0</v>
      </c>
      <c r="F27" s="1366">
        <f t="shared" si="0"/>
        <v>6793142.7000000002</v>
      </c>
      <c r="G27" s="1303"/>
      <c r="H27" s="812"/>
    </row>
    <row r="28" spans="1:8" s="216" customFormat="1" ht="14.4">
      <c r="A28" s="1230" t="s">
        <v>787</v>
      </c>
      <c r="B28" s="1364" t="s">
        <v>788</v>
      </c>
      <c r="C28" s="1365">
        <f>SUM('WP-AB'!D41:V41)</f>
        <v>0</v>
      </c>
      <c r="D28" s="1365">
        <f>SUM('WP-AB'!W41:AF41)</f>
        <v>3288483.2199999997</v>
      </c>
      <c r="E28" s="1365">
        <f>SUM('WP-AB'!AG41,'WP-AB'!AH41,'WP-AB'!AI41,'WP-AB'!AJ41,'WP-AB'!AK41,'WP-AB'!AL41)</f>
        <v>0</v>
      </c>
      <c r="F28" s="1366">
        <f t="shared" si="0"/>
        <v>3288483.2199999997</v>
      </c>
      <c r="G28" s="1303"/>
      <c r="H28" s="812"/>
    </row>
    <row r="29" spans="1:8" s="216" customFormat="1" ht="14.4">
      <c r="A29" s="1230" t="s">
        <v>789</v>
      </c>
      <c r="B29" s="1364" t="s">
        <v>790</v>
      </c>
      <c r="C29" s="1365">
        <f>SUM('WP-AB'!D42:V42)</f>
        <v>0</v>
      </c>
      <c r="D29" s="1365">
        <f>SUM('WP-AB'!W42:AF42)</f>
        <v>5065477.8900000006</v>
      </c>
      <c r="E29" s="1365">
        <f>SUM('WP-AB'!AG42,'WP-AB'!AH42,'WP-AB'!AI42,'WP-AB'!AJ42,'WP-AB'!AK42,'WP-AB'!AL42)</f>
        <v>0</v>
      </c>
      <c r="F29" s="1366">
        <f t="shared" si="0"/>
        <v>5065477.8900000006</v>
      </c>
      <c r="G29" s="1303"/>
      <c r="H29" s="812"/>
    </row>
    <row r="30" spans="1:8" s="216" customFormat="1" ht="14.4">
      <c r="A30" s="1230" t="s">
        <v>791</v>
      </c>
      <c r="B30" s="1364" t="s">
        <v>792</v>
      </c>
      <c r="C30" s="1365">
        <f>SUM('WP-AB'!D44:V44)</f>
        <v>0</v>
      </c>
      <c r="D30" s="1365">
        <f>SUM('WP-AB'!W44:AF44)</f>
        <v>9740706.3900000006</v>
      </c>
      <c r="E30" s="1365">
        <f>SUM('WP-AB'!AG44,'WP-AB'!AH44,'WP-AB'!AI44,'WP-AB'!AJ44,'WP-AB'!AK44,'WP-AB'!AL44)</f>
        <v>0</v>
      </c>
      <c r="F30" s="1366">
        <f t="shared" si="0"/>
        <v>9740706.3900000006</v>
      </c>
      <c r="G30" s="1303"/>
      <c r="H30" s="812"/>
    </row>
    <row r="31" spans="1:8" s="216" customFormat="1" ht="14.4">
      <c r="A31" s="1230" t="s">
        <v>793</v>
      </c>
      <c r="B31" s="1364" t="s">
        <v>794</v>
      </c>
      <c r="C31" s="1365">
        <f>SUM('WP-AB'!D51:V51)</f>
        <v>64674006.460000001</v>
      </c>
      <c r="D31" s="1365">
        <f>SUM('WP-AB'!W51:AF51)</f>
        <v>0</v>
      </c>
      <c r="E31" s="1365">
        <f>SUM('WP-AB'!AG51,'WP-AB'!AH51,'WP-AB'!AI51,'WP-AB'!AJ51,'WP-AB'!AK51,'WP-AB'!AL51,'WP-AB'!AR51:AY51)</f>
        <v>130891075.32000001</v>
      </c>
      <c r="F31" s="1366">
        <f>SUM(C31:E31)</f>
        <v>195565081.78</v>
      </c>
      <c r="G31" s="1303"/>
      <c r="H31" s="812"/>
    </row>
    <row r="32" spans="1:8" s="216" customFormat="1" ht="14.4">
      <c r="A32" s="1230" t="s">
        <v>795</v>
      </c>
      <c r="B32" s="1364" t="s">
        <v>796</v>
      </c>
      <c r="C32" s="1365"/>
      <c r="D32" s="1365"/>
      <c r="E32" s="1365">
        <v>0</v>
      </c>
      <c r="F32" s="1366">
        <f>SUM(C32:E32)</f>
        <v>0</v>
      </c>
      <c r="G32" s="1303"/>
    </row>
    <row r="33" spans="1:11" s="216" customFormat="1" ht="14.4">
      <c r="A33" s="1230" t="s">
        <v>797</v>
      </c>
      <c r="B33" s="1364" t="s">
        <v>798</v>
      </c>
      <c r="C33" s="1365">
        <f>SUM('WP-AB'!D52:V52)</f>
        <v>252400</v>
      </c>
      <c r="D33" s="1365">
        <f>SUM('WP-AB'!W52:AF52)</f>
        <v>17743705.199999999</v>
      </c>
      <c r="E33" s="1365">
        <f>SUM('WP-AB'!AG52,'WP-AB'!AH52,'WP-AB'!AI52,'WP-AB'!AJ52,'WP-AB'!AK52,'WP-AB'!AL52)</f>
        <v>0</v>
      </c>
      <c r="F33" s="1366">
        <f t="shared" ref="F33:F72" si="1">SUM(C33:E33)</f>
        <v>17996105.199999999</v>
      </c>
      <c r="G33" s="1303"/>
    </row>
    <row r="34" spans="1:11" s="216" customFormat="1" ht="14.4">
      <c r="A34" s="1230" t="s">
        <v>799</v>
      </c>
      <c r="B34" s="1364" t="s">
        <v>800</v>
      </c>
      <c r="C34" s="1365">
        <f>SUM('WP-AB'!D53:V53)</f>
        <v>0</v>
      </c>
      <c r="D34" s="1365">
        <f>SUM('WP-AB'!W53:AF53)</f>
        <v>0</v>
      </c>
      <c r="E34" s="1365">
        <f>SUM('WP-AB'!AG53,'WP-AB'!AH53,'WP-AB'!AI53,'WP-AB'!AJ53,'WP-AB'!AK53,'WP-AB'!AL53)</f>
        <v>101029113.1498595</v>
      </c>
      <c r="F34" s="1366">
        <f t="shared" si="1"/>
        <v>101029113.1498595</v>
      </c>
      <c r="G34" s="1303"/>
      <c r="J34" s="812"/>
      <c r="K34" s="812"/>
    </row>
    <row r="35" spans="1:11" s="216" customFormat="1" ht="14.4">
      <c r="A35" s="1230" t="s">
        <v>801</v>
      </c>
      <c r="B35" s="1364" t="s">
        <v>802</v>
      </c>
      <c r="C35" s="1365">
        <f>SUM('WP-AB'!D54:V54)</f>
        <v>0</v>
      </c>
      <c r="D35" s="1365">
        <f>SUM('WP-AB'!W54:AF54)</f>
        <v>0</v>
      </c>
      <c r="E35" s="1365">
        <f>SUM('WP-AB'!AG54,'WP-AB'!AH54,'WP-AB'!AI54,'WP-AB'!AJ54,'WP-AB'!AK54,'WP-AB'!AL54)</f>
        <v>34706070.925585769</v>
      </c>
      <c r="F35" s="1366">
        <f t="shared" si="1"/>
        <v>34706070.925585769</v>
      </c>
      <c r="G35" s="1303"/>
      <c r="J35" s="812"/>
      <c r="K35" s="812"/>
    </row>
    <row r="36" spans="1:11" s="216" customFormat="1" ht="14.4">
      <c r="A36" s="1230" t="s">
        <v>803</v>
      </c>
      <c r="B36" s="1364" t="s">
        <v>804</v>
      </c>
      <c r="C36" s="1365">
        <f>SUM('WP-AB'!D55:V55)</f>
        <v>0</v>
      </c>
      <c r="D36" s="1365">
        <f>SUM('WP-AB'!W55:AF55)</f>
        <v>0</v>
      </c>
      <c r="E36" s="1365">
        <f>SUM('WP-AB'!AG55,'WP-AB'!AH55,'WP-AB'!AI55,'WP-AB'!AJ55,'WP-AB'!AK55,'WP-AB'!AL55)</f>
        <v>-61946864.690000005</v>
      </c>
      <c r="F36" s="1366">
        <f t="shared" si="1"/>
        <v>-61946864.690000005</v>
      </c>
      <c r="G36" s="1303"/>
      <c r="J36" s="812"/>
      <c r="K36" s="812"/>
    </row>
    <row r="37" spans="1:11" s="216" customFormat="1" ht="14.4">
      <c r="A37" s="1230" t="s">
        <v>805</v>
      </c>
      <c r="B37" s="1364" t="s">
        <v>806</v>
      </c>
      <c r="C37" s="1365">
        <f>SUM('WP-AB'!D56:V56)</f>
        <v>0</v>
      </c>
      <c r="D37" s="1365">
        <f>SUM('WP-AB'!W56:AF56)</f>
        <v>0</v>
      </c>
      <c r="E37" s="1365">
        <f>SUM('WP-AB'!AG56,'WP-AB'!AH56,'WP-AB'!AI56,'WP-AB'!AJ56,'WP-AB'!AK56,'WP-AB'!AL56)</f>
        <v>30257350.305948406</v>
      </c>
      <c r="F37" s="1366">
        <f t="shared" si="1"/>
        <v>30257350.305948406</v>
      </c>
      <c r="G37" s="1303"/>
      <c r="J37" s="812"/>
      <c r="K37" s="812"/>
    </row>
    <row r="38" spans="1:11" s="216" customFormat="1" ht="14.4">
      <c r="A38" s="1230" t="s">
        <v>807</v>
      </c>
      <c r="B38" s="1364" t="s">
        <v>808</v>
      </c>
      <c r="C38" s="1365">
        <f>SUM('WP-AB'!D57:V57)</f>
        <v>6467557.0999999996</v>
      </c>
      <c r="D38" s="1365">
        <f>SUM('WP-AB'!W57:AF57)</f>
        <v>798365.55999999982</v>
      </c>
      <c r="E38" s="1365">
        <f>SUM('WP-AB'!AG57,'WP-AB'!AH57,'WP-AB'!AI57,'WP-AB'!AJ57,'WP-AB'!AK57,'WP-AB'!AL57)</f>
        <v>-248480.22</v>
      </c>
      <c r="F38" s="1366">
        <f t="shared" si="1"/>
        <v>7017442.4399999995</v>
      </c>
      <c r="G38" s="1303"/>
      <c r="J38" s="812"/>
      <c r="K38" s="812"/>
    </row>
    <row r="39" spans="1:11" s="216" customFormat="1" ht="14.4">
      <c r="A39" s="1230" t="s">
        <v>809</v>
      </c>
      <c r="B39" s="1364" t="s">
        <v>810</v>
      </c>
      <c r="C39" s="1365">
        <f>SUM('WP-AB'!D58:V58)</f>
        <v>3019840.83</v>
      </c>
      <c r="D39" s="1365">
        <f>SUM('WP-AB'!W58:AF58)</f>
        <v>377515.36</v>
      </c>
      <c r="E39" s="1365">
        <f>SUM('WP-AB'!AG58,'WP-AB'!AH58,'WP-AB'!AI58,'WP-AB'!AJ58,'WP-AB'!AK58,'WP-AB'!AL58)</f>
        <v>-572760.62</v>
      </c>
      <c r="F39" s="1366">
        <f t="shared" si="1"/>
        <v>2824595.57</v>
      </c>
      <c r="G39" s="1303"/>
      <c r="J39" s="812"/>
      <c r="K39" s="812"/>
    </row>
    <row r="40" spans="1:11" s="216" customFormat="1" ht="14.4">
      <c r="A40" s="1230" t="s">
        <v>811</v>
      </c>
      <c r="B40" s="1364" t="s">
        <v>812</v>
      </c>
      <c r="C40" s="1365">
        <f>SUM('WP-AB'!D60:V60)</f>
        <v>0</v>
      </c>
      <c r="D40" s="1365">
        <f>SUM('WP-AB'!W60:AF60)</f>
        <v>0</v>
      </c>
      <c r="E40" s="1365">
        <f>SUM('WP-AB'!AG60,'WP-AB'!AH60,'WP-AB'!AI60,'WP-AB'!AJ60,'WP-AB'!AK60,'WP-AB'!AL60)</f>
        <v>0</v>
      </c>
      <c r="F40" s="1366">
        <f t="shared" si="1"/>
        <v>0</v>
      </c>
      <c r="G40" s="1303"/>
      <c r="J40" s="812"/>
      <c r="K40" s="812"/>
    </row>
    <row r="41" spans="1:11" s="216" customFormat="1" ht="14.4">
      <c r="A41" s="1230" t="s">
        <v>813</v>
      </c>
      <c r="B41" s="1364" t="s">
        <v>814</v>
      </c>
      <c r="C41" s="1365">
        <f>SUM('WP-AB'!D59:V59)</f>
        <v>0</v>
      </c>
      <c r="D41" s="1365">
        <f>SUM('WP-AB'!W59:AF59)</f>
        <v>0</v>
      </c>
      <c r="E41" s="1365">
        <f>SUM('WP-AB'!AG59,'WP-AB'!AH59,'WP-AB'!AI59,'WP-AB'!AJ59,'WP-AB'!AK59,'WP-AB'!AL59)</f>
        <v>33412069.78561978</v>
      </c>
      <c r="F41" s="1366">
        <f t="shared" si="1"/>
        <v>33412069.78561978</v>
      </c>
      <c r="G41" s="1303"/>
      <c r="J41" s="812"/>
      <c r="K41" s="812"/>
    </row>
    <row r="42" spans="1:11" s="216" customFormat="1" ht="14.4">
      <c r="A42" s="1230" t="s">
        <v>815</v>
      </c>
      <c r="B42" s="1364" t="s">
        <v>816</v>
      </c>
      <c r="C42" s="1365">
        <f>SUM('WP-AB'!D61:V61)</f>
        <v>5975280</v>
      </c>
      <c r="D42" s="1365">
        <f>SUM('WP-AB'!W61:AF61)</f>
        <v>0</v>
      </c>
      <c r="E42" s="1365">
        <f>SUM('WP-AB'!AG61,'WP-AB'!AH61,'WP-AB'!AI61,'WP-AB'!AJ61,'WP-AB'!AK61,'WP-AB'!AL61)</f>
        <v>0</v>
      </c>
      <c r="F42" s="1366">
        <f t="shared" si="1"/>
        <v>5975280</v>
      </c>
      <c r="G42" s="1303"/>
      <c r="J42" s="812"/>
      <c r="K42" s="812"/>
    </row>
    <row r="43" spans="1:11" s="216" customFormat="1" ht="14.4">
      <c r="A43" s="1230" t="s">
        <v>817</v>
      </c>
      <c r="B43" s="1364" t="s">
        <v>818</v>
      </c>
      <c r="C43" s="1365">
        <f>SUM('WP-AB'!D62:V62)</f>
        <v>448417.75000000268</v>
      </c>
      <c r="D43" s="1365">
        <f>SUM('WP-AB'!W62:AF62)</f>
        <v>-1215.3900000000001</v>
      </c>
      <c r="E43" s="1365">
        <f>SUM('WP-AB'!AG62,'WP-AB'!AH62,'WP-AB'!AI62,'WP-AB'!AJ62,'WP-AB'!AK62,'WP-AB'!AL62)</f>
        <v>0</v>
      </c>
      <c r="F43" s="1366">
        <f t="shared" si="1"/>
        <v>447202.36000000266</v>
      </c>
      <c r="G43" s="1303"/>
      <c r="J43" s="812"/>
      <c r="K43" s="812"/>
    </row>
    <row r="44" spans="1:11" s="216" customFormat="1" ht="14.4">
      <c r="A44" s="1230" t="s">
        <v>819</v>
      </c>
      <c r="B44" s="1364" t="s">
        <v>820</v>
      </c>
      <c r="C44" s="1365">
        <f>SUM('WP-AB'!D65:V65)</f>
        <v>0</v>
      </c>
      <c r="D44" s="1365">
        <f>SUM('WP-AB'!W65:AF65)</f>
        <v>0</v>
      </c>
      <c r="E44" s="1365">
        <f>SUM('WP-AB'!AG65,'WP-AB'!AH65,'WP-AB'!AI65,'WP-AB'!AJ65,'WP-AB'!AK65,'WP-AB'!AL65)</f>
        <v>646489.25263206393</v>
      </c>
      <c r="F44" s="1366">
        <f t="shared" si="1"/>
        <v>646489.25263206393</v>
      </c>
      <c r="G44" s="1303"/>
      <c r="J44" s="812"/>
      <c r="K44" s="812"/>
    </row>
    <row r="45" spans="1:11" s="216" customFormat="1" ht="14.4">
      <c r="A45" s="1230" t="s">
        <v>821</v>
      </c>
      <c r="B45" s="1364" t="s">
        <v>822</v>
      </c>
      <c r="C45" s="1365">
        <f>SUM('WP-AB'!D66:V66)</f>
        <v>0</v>
      </c>
      <c r="D45" s="1365">
        <f>SUM('WP-AB'!W66:AF66)</f>
        <v>0</v>
      </c>
      <c r="E45" s="1365">
        <f>SUM('WP-AB'!AG66,'WP-AB'!AH66,'WP-AB'!AI66,'WP-AB'!AJ66,'WP-AB'!AK66,'WP-AB'!AL66)</f>
        <v>12457505.882208694</v>
      </c>
      <c r="F45" s="1366">
        <f t="shared" si="1"/>
        <v>12457505.882208694</v>
      </c>
      <c r="G45" s="1303"/>
      <c r="J45" s="812"/>
      <c r="K45" s="812"/>
    </row>
    <row r="46" spans="1:11" s="216" customFormat="1" ht="14.4">
      <c r="A46" s="1230" t="s">
        <v>823</v>
      </c>
      <c r="B46" s="1364" t="s">
        <v>824</v>
      </c>
      <c r="C46" s="1365">
        <v>2287677.66</v>
      </c>
      <c r="D46" s="1365">
        <v>1945714.42</v>
      </c>
      <c r="E46" s="1365">
        <v>3801918.76</v>
      </c>
      <c r="F46" s="1366">
        <f t="shared" si="1"/>
        <v>8035310.8399999999</v>
      </c>
      <c r="G46" s="1303"/>
      <c r="J46" s="812"/>
      <c r="K46" s="812"/>
    </row>
    <row r="47" spans="1:11" s="216" customFormat="1" ht="14.4">
      <c r="A47" s="1230" t="s">
        <v>825</v>
      </c>
      <c r="B47" s="1364" t="s">
        <v>826</v>
      </c>
      <c r="C47" s="1365">
        <f>SUM('WP-AB'!D63:V63)</f>
        <v>0</v>
      </c>
      <c r="D47" s="1365">
        <f>SUM('WP-AB'!W63:AF63)</f>
        <v>0</v>
      </c>
      <c r="E47" s="1365">
        <f>SUM('WP-AB'!AG63,'WP-AB'!AH63,'WP-AB'!AI63,'WP-AB'!AJ63,'WP-AB'!AK63,'WP-AB'!AL63)</f>
        <v>2229311.9563391977</v>
      </c>
      <c r="F47" s="1366">
        <f t="shared" si="1"/>
        <v>2229311.9563391977</v>
      </c>
      <c r="G47" s="1303"/>
      <c r="J47" s="812"/>
      <c r="K47" s="812"/>
    </row>
    <row r="48" spans="1:11" s="216" customFormat="1" ht="14.4">
      <c r="A48" s="1230" t="s">
        <v>827</v>
      </c>
      <c r="B48" s="1364" t="s">
        <v>828</v>
      </c>
      <c r="C48" s="1365">
        <f>SUM('WP-AB'!C67:U67)</f>
        <v>0</v>
      </c>
      <c r="D48" s="1365">
        <f>SUM('WP-AB'!W66:AF66)</f>
        <v>0</v>
      </c>
      <c r="E48" s="1365">
        <f>SUM('WP-AB'!AF67,'WP-AB'!AG67,'WP-AB'!AH67,'WP-AB'!AI67,'WP-AB'!AJ67,'WP-AB'!AK67)</f>
        <v>5060479.7300000004</v>
      </c>
      <c r="F48" s="1366">
        <f t="shared" ref="F48:F51" si="2">SUM(C48:E48)</f>
        <v>5060479.7300000004</v>
      </c>
      <c r="G48" s="1456"/>
      <c r="J48" s="812"/>
      <c r="K48" s="812"/>
    </row>
    <row r="49" spans="1:11" s="216" customFormat="1" ht="16.2">
      <c r="A49" s="1230" t="s">
        <v>829</v>
      </c>
      <c r="B49" s="1369" t="s">
        <v>830</v>
      </c>
      <c r="C49" s="1365">
        <f>SUM('WP-AB'!C68:U68)</f>
        <v>0</v>
      </c>
      <c r="D49" s="1365">
        <f>SUM('WP-AB'!W67:AF67)</f>
        <v>0</v>
      </c>
      <c r="E49" s="1365">
        <f>SUM('WP-AB'!AG70:AN70,'WP-AB'!AR70:AY70)</f>
        <v>90292286.609999999</v>
      </c>
      <c r="F49" s="1366">
        <f t="shared" si="2"/>
        <v>90292286.609999999</v>
      </c>
      <c r="G49" s="52"/>
      <c r="J49" s="812"/>
      <c r="K49" s="812"/>
    </row>
    <row r="50" spans="1:11" s="216" customFormat="1" ht="16.2">
      <c r="A50" s="1230" t="s">
        <v>831</v>
      </c>
      <c r="B50" s="1369" t="s">
        <v>832</v>
      </c>
      <c r="C50" s="1365"/>
      <c r="D50" s="1365"/>
      <c r="E50" s="1365">
        <f>'WP-AB'!BA68</f>
        <v>0</v>
      </c>
      <c r="F50" s="1366">
        <f t="shared" si="2"/>
        <v>0</v>
      </c>
      <c r="G50" s="52"/>
      <c r="J50" s="812"/>
      <c r="K50" s="812"/>
    </row>
    <row r="51" spans="1:11" s="216" customFormat="1" ht="16.2">
      <c r="A51" s="1230" t="s">
        <v>833</v>
      </c>
      <c r="B51" s="1369" t="s">
        <v>834</v>
      </c>
      <c r="C51" s="1365"/>
      <c r="D51" s="1365"/>
      <c r="E51" s="1365">
        <f>SUM('WP-AB'!AO69,'WP-AB'!AP69,'WP-AB'!AZ69)</f>
        <v>3486517.98</v>
      </c>
      <c r="F51" s="1366">
        <f t="shared" si="2"/>
        <v>3486517.98</v>
      </c>
      <c r="G51" s="52" t="s">
        <v>835</v>
      </c>
      <c r="J51" s="812"/>
      <c r="K51" s="812"/>
    </row>
    <row r="52" spans="1:11" s="216" customFormat="1" ht="15" thickBot="1">
      <c r="A52" s="1299" t="s">
        <v>146</v>
      </c>
      <c r="B52" s="815" t="s">
        <v>146</v>
      </c>
      <c r="C52" s="1300" t="s">
        <v>768</v>
      </c>
      <c r="D52" s="1300" t="s">
        <v>768</v>
      </c>
      <c r="E52" s="1300" t="s">
        <v>768</v>
      </c>
      <c r="F52" s="1301" t="s">
        <v>768</v>
      </c>
      <c r="G52" s="53">
        <f>SUM(F19:F52)</f>
        <v>598839668.53819346</v>
      </c>
      <c r="I52" s="812"/>
      <c r="J52" s="812"/>
      <c r="K52" s="812"/>
    </row>
    <row r="53" spans="1:11" s="216" customFormat="1" ht="14.4">
      <c r="A53" s="1230" t="s">
        <v>183</v>
      </c>
      <c r="B53" s="816" t="s">
        <v>836</v>
      </c>
      <c r="C53" s="1304">
        <f>SUM('WP-AB'!D31:V31)</f>
        <v>17360876.43</v>
      </c>
      <c r="D53" s="1304">
        <f>SUM('WP-AB'!W31:AF31)</f>
        <v>0</v>
      </c>
      <c r="E53" s="1304">
        <f>SUM('WP-AB'!AG31,'WP-AB'!AH31,'WP-AB'!AI31,'WP-AB'!AJ31,'WP-AB'!AK31,'WP-AB'!AL31)</f>
        <v>0</v>
      </c>
      <c r="F53" s="1302">
        <f t="shared" si="1"/>
        <v>17360876.43</v>
      </c>
      <c r="G53" s="1368"/>
      <c r="I53" s="812"/>
      <c r="J53" s="812"/>
      <c r="K53" s="812"/>
    </row>
    <row r="54" spans="1:11" s="216" customFormat="1" ht="14.4">
      <c r="A54" s="1230" t="s">
        <v>185</v>
      </c>
      <c r="B54" s="1364" t="s">
        <v>837</v>
      </c>
      <c r="C54" s="1365">
        <f>SUM('WP-AB'!D21:V21)</f>
        <v>743650.84000000008</v>
      </c>
      <c r="D54" s="1365">
        <f>SUM('WP-AB'!W21:AF21)</f>
        <v>0</v>
      </c>
      <c r="E54" s="1365">
        <f>SUM('WP-AB'!AG21,'WP-AB'!AH21,'WP-AB'!AI21,'WP-AB'!AJ21,'WP-AB'!AK21,'WP-AB'!AL21)</f>
        <v>0</v>
      </c>
      <c r="F54" s="1366">
        <f t="shared" si="1"/>
        <v>743650.84000000008</v>
      </c>
      <c r="G54" s="1303"/>
      <c r="I54" s="812"/>
      <c r="J54" s="812"/>
      <c r="K54" s="812"/>
    </row>
    <row r="55" spans="1:11" s="216" customFormat="1" ht="14.4">
      <c r="A55" s="1230" t="s">
        <v>188</v>
      </c>
      <c r="B55" s="1364" t="s">
        <v>838</v>
      </c>
      <c r="C55" s="1365">
        <f>SUM('WP-AB'!D22:V22)</f>
        <v>2539.06</v>
      </c>
      <c r="D55" s="1365">
        <f>SUM('WP-AB'!W22:AF22)</f>
        <v>0</v>
      </c>
      <c r="E55" s="1365">
        <f>SUM('WP-AB'!AG22,'WP-AB'!AH22,'WP-AB'!AI22,'WP-AB'!AJ22,'WP-AB'!AK22,'WP-AB'!AL22)</f>
        <v>0</v>
      </c>
      <c r="F55" s="1366">
        <f t="shared" si="1"/>
        <v>2539.06</v>
      </c>
      <c r="G55" s="1303"/>
      <c r="I55" s="812"/>
      <c r="J55" s="812"/>
      <c r="K55" s="812"/>
    </row>
    <row r="56" spans="1:11" s="216" customFormat="1" ht="14.4">
      <c r="A56" s="1230" t="s">
        <v>191</v>
      </c>
      <c r="B56" s="1364" t="s">
        <v>839</v>
      </c>
      <c r="C56" s="1365">
        <f>SUM('WP-AB'!D27:V27)</f>
        <v>330655.22000000003</v>
      </c>
      <c r="D56" s="1365">
        <f>SUM('WP-AB'!W27:AF27)</f>
        <v>0</v>
      </c>
      <c r="E56" s="1365">
        <f>SUM('WP-AB'!AG27,'WP-AB'!AH27,'WP-AB'!AI27,'WP-AB'!AJ27,'WP-AB'!AK27,'WP-AB'!AL27)</f>
        <v>0</v>
      </c>
      <c r="F56" s="1366">
        <f t="shared" si="1"/>
        <v>330655.22000000003</v>
      </c>
      <c r="G56" s="1303"/>
      <c r="I56" s="812"/>
      <c r="J56" s="812"/>
      <c r="K56" s="812"/>
    </row>
    <row r="57" spans="1:11" s="216" customFormat="1" ht="14.4">
      <c r="A57" s="1230" t="s">
        <v>194</v>
      </c>
      <c r="B57" s="1364" t="s">
        <v>840</v>
      </c>
      <c r="C57" s="1365">
        <f>SUM('WP-AB'!D28:V28)</f>
        <v>24049780.810000006</v>
      </c>
      <c r="D57" s="1365">
        <f>SUM('WP-AB'!W28:AF28)</f>
        <v>0</v>
      </c>
      <c r="E57" s="1365">
        <f>SUM('WP-AB'!AG28,'WP-AB'!AH28,'WP-AB'!AI28,'WP-AB'!AJ28,'WP-AB'!AK28,'WP-AB'!AL28)</f>
        <v>0</v>
      </c>
      <c r="F57" s="1366">
        <f t="shared" si="1"/>
        <v>24049780.810000006</v>
      </c>
      <c r="G57" s="1303"/>
      <c r="I57" s="812"/>
      <c r="J57" s="812"/>
      <c r="K57" s="812"/>
    </row>
    <row r="58" spans="1:11" s="216" customFormat="1" ht="14.4">
      <c r="A58" s="1230" t="s">
        <v>197</v>
      </c>
      <c r="B58" s="1364" t="s">
        <v>841</v>
      </c>
      <c r="C58" s="1365">
        <f>SUM('WP-AB'!D29:V29)</f>
        <v>9519826.0700000003</v>
      </c>
      <c r="D58" s="1365">
        <f>SUM('WP-AB'!W29:AF29)</f>
        <v>0</v>
      </c>
      <c r="E58" s="1365">
        <f>SUM('WP-AB'!AG29,'WP-AB'!AH29,'WP-AB'!AI29,'WP-AB'!AJ29,'WP-AB'!AK29,'WP-AB'!AL29)</f>
        <v>0</v>
      </c>
      <c r="F58" s="1366">
        <f t="shared" si="1"/>
        <v>9519826.0700000003</v>
      </c>
      <c r="G58" s="1303"/>
      <c r="I58" s="812"/>
      <c r="J58" s="812"/>
      <c r="K58" s="812"/>
    </row>
    <row r="59" spans="1:11" s="216" customFormat="1" ht="14.4">
      <c r="A59" s="1230" t="s">
        <v>322</v>
      </c>
      <c r="B59" s="1364" t="s">
        <v>842</v>
      </c>
      <c r="C59" s="1365">
        <f>SUM('WP-AB'!D30:V30)</f>
        <v>17752949.000000004</v>
      </c>
      <c r="D59" s="1365">
        <f>SUM('WP-AB'!W30:AF30)</f>
        <v>0</v>
      </c>
      <c r="E59" s="1365">
        <f>SUM('WP-AB'!AG30,'WP-AB'!AH30,'WP-AB'!AI30,'WP-AB'!AJ30,'WP-AB'!AK30,'WP-AB'!AL30)</f>
        <v>0</v>
      </c>
      <c r="F59" s="1366">
        <f t="shared" si="1"/>
        <v>17752949.000000004</v>
      </c>
      <c r="G59" s="1303"/>
      <c r="I59" s="812"/>
      <c r="J59" s="812"/>
      <c r="K59" s="812"/>
    </row>
    <row r="60" spans="1:11" s="216" customFormat="1" ht="14.4">
      <c r="A60" s="1230" t="s">
        <v>324</v>
      </c>
      <c r="B60" s="1364" t="s">
        <v>843</v>
      </c>
      <c r="C60" s="1365">
        <f>SUM('WP-AB'!D35:V35)</f>
        <v>0</v>
      </c>
      <c r="D60" s="1365">
        <f>SUM('WP-AB'!W35:AF35)</f>
        <v>0</v>
      </c>
      <c r="E60" s="1365">
        <f>SUM('WP-AB'!AG35,'WP-AB'!AH35,'WP-AB'!AI35,'WP-AB'!AJ35,'WP-AB'!AK35,'WP-AB'!AL35)</f>
        <v>0</v>
      </c>
      <c r="F60" s="1366">
        <f t="shared" si="1"/>
        <v>0</v>
      </c>
      <c r="G60" s="1303"/>
      <c r="I60" s="812"/>
      <c r="J60" s="812"/>
      <c r="K60" s="812"/>
    </row>
    <row r="61" spans="1:11" s="216" customFormat="1" ht="14.4">
      <c r="A61" s="1230" t="s">
        <v>326</v>
      </c>
      <c r="B61" s="1364" t="s">
        <v>844</v>
      </c>
      <c r="C61" s="1365">
        <f>SUM('WP-AB'!D36:V36)</f>
        <v>538675.05999999994</v>
      </c>
      <c r="D61" s="1365">
        <f>SUM('WP-AB'!W36:AF36)</f>
        <v>0</v>
      </c>
      <c r="E61" s="1365">
        <f>SUM('WP-AB'!AG36,'WP-AB'!AH36,'WP-AB'!AI36,'WP-AB'!AJ36,'WP-AB'!AK36,'WP-AB'!AL36)</f>
        <v>0</v>
      </c>
      <c r="F61" s="1366">
        <f t="shared" si="1"/>
        <v>538675.05999999994</v>
      </c>
      <c r="G61" s="1303"/>
      <c r="I61" s="812"/>
      <c r="J61" s="812"/>
      <c r="K61" s="812"/>
    </row>
    <row r="62" spans="1:11" s="216" customFormat="1" ht="14.4">
      <c r="A62" s="1230" t="s">
        <v>328</v>
      </c>
      <c r="B62" s="1364" t="s">
        <v>845</v>
      </c>
      <c r="C62" s="1365">
        <f>SUM('WP-AB'!D37:V37)</f>
        <v>39207475.429999992</v>
      </c>
      <c r="D62" s="1365">
        <f>SUM('WP-AB'!W37:AF37)</f>
        <v>0</v>
      </c>
      <c r="E62" s="1365">
        <f>SUM('WP-AB'!AG37,'WP-AB'!AH37,'WP-AB'!AI37,'WP-AB'!AJ37,'WP-AB'!AK37,'WP-AB'!AL37)</f>
        <v>0</v>
      </c>
      <c r="F62" s="1366">
        <f t="shared" si="1"/>
        <v>39207475.429999992</v>
      </c>
      <c r="G62" s="1303"/>
      <c r="I62" s="812"/>
      <c r="J62" s="812"/>
      <c r="K62" s="812"/>
    </row>
    <row r="63" spans="1:11" s="216" customFormat="1" ht="14.4">
      <c r="A63" s="1230" t="s">
        <v>846</v>
      </c>
      <c r="B63" s="1364" t="s">
        <v>847</v>
      </c>
      <c r="C63" s="1365">
        <f>SUM('WP-AB'!D38:V38)</f>
        <v>3682752.86</v>
      </c>
      <c r="D63" s="1365">
        <f>SUM('WP-AB'!W38:AF38)</f>
        <v>0</v>
      </c>
      <c r="E63" s="1365">
        <f>SUM('WP-AB'!AG38,'WP-AB'!AH38,'WP-AB'!AI38,'WP-AB'!AJ38,'WP-AB'!AK38,'WP-AB'!AL38)</f>
        <v>0</v>
      </c>
      <c r="F63" s="1366">
        <f t="shared" si="1"/>
        <v>3682752.86</v>
      </c>
      <c r="G63" s="1303"/>
      <c r="I63" s="812"/>
      <c r="J63" s="812"/>
      <c r="K63" s="812"/>
    </row>
    <row r="64" spans="1:11" s="216" customFormat="1" ht="14.4">
      <c r="A64" s="1230" t="s">
        <v>848</v>
      </c>
      <c r="B64" s="1364" t="s">
        <v>849</v>
      </c>
      <c r="C64" s="1365">
        <f>SUM('WP-AB'!D45:V45)</f>
        <v>0</v>
      </c>
      <c r="D64" s="1365">
        <f>SUM('WP-AB'!W45:AF45)</f>
        <v>10709.16</v>
      </c>
      <c r="E64" s="1365">
        <f>SUM('WP-AB'!AG45,'WP-AB'!AH45,'WP-AB'!AI45,'WP-AB'!AJ45,'WP-AB'!AK45,'WP-AB'!AL45)</f>
        <v>0</v>
      </c>
      <c r="F64" s="1366">
        <f t="shared" si="1"/>
        <v>10709.16</v>
      </c>
      <c r="G64" s="1303"/>
      <c r="H64" s="812"/>
      <c r="I64" s="812"/>
      <c r="J64" s="812"/>
      <c r="K64" s="812"/>
    </row>
    <row r="65" spans="1:11" s="216" customFormat="1" ht="14.4">
      <c r="A65" s="1230" t="s">
        <v>850</v>
      </c>
      <c r="B65" s="1364" t="s">
        <v>851</v>
      </c>
      <c r="C65" s="1365">
        <f>SUM('WP-AB'!D46:V46)</f>
        <v>0</v>
      </c>
      <c r="D65" s="1365">
        <f>SUM('WP-AB'!W46:AF46)</f>
        <v>7356344.2799999993</v>
      </c>
      <c r="E65" s="1365">
        <f>SUM('WP-AB'!AG46,'WP-AB'!AH46,'WP-AB'!AI46,'WP-AB'!AJ46,'WP-AB'!AK46,'WP-AB'!AL46)</f>
        <v>0</v>
      </c>
      <c r="F65" s="1366">
        <f t="shared" si="1"/>
        <v>7356344.2799999993</v>
      </c>
      <c r="G65" s="1303"/>
      <c r="H65" s="812"/>
      <c r="I65" s="812"/>
      <c r="J65" s="812"/>
      <c r="K65" s="812"/>
    </row>
    <row r="66" spans="1:11" s="216" customFormat="1" ht="14.4">
      <c r="A66" s="1230" t="s">
        <v>852</v>
      </c>
      <c r="B66" s="1364" t="s">
        <v>853</v>
      </c>
      <c r="C66" s="1365">
        <f>SUM('WP-AB'!D47:V47)</f>
        <v>146773.92000000001</v>
      </c>
      <c r="D66" s="1365">
        <f>SUM('WP-AB'!W47:AF47)</f>
        <v>21022429.669999998</v>
      </c>
      <c r="E66" s="1365">
        <f>SUM('WP-AB'!AG47,'WP-AB'!AH47,'WP-AB'!AI47,'WP-AB'!AJ47,'WP-AB'!AK47,'WP-AB'!AL47)</f>
        <v>0</v>
      </c>
      <c r="F66" s="1366">
        <f t="shared" si="1"/>
        <v>21169203.59</v>
      </c>
      <c r="G66" s="1303"/>
      <c r="H66" s="812"/>
      <c r="I66" s="812"/>
      <c r="J66" s="812"/>
      <c r="K66" s="812"/>
    </row>
    <row r="67" spans="1:11" s="216" customFormat="1" ht="14.4">
      <c r="A67" s="1230" t="s">
        <v>854</v>
      </c>
      <c r="B67" s="1364" t="s">
        <v>855</v>
      </c>
      <c r="C67" s="1365">
        <f>SUM('WP-AB'!D48:V48)</f>
        <v>0</v>
      </c>
      <c r="D67" s="1365">
        <f>SUM('WP-AB'!W48:AF48)</f>
        <v>11365047.859999999</v>
      </c>
      <c r="E67" s="1365">
        <f>SUM('WP-AB'!AG48,'WP-AB'!AH48,'WP-AB'!AI48,'WP-AB'!AJ48,'WP-AB'!AK48,'WP-AB'!AL48)</f>
        <v>0</v>
      </c>
      <c r="F67" s="1366">
        <f t="shared" si="1"/>
        <v>11365047.859999999</v>
      </c>
      <c r="G67" s="1303"/>
      <c r="H67" s="812"/>
      <c r="I67" s="812"/>
      <c r="J67" s="812"/>
      <c r="K67" s="812"/>
    </row>
    <row r="68" spans="1:11" s="216" customFormat="1" ht="14.4">
      <c r="A68" s="1230" t="s">
        <v>856</v>
      </c>
      <c r="B68" s="1364" t="s">
        <v>857</v>
      </c>
      <c r="C68" s="1365">
        <f>SUM('WP-AB'!D49:V49)</f>
        <v>0</v>
      </c>
      <c r="D68" s="1365">
        <f>SUM('WP-AB'!W49:AF49)</f>
        <v>2514119.4900000002</v>
      </c>
      <c r="E68" s="1365">
        <f>SUM('WP-AB'!AG49,'WP-AB'!AH49,'WP-AB'!AI49,'WP-AB'!AJ49,'WP-AB'!AK49,'WP-AB'!AL49)</f>
        <v>0</v>
      </c>
      <c r="F68" s="1366">
        <f t="shared" si="1"/>
        <v>2514119.4900000002</v>
      </c>
      <c r="G68" s="1303"/>
      <c r="H68" s="812"/>
      <c r="I68" s="812"/>
      <c r="J68" s="812"/>
      <c r="K68" s="812"/>
    </row>
    <row r="69" spans="1:11" s="216" customFormat="1" ht="16.2">
      <c r="A69" s="1230" t="s">
        <v>858</v>
      </c>
      <c r="B69" s="1364" t="s">
        <v>859</v>
      </c>
      <c r="C69" s="1365">
        <f>SUM('WP-AB'!D50:V50)</f>
        <v>0</v>
      </c>
      <c r="D69" s="1365">
        <f>SUM('WP-AB'!W50:AF50)</f>
        <v>1091421.8399999999</v>
      </c>
      <c r="E69" s="1365">
        <f>SUM('WP-AB'!AG50,'WP-AB'!AH50,'WP-AB'!AI50,'WP-AB'!AJ50,'WP-AB'!AK50,'WP-AB'!AL50)</f>
        <v>0</v>
      </c>
      <c r="F69" s="1366">
        <f t="shared" si="1"/>
        <v>1091421.8399999999</v>
      </c>
      <c r="G69" s="52" t="s">
        <v>860</v>
      </c>
      <c r="H69" s="812"/>
      <c r="I69" s="812"/>
      <c r="J69" s="812"/>
      <c r="K69" s="812"/>
    </row>
    <row r="70" spans="1:11" s="216" customFormat="1" ht="15" thickBot="1">
      <c r="A70" s="1299" t="s">
        <v>146</v>
      </c>
      <c r="B70" s="815" t="s">
        <v>146</v>
      </c>
      <c r="C70" s="1300" t="s">
        <v>768</v>
      </c>
      <c r="D70" s="1300" t="s">
        <v>768</v>
      </c>
      <c r="E70" s="1300" t="s">
        <v>768</v>
      </c>
      <c r="F70" s="1301" t="s">
        <v>768</v>
      </c>
      <c r="G70" s="51">
        <f>SUM(F53:F70)</f>
        <v>156696027.00000003</v>
      </c>
      <c r="H70" s="812"/>
      <c r="I70" s="812"/>
      <c r="J70" s="812"/>
      <c r="K70" s="812"/>
    </row>
    <row r="71" spans="1:11" s="216" customFormat="1" ht="16.2">
      <c r="A71" s="1230" t="s">
        <v>861</v>
      </c>
      <c r="B71" s="1364" t="s">
        <v>862</v>
      </c>
      <c r="C71" s="1365">
        <f>SUM('WP-AB'!D18:V18)</f>
        <v>292910396.13</v>
      </c>
      <c r="D71" s="1365">
        <f>SUM('WP-AB'!W18:AF18,'WP-AB'!AW18)</f>
        <v>54878206.629999988</v>
      </c>
      <c r="E71" s="1365">
        <f>SUM('WP-AB'!AG18,'WP-AB'!AH18,'WP-AB'!AI18,'WP-AB'!AJ18,'WP-AB'!AK18,'WP-AB'!AL18,'WP-AB'!AU18)</f>
        <v>22998757.969999999</v>
      </c>
      <c r="F71" s="1370">
        <f t="shared" si="1"/>
        <v>370787360.73000002</v>
      </c>
      <c r="G71" s="1371"/>
      <c r="H71" s="812"/>
      <c r="I71" s="812"/>
      <c r="J71" s="812"/>
      <c r="K71" s="812"/>
    </row>
    <row r="72" spans="1:11" s="216" customFormat="1" ht="16.2">
      <c r="A72" s="1230" t="s">
        <v>863</v>
      </c>
      <c r="B72" s="1369" t="s">
        <v>864</v>
      </c>
      <c r="C72" s="1365"/>
      <c r="D72" s="1365"/>
      <c r="E72" s="1365">
        <f>SUM('WP-AB'!D71:AZ71)</f>
        <v>40159770.840000004</v>
      </c>
      <c r="F72" s="1370">
        <f t="shared" si="1"/>
        <v>40159770.840000004</v>
      </c>
      <c r="G72" s="1371"/>
      <c r="H72" s="812"/>
      <c r="I72" s="812"/>
      <c r="J72" s="812"/>
      <c r="K72" s="812"/>
    </row>
    <row r="73" spans="1:11" s="216" customFormat="1" ht="15" thickBot="1">
      <c r="A73" s="1299" t="s">
        <v>146</v>
      </c>
      <c r="B73" s="815" t="s">
        <v>146</v>
      </c>
      <c r="C73" s="1300" t="s">
        <v>768</v>
      </c>
      <c r="D73" s="1300" t="s">
        <v>768</v>
      </c>
      <c r="E73" s="1300" t="s">
        <v>768</v>
      </c>
      <c r="F73" s="1256" t="s">
        <v>768</v>
      </c>
      <c r="G73" s="1256">
        <f>SUM(F71:F73)</f>
        <v>410947131.57000005</v>
      </c>
      <c r="H73" s="812"/>
      <c r="I73" s="812"/>
      <c r="J73" s="812"/>
      <c r="K73" s="812"/>
    </row>
    <row r="74" spans="1:11" s="216" customFormat="1" ht="14.4">
      <c r="A74" s="1230"/>
      <c r="B74" s="1364"/>
      <c r="C74" s="1365"/>
      <c r="D74" s="1365"/>
      <c r="E74" s="1365"/>
      <c r="F74" s="1366"/>
      <c r="G74" s="1366"/>
    </row>
    <row r="75" spans="1:11" s="216" customFormat="1" ht="14.4">
      <c r="A75" s="1230">
        <v>5</v>
      </c>
      <c r="B75" s="1372" t="s">
        <v>865</v>
      </c>
      <c r="C75" s="1373">
        <f>SUM(C15:C71)</f>
        <v>1191280644.6100001</v>
      </c>
      <c r="D75" s="1373">
        <f>SUM(D15:D71)</f>
        <v>552711181.94000006</v>
      </c>
      <c r="E75" s="1373">
        <f>SUM(E15:E71)</f>
        <v>1996672099.3881931</v>
      </c>
      <c r="F75" s="1367">
        <f>SUM(F15:F71)</f>
        <v>3740663925.9381938</v>
      </c>
      <c r="G75" s="1367">
        <f>SUM(G15:G73)</f>
        <v>3780823696.778194</v>
      </c>
      <c r="H75" s="817"/>
      <c r="I75" s="818"/>
    </row>
    <row r="76" spans="1:11" s="216" customFormat="1" ht="14.4">
      <c r="A76" s="1305"/>
      <c r="C76" s="59"/>
      <c r="D76" s="59"/>
      <c r="E76" s="819"/>
      <c r="F76" s="1306"/>
      <c r="G76" s="820"/>
      <c r="I76" s="818"/>
    </row>
    <row r="77" spans="1:11" s="216" customFormat="1" ht="14.4">
      <c r="A77" s="821"/>
      <c r="C77" s="59"/>
      <c r="D77" s="59"/>
      <c r="E77" s="59"/>
      <c r="F77" s="1306"/>
      <c r="G77" s="7"/>
      <c r="I77" s="818"/>
    </row>
    <row r="78" spans="1:11">
      <c r="A78" s="822"/>
      <c r="I78" s="818"/>
    </row>
    <row r="79" spans="1:11">
      <c r="A79" s="822"/>
      <c r="I79" s="818"/>
    </row>
  </sheetData>
  <sortState xmlns:xlrd2="http://schemas.microsoft.com/office/spreadsheetml/2017/richdata2" ref="B8:H40">
    <sortCondition ref="H8:H40"/>
    <sortCondition ref="B8:B40"/>
  </sortState>
  <customSheetViews>
    <customSheetView guid="{343BF296-013A-41F5-BDAB-AD6220EA7F78}" showPageBreaks="1" fitToPage="1" printArea="1" view="pageBreakPreview" topLeftCell="A16">
      <selection activeCell="D33" sqref="D33"/>
      <pageMargins left="0" right="0" top="0" bottom="0" header="0" footer="0"/>
      <printOptions horizontalCentered="1"/>
      <pageSetup scale="67" orientation="portrait" r:id="rId1"/>
    </customSheetView>
    <customSheetView guid="{B321D76C-CDE5-48BB-9CDE-80FF97D58FCF}" showPageBreaks="1" fitToPage="1" printArea="1" view="pageBreakPreview">
      <selection activeCell="D33" sqref="D33"/>
      <pageMargins left="0" right="0" top="0" bottom="0" header="0" footer="0"/>
      <printOptions horizontalCentered="1"/>
      <pageSetup scale="70" orientation="portrait" r:id="rId2"/>
    </customSheetView>
  </customSheetViews>
  <mergeCells count="6">
    <mergeCell ref="A10:G10"/>
    <mergeCell ref="A4:G4"/>
    <mergeCell ref="A5:G5"/>
    <mergeCell ref="A6:G6"/>
    <mergeCell ref="A8:G8"/>
    <mergeCell ref="A9:G9"/>
  </mergeCells>
  <printOptions horizontalCentered="1"/>
  <pageMargins left="0.25" right="0.25" top="0.25" bottom="0.25" header="0.3" footer="0.3"/>
  <pageSetup scale="66" orientation="portrait" r:id="rId3"/>
  <ignoredErrors>
    <ignoredError sqref="B11:G11" numberStoredAsText="1"/>
    <ignoredError sqref="C15:E72" formulaRange="1"/>
  </ignoredErrors>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92D050"/>
  </sheetPr>
  <dimension ref="A1:BB103"/>
  <sheetViews>
    <sheetView view="pageBreakPreview" zoomScale="80" zoomScaleNormal="118" zoomScaleSheetLayoutView="80" workbookViewId="0">
      <selection activeCell="BC69" sqref="BC69"/>
    </sheetView>
  </sheetViews>
  <sheetFormatPr defaultColWidth="9" defaultRowHeight="14.4"/>
  <cols>
    <col min="1" max="1" width="9" style="794"/>
    <col min="2" max="2" width="15.33203125" style="794" customWidth="1"/>
    <col min="3" max="3" width="42" style="794" customWidth="1"/>
    <col min="4" max="4" width="18" style="795" bestFit="1" customWidth="1"/>
    <col min="5" max="6" width="15.109375" style="795" customWidth="1"/>
    <col min="7" max="17" width="15.109375" style="796" customWidth="1"/>
    <col min="18" max="18" width="18.33203125" style="796" customWidth="1"/>
    <col min="19" max="19" width="16.5546875" style="796" customWidth="1"/>
    <col min="20" max="21" width="15.109375" style="796" customWidth="1"/>
    <col min="22" max="22" width="19.33203125" style="796" customWidth="1"/>
    <col min="23" max="39" width="15.109375" style="796" customWidth="1"/>
    <col min="40" max="40" width="12.77734375" style="796" customWidth="1"/>
    <col min="41" max="41" width="19.21875" style="797" customWidth="1"/>
    <col min="42" max="42" width="18.33203125" style="797" bestFit="1" customWidth="1"/>
    <col min="43" max="43" width="14.21875" style="797" bestFit="1" customWidth="1"/>
    <col min="44" max="44" width="13" style="796" customWidth="1"/>
    <col min="45" max="47" width="14.21875" style="797" bestFit="1" customWidth="1"/>
    <col min="48" max="48" width="18.77734375" style="797" bestFit="1" customWidth="1"/>
    <col min="49" max="51" width="20.33203125" style="797" customWidth="1"/>
    <col min="52" max="52" width="14.21875" style="797" bestFit="1" customWidth="1"/>
    <col min="53" max="53" width="17" style="794" bestFit="1" customWidth="1"/>
    <col min="54" max="16384" width="9" style="794"/>
  </cols>
  <sheetData>
    <row r="1" spans="1:54">
      <c r="A1" s="1298"/>
      <c r="B1" s="1298"/>
      <c r="C1" s="1298"/>
      <c r="D1" s="1307"/>
      <c r="E1" s="1307"/>
      <c r="F1" s="1307"/>
      <c r="G1" s="1308"/>
      <c r="H1" s="1308"/>
      <c r="I1" s="1308"/>
      <c r="J1" s="1308"/>
      <c r="K1" s="1308"/>
      <c r="L1" s="1308"/>
      <c r="M1" s="1308"/>
      <c r="N1" s="1308"/>
      <c r="O1" s="1308"/>
      <c r="P1" s="1308"/>
      <c r="Q1" s="1308"/>
      <c r="R1" s="1308"/>
      <c r="S1" s="1308"/>
      <c r="T1" s="1308"/>
      <c r="U1" s="1308"/>
      <c r="V1" s="1308"/>
      <c r="W1" s="1308"/>
      <c r="X1" s="1308"/>
      <c r="Y1" s="1308"/>
      <c r="Z1" s="1308"/>
      <c r="AA1" s="1308"/>
      <c r="AB1" s="1308"/>
      <c r="AC1" s="1308"/>
      <c r="AD1" s="1308"/>
      <c r="AE1" s="1308"/>
      <c r="AF1" s="1308"/>
      <c r="AG1" s="1308"/>
      <c r="AH1" s="1308"/>
      <c r="AI1" s="1308"/>
      <c r="AJ1" s="1308"/>
      <c r="AK1" s="1308"/>
      <c r="AL1" s="1308"/>
      <c r="AM1" s="1308"/>
      <c r="AN1" s="1308"/>
      <c r="AO1" s="1309"/>
      <c r="AP1" s="1309"/>
      <c r="AQ1" s="1309"/>
      <c r="AR1" s="1308"/>
      <c r="AS1" s="1309"/>
      <c r="AT1" s="1309"/>
      <c r="AU1" s="1309"/>
      <c r="AV1" s="1309"/>
      <c r="AW1" s="1309"/>
      <c r="AX1" s="1309"/>
      <c r="AY1" s="1309"/>
      <c r="AZ1" s="1309"/>
      <c r="BA1" s="1309"/>
      <c r="BB1" s="1298"/>
    </row>
    <row r="2" spans="1:54" ht="18">
      <c r="A2" s="1298"/>
      <c r="B2" s="70"/>
      <c r="C2" s="1298"/>
      <c r="D2" s="1307"/>
      <c r="E2" s="1307"/>
      <c r="F2" s="1307"/>
      <c r="G2" s="1308"/>
      <c r="H2" s="1308"/>
      <c r="I2" s="1308"/>
      <c r="J2" s="1308"/>
      <c r="K2" s="1308"/>
      <c r="L2" s="1308"/>
      <c r="M2" s="1308"/>
      <c r="N2" s="1308"/>
      <c r="O2" s="1308"/>
      <c r="P2" s="1308"/>
      <c r="Q2" s="1308"/>
      <c r="R2" s="1308"/>
      <c r="S2" s="1308"/>
      <c r="T2" s="1308"/>
      <c r="U2" s="8"/>
      <c r="V2" s="1308"/>
      <c r="W2" s="1308"/>
      <c r="X2" s="1308"/>
      <c r="Y2" s="1308"/>
      <c r="Z2" s="1308"/>
      <c r="AA2" s="1308"/>
      <c r="AB2" s="1308"/>
      <c r="AC2" s="1308"/>
      <c r="AD2" s="1308"/>
      <c r="AE2" s="1308"/>
      <c r="AF2" s="1308"/>
      <c r="AG2" s="1308"/>
      <c r="AH2" s="1308"/>
      <c r="AI2" s="1308"/>
      <c r="AJ2" s="1308"/>
      <c r="AK2" s="1308"/>
      <c r="AL2" s="1308"/>
      <c r="AM2" s="1308"/>
      <c r="AN2" s="8"/>
      <c r="AO2" s="1309"/>
      <c r="AP2" s="1309"/>
      <c r="AQ2" s="1309"/>
      <c r="AR2" s="8"/>
      <c r="AS2" s="1309"/>
      <c r="AT2" s="1309"/>
      <c r="AU2" s="1309"/>
      <c r="AV2" s="1309"/>
      <c r="AW2" s="1309"/>
      <c r="AX2" s="1309"/>
      <c r="AY2" s="1309"/>
      <c r="AZ2" s="1309"/>
      <c r="BA2" s="1309"/>
      <c r="BB2" s="1298"/>
    </row>
    <row r="3" spans="1:54">
      <c r="A3" s="1298"/>
      <c r="B3" s="216"/>
      <c r="C3" s="1298"/>
      <c r="D3" s="1307"/>
      <c r="E3" s="1307"/>
      <c r="F3" s="1307"/>
      <c r="G3" s="1308"/>
      <c r="H3" s="1308"/>
      <c r="I3" s="1308"/>
      <c r="J3" s="1308"/>
      <c r="K3" s="1308"/>
      <c r="L3" s="1308"/>
      <c r="M3" s="1308"/>
      <c r="N3" s="1308"/>
      <c r="O3" s="1308"/>
      <c r="P3" s="1308"/>
      <c r="Q3" s="1308"/>
      <c r="R3" s="1308"/>
      <c r="S3" s="1308"/>
      <c r="T3" s="1308"/>
      <c r="U3" s="1308"/>
      <c r="V3" s="1309"/>
      <c r="W3" s="1308"/>
      <c r="X3" s="1308"/>
      <c r="Y3" s="1308"/>
      <c r="Z3" s="1308"/>
      <c r="AA3" s="1308"/>
      <c r="AB3" s="1308"/>
      <c r="AC3" s="1308"/>
      <c r="AD3" s="1308"/>
      <c r="AE3" s="1308"/>
      <c r="AF3" s="1308"/>
      <c r="AG3" s="1308"/>
      <c r="AH3" s="1308"/>
      <c r="AI3" s="1308"/>
      <c r="AJ3" s="1308"/>
      <c r="AK3" s="1308"/>
      <c r="AL3" s="1308"/>
      <c r="AM3" s="1308"/>
      <c r="AN3" s="1309"/>
      <c r="AO3" s="1309"/>
      <c r="AP3" s="1309"/>
      <c r="AQ3" s="1309"/>
      <c r="AR3" s="1309"/>
      <c r="AS3" s="1309"/>
      <c r="AT3" s="1309"/>
      <c r="AU3" s="1309"/>
      <c r="AV3" s="1309"/>
      <c r="AW3" s="1309"/>
      <c r="AX3" s="1309"/>
      <c r="AY3" s="1309"/>
      <c r="AZ3" s="1309"/>
      <c r="BA3" s="1309"/>
      <c r="BB3" s="1298"/>
    </row>
    <row r="4" spans="1:54" s="216" customFormat="1" ht="17.399999999999999">
      <c r="B4" s="221"/>
      <c r="C4" s="221"/>
      <c r="D4" s="1463" t="s">
        <v>0</v>
      </c>
      <c r="E4" s="1463"/>
      <c r="F4" s="1463"/>
      <c r="G4" s="1463"/>
      <c r="H4" s="384"/>
      <c r="I4" s="384"/>
      <c r="J4" s="384"/>
      <c r="K4" s="384"/>
      <c r="L4" s="384"/>
      <c r="M4" s="384"/>
      <c r="N4" s="384"/>
      <c r="O4" s="384"/>
      <c r="P4" s="384"/>
      <c r="Q4" s="384"/>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row>
    <row r="5" spans="1:54" s="216" customFormat="1" ht="17.399999999999999">
      <c r="B5" s="221"/>
      <c r="C5" s="221"/>
      <c r="D5" s="1463" t="s">
        <v>1</v>
      </c>
      <c r="E5" s="1463"/>
      <c r="F5" s="1463"/>
      <c r="G5" s="1463"/>
      <c r="H5" s="384"/>
      <c r="I5" s="384"/>
      <c r="J5" s="384"/>
      <c r="K5" s="384"/>
      <c r="L5" s="384"/>
      <c r="M5" s="384"/>
      <c r="N5" s="384"/>
      <c r="O5" s="384"/>
      <c r="P5" s="384"/>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row>
    <row r="6" spans="1:54" s="216" customFormat="1" ht="17.399999999999999">
      <c r="B6" s="221"/>
      <c r="C6" s="221"/>
      <c r="D6" s="1464" t="str">
        <f>SUMMARY!A7</f>
        <v>YEAR ENDING DECEMBER 31, 2022</v>
      </c>
      <c r="E6" s="1464"/>
      <c r="F6" s="1464"/>
      <c r="G6" s="1464"/>
      <c r="H6" s="384"/>
      <c r="I6" s="384"/>
      <c r="J6" s="384"/>
      <c r="K6" s="384"/>
      <c r="L6" s="384"/>
      <c r="M6" s="384"/>
      <c r="N6" s="384"/>
      <c r="O6" s="384"/>
      <c r="P6" s="384"/>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row>
    <row r="7" spans="1:54" s="216" customFormat="1" ht="17.399999999999999">
      <c r="B7" s="218"/>
      <c r="C7" s="222"/>
      <c r="D7" s="218"/>
      <c r="E7" s="223"/>
      <c r="F7" s="218"/>
      <c r="G7" s="382"/>
      <c r="H7" s="382"/>
      <c r="I7" s="382"/>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row>
    <row r="8" spans="1:54" s="216" customFormat="1" ht="17.399999999999999">
      <c r="B8" s="221"/>
      <c r="C8" s="221"/>
      <c r="D8" s="1463" t="s">
        <v>866</v>
      </c>
      <c r="E8" s="1463"/>
      <c r="F8" s="1463"/>
      <c r="G8" s="1463"/>
      <c r="H8" s="384"/>
      <c r="I8" s="384"/>
      <c r="J8" s="384"/>
      <c r="K8" s="384"/>
      <c r="L8" s="384"/>
      <c r="M8" s="384"/>
      <c r="N8" s="384"/>
      <c r="O8" s="384"/>
      <c r="P8" s="384"/>
      <c r="Q8" s="384"/>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row>
    <row r="9" spans="1:54" s="216" customFormat="1" ht="17.399999999999999">
      <c r="B9" s="221"/>
      <c r="C9" s="221"/>
      <c r="D9" s="1463" t="s">
        <v>867</v>
      </c>
      <c r="E9" s="1463"/>
      <c r="F9" s="1463"/>
      <c r="G9" s="1463"/>
      <c r="H9" s="384"/>
      <c r="I9" s="384"/>
      <c r="J9" s="384"/>
      <c r="K9" s="384"/>
      <c r="L9" s="384"/>
      <c r="M9" s="384"/>
      <c r="N9" s="384"/>
      <c r="O9" s="384"/>
      <c r="P9" s="384"/>
      <c r="Q9" s="384"/>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row>
    <row r="10" spans="1:54" s="216" customFormat="1" ht="15.75" customHeight="1">
      <c r="B10" s="1463"/>
      <c r="C10" s="1463"/>
      <c r="D10" s="1463"/>
      <c r="E10" s="1463"/>
      <c r="F10" s="1463"/>
      <c r="G10" s="1463"/>
      <c r="H10" s="1463"/>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row>
    <row r="11" spans="1:54" ht="21">
      <c r="A11" s="1298"/>
      <c r="B11" s="4" t="s">
        <v>868</v>
      </c>
      <c r="C11" s="798"/>
      <c r="D11" s="1307"/>
      <c r="E11" s="1307"/>
      <c r="F11" s="1307"/>
      <c r="G11" s="1308"/>
      <c r="H11" s="1308"/>
      <c r="I11" s="1308"/>
      <c r="J11" s="1308"/>
      <c r="K11" s="1308"/>
      <c r="L11" s="1308"/>
      <c r="M11" s="1308"/>
      <c r="N11" s="1308"/>
      <c r="O11" s="1308"/>
      <c r="P11" s="1308"/>
      <c r="Q11" s="1308"/>
      <c r="R11" s="1308"/>
      <c r="S11" s="1308"/>
      <c r="T11" s="1308"/>
      <c r="U11" s="1308"/>
      <c r="V11" s="1308"/>
      <c r="W11" s="1308"/>
      <c r="X11" s="1308"/>
      <c r="Y11" s="1308"/>
      <c r="Z11" s="1308"/>
      <c r="AA11" s="1308"/>
      <c r="AB11" s="1308"/>
      <c r="AC11" s="1308"/>
      <c r="AD11" s="1308"/>
      <c r="AE11" s="1308"/>
      <c r="AF11" s="1308"/>
      <c r="AG11" s="1308"/>
      <c r="AH11" s="1308"/>
      <c r="AI11" s="1308"/>
      <c r="AJ11" s="1308"/>
      <c r="AK11" s="1308"/>
      <c r="AL11" s="1308"/>
      <c r="AM11" s="1308"/>
      <c r="AN11" s="1308"/>
      <c r="AO11" s="1309"/>
      <c r="AP11" s="1309"/>
      <c r="AQ11" s="1309"/>
      <c r="AR11" s="1308"/>
      <c r="AS11" s="1309"/>
      <c r="AT11" s="1309"/>
      <c r="AU11" s="1309"/>
      <c r="AV11" s="1309"/>
      <c r="AW11" s="1309"/>
      <c r="AX11" s="1309"/>
      <c r="AY11" s="1309"/>
      <c r="AZ11" s="1309"/>
      <c r="BA11" s="1309"/>
      <c r="BB11" s="1298"/>
    </row>
    <row r="12" spans="1:54" s="799" customFormat="1">
      <c r="A12" s="1310"/>
      <c r="B12" s="1310" t="s">
        <v>8</v>
      </c>
      <c r="C12" s="1310" t="s">
        <v>9</v>
      </c>
      <c r="D12" s="1311" t="s">
        <v>359</v>
      </c>
      <c r="E12" s="1311" t="s">
        <v>360</v>
      </c>
      <c r="F12" s="1311" t="s">
        <v>162</v>
      </c>
      <c r="G12" s="1312" t="s">
        <v>163</v>
      </c>
      <c r="H12" s="1312" t="s">
        <v>228</v>
      </c>
      <c r="I12" s="1312" t="s">
        <v>361</v>
      </c>
      <c r="J12" s="1312" t="s">
        <v>362</v>
      </c>
      <c r="K12" s="1312" t="s">
        <v>363</v>
      </c>
      <c r="L12" s="1312" t="s">
        <v>364</v>
      </c>
      <c r="M12" s="1312" t="s">
        <v>869</v>
      </c>
      <c r="N12" s="1312" t="s">
        <v>870</v>
      </c>
      <c r="O12" s="1312" t="s">
        <v>603</v>
      </c>
      <c r="P12" s="1312" t="s">
        <v>605</v>
      </c>
      <c r="Q12" s="1312" t="s">
        <v>606</v>
      </c>
      <c r="R12" s="1312" t="s">
        <v>871</v>
      </c>
      <c r="S12" s="1312" t="s">
        <v>872</v>
      </c>
      <c r="T12" s="1312" t="s">
        <v>873</v>
      </c>
      <c r="U12" s="1312" t="s">
        <v>874</v>
      </c>
      <c r="V12" s="1312" t="s">
        <v>875</v>
      </c>
      <c r="W12" s="1312" t="s">
        <v>876</v>
      </c>
      <c r="X12" s="1312" t="s">
        <v>877</v>
      </c>
      <c r="Y12" s="1312" t="s">
        <v>878</v>
      </c>
      <c r="Z12" s="1312" t="s">
        <v>879</v>
      </c>
      <c r="AA12" s="1312" t="s">
        <v>880</v>
      </c>
      <c r="AB12" s="1312" t="s">
        <v>881</v>
      </c>
      <c r="AC12" s="1312" t="s">
        <v>882</v>
      </c>
      <c r="AD12" s="1312" t="s">
        <v>883</v>
      </c>
      <c r="AE12" s="1312" t="s">
        <v>884</v>
      </c>
      <c r="AF12" s="1312" t="s">
        <v>885</v>
      </c>
      <c r="AG12" s="1312" t="s">
        <v>886</v>
      </c>
      <c r="AH12" s="1312" t="s">
        <v>887</v>
      </c>
      <c r="AI12" s="1312" t="s">
        <v>888</v>
      </c>
      <c r="AJ12" s="1312" t="s">
        <v>889</v>
      </c>
      <c r="AK12" s="1312" t="s">
        <v>890</v>
      </c>
      <c r="AL12" s="1312" t="s">
        <v>891</v>
      </c>
      <c r="AM12" s="1313" t="s">
        <v>892</v>
      </c>
      <c r="AN12" s="1313" t="s">
        <v>893</v>
      </c>
      <c r="AO12" s="1313" t="s">
        <v>894</v>
      </c>
      <c r="AP12" s="1313" t="s">
        <v>895</v>
      </c>
      <c r="AQ12" s="1313" t="s">
        <v>896</v>
      </c>
      <c r="AR12" s="1313" t="s">
        <v>897</v>
      </c>
      <c r="AS12" s="1313" t="s">
        <v>898</v>
      </c>
      <c r="AT12" s="1313" t="s">
        <v>899</v>
      </c>
      <c r="AU12" s="1313" t="s">
        <v>900</v>
      </c>
      <c r="AV12" s="1313" t="s">
        <v>901</v>
      </c>
      <c r="AW12" s="1314" t="s">
        <v>902</v>
      </c>
      <c r="AX12" s="1314" t="s">
        <v>903</v>
      </c>
      <c r="AY12" s="1314" t="s">
        <v>2053</v>
      </c>
      <c r="AZ12" s="1314" t="s">
        <v>2054</v>
      </c>
      <c r="BA12" s="1449" t="s">
        <v>2084</v>
      </c>
      <c r="BB12" s="1315"/>
    </row>
    <row r="13" spans="1:54" s="799" customFormat="1">
      <c r="A13" s="1310"/>
      <c r="B13" s="1316"/>
      <c r="C13" s="1316"/>
      <c r="D13" s="1307"/>
      <c r="E13" s="1307"/>
      <c r="F13" s="1307"/>
      <c r="G13" s="1308"/>
      <c r="H13" s="1308"/>
      <c r="I13" s="1308"/>
      <c r="J13" s="1308"/>
      <c r="K13" s="1308"/>
      <c r="L13" s="1308"/>
      <c r="M13" s="1308"/>
      <c r="N13" s="1308"/>
      <c r="O13" s="1308"/>
      <c r="P13" s="1308"/>
      <c r="Q13" s="1308"/>
      <c r="R13" s="1308"/>
      <c r="S13" s="1308"/>
      <c r="T13" s="1308"/>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8"/>
      <c r="AV13" s="1308"/>
      <c r="AW13" s="1308"/>
      <c r="AX13" s="1308"/>
      <c r="AY13" s="1308"/>
      <c r="AZ13" s="1308"/>
      <c r="BA13" s="1308"/>
      <c r="BB13" s="1315"/>
    </row>
    <row r="14" spans="1:54">
      <c r="A14" s="1298"/>
      <c r="B14" s="800" t="s">
        <v>596</v>
      </c>
      <c r="C14" s="800"/>
      <c r="D14" s="1374" t="s">
        <v>4</v>
      </c>
      <c r="E14" s="1374" t="s">
        <v>596</v>
      </c>
      <c r="F14" s="1375" t="s">
        <v>596</v>
      </c>
      <c r="G14" s="1376" t="s">
        <v>596</v>
      </c>
      <c r="H14" s="1377" t="s">
        <v>596</v>
      </c>
      <c r="I14" s="1377" t="s">
        <v>596</v>
      </c>
      <c r="J14" s="1377" t="s">
        <v>596</v>
      </c>
      <c r="K14" s="1377" t="s">
        <v>596</v>
      </c>
      <c r="L14" s="1377" t="s">
        <v>596</v>
      </c>
      <c r="M14" s="1377" t="s">
        <v>596</v>
      </c>
      <c r="N14" s="1377" t="s">
        <v>596</v>
      </c>
      <c r="O14" s="1377" t="s">
        <v>596</v>
      </c>
      <c r="P14" s="1377" t="s">
        <v>596</v>
      </c>
      <c r="Q14" s="1377" t="s">
        <v>596</v>
      </c>
      <c r="R14" s="1377" t="s">
        <v>596</v>
      </c>
      <c r="S14" s="1377" t="s">
        <v>596</v>
      </c>
      <c r="T14" s="1377" t="s">
        <v>596</v>
      </c>
      <c r="U14" s="1377" t="s">
        <v>596</v>
      </c>
      <c r="V14" s="1377" t="s">
        <v>596</v>
      </c>
      <c r="W14" s="1377" t="s">
        <v>596</v>
      </c>
      <c r="X14" s="1377" t="s">
        <v>596</v>
      </c>
      <c r="Y14" s="1377" t="s">
        <v>596</v>
      </c>
      <c r="Z14" s="1377" t="s">
        <v>596</v>
      </c>
      <c r="AA14" s="1377" t="s">
        <v>596</v>
      </c>
      <c r="AB14" s="1377" t="s">
        <v>596</v>
      </c>
      <c r="AC14" s="1377" t="s">
        <v>596</v>
      </c>
      <c r="AD14" s="1377" t="s">
        <v>596</v>
      </c>
      <c r="AE14" s="1377" t="s">
        <v>596</v>
      </c>
      <c r="AF14" s="1377" t="s">
        <v>596</v>
      </c>
      <c r="AG14" s="1377" t="s">
        <v>596</v>
      </c>
      <c r="AH14" s="1377" t="s">
        <v>596</v>
      </c>
      <c r="AI14" s="1377" t="s">
        <v>596</v>
      </c>
      <c r="AJ14" s="1377" t="s">
        <v>596</v>
      </c>
      <c r="AK14" s="1377" t="s">
        <v>596</v>
      </c>
      <c r="AL14" s="1377" t="s">
        <v>596</v>
      </c>
      <c r="AM14" s="1377" t="s">
        <v>596</v>
      </c>
      <c r="AN14" s="1377" t="s">
        <v>596</v>
      </c>
      <c r="AO14" s="1377" t="s">
        <v>596</v>
      </c>
      <c r="AP14" s="1377" t="s">
        <v>596</v>
      </c>
      <c r="AQ14" s="1377" t="s">
        <v>596</v>
      </c>
      <c r="AR14" s="1377" t="s">
        <v>596</v>
      </c>
      <c r="AS14" s="1377" t="s">
        <v>596</v>
      </c>
      <c r="AT14" s="1377" t="s">
        <v>596</v>
      </c>
      <c r="AU14" s="1377" t="s">
        <v>596</v>
      </c>
      <c r="AV14" s="1377"/>
      <c r="AW14" s="1377"/>
      <c r="AX14" s="1377"/>
      <c r="AY14" s="1377"/>
      <c r="AZ14" s="1377"/>
      <c r="BA14" s="1377" t="s">
        <v>596</v>
      </c>
      <c r="BB14" s="1309"/>
    </row>
    <row r="15" spans="1:54" s="799" customFormat="1">
      <c r="A15" s="1310"/>
      <c r="B15" s="801"/>
      <c r="C15" s="801"/>
      <c r="D15" s="1378" t="s">
        <v>904</v>
      </c>
      <c r="E15" s="1378" t="s">
        <v>905</v>
      </c>
      <c r="F15" s="1378" t="s">
        <v>906</v>
      </c>
      <c r="G15" s="1378" t="s">
        <v>907</v>
      </c>
      <c r="H15" s="1379" t="s">
        <v>908</v>
      </c>
      <c r="I15" s="1379" t="s">
        <v>909</v>
      </c>
      <c r="J15" s="1379" t="s">
        <v>910</v>
      </c>
      <c r="K15" s="1379" t="s">
        <v>911</v>
      </c>
      <c r="L15" s="1379" t="s">
        <v>912</v>
      </c>
      <c r="M15" s="1379" t="s">
        <v>913</v>
      </c>
      <c r="N15" s="1379" t="s">
        <v>914</v>
      </c>
      <c r="O15" s="1379" t="s">
        <v>915</v>
      </c>
      <c r="P15" s="1379" t="s">
        <v>916</v>
      </c>
      <c r="Q15" s="1379" t="s">
        <v>917</v>
      </c>
      <c r="R15" s="1379" t="s">
        <v>918</v>
      </c>
      <c r="S15" s="1379" t="s">
        <v>919</v>
      </c>
      <c r="T15" s="1379" t="s">
        <v>920</v>
      </c>
      <c r="U15" s="1379" t="s">
        <v>921</v>
      </c>
      <c r="V15" s="1379" t="s">
        <v>922</v>
      </c>
      <c r="W15" s="1379" t="s">
        <v>923</v>
      </c>
      <c r="X15" s="1379" t="s">
        <v>924</v>
      </c>
      <c r="Y15" s="1379" t="s">
        <v>925</v>
      </c>
      <c r="Z15" s="1379" t="s">
        <v>926</v>
      </c>
      <c r="AA15" s="1379" t="s">
        <v>927</v>
      </c>
      <c r="AB15" s="1379" t="s">
        <v>928</v>
      </c>
      <c r="AC15" s="1379" t="s">
        <v>929</v>
      </c>
      <c r="AD15" s="1379" t="s">
        <v>930</v>
      </c>
      <c r="AE15" s="1379" t="s">
        <v>931</v>
      </c>
      <c r="AF15" s="1379" t="s">
        <v>932</v>
      </c>
      <c r="AG15" s="1379" t="s">
        <v>933</v>
      </c>
      <c r="AH15" s="1379" t="s">
        <v>934</v>
      </c>
      <c r="AI15" s="1379" t="s">
        <v>935</v>
      </c>
      <c r="AJ15" s="1379" t="s">
        <v>936</v>
      </c>
      <c r="AK15" s="1379" t="s">
        <v>937</v>
      </c>
      <c r="AL15" s="1379" t="s">
        <v>938</v>
      </c>
      <c r="AM15" s="1379" t="s">
        <v>939</v>
      </c>
      <c r="AN15" s="1379" t="s">
        <v>940</v>
      </c>
      <c r="AO15" s="1379" t="s">
        <v>941</v>
      </c>
      <c r="AP15" s="1379" t="s">
        <v>942</v>
      </c>
      <c r="AQ15" s="1379" t="s">
        <v>943</v>
      </c>
      <c r="AR15" s="1379" t="s">
        <v>944</v>
      </c>
      <c r="AS15" s="1379" t="s">
        <v>945</v>
      </c>
      <c r="AT15" s="1379" t="s">
        <v>946</v>
      </c>
      <c r="AU15" s="1379" t="s">
        <v>947</v>
      </c>
      <c r="AV15" s="1448" t="s">
        <v>2082</v>
      </c>
      <c r="AW15" s="1380" t="s">
        <v>2055</v>
      </c>
      <c r="AX15" s="1380" t="s">
        <v>2056</v>
      </c>
      <c r="AY15" s="1380" t="s">
        <v>2057</v>
      </c>
      <c r="AZ15" s="1380" t="s">
        <v>2058</v>
      </c>
      <c r="BA15" s="1381" t="s">
        <v>948</v>
      </c>
      <c r="BB15" s="1315"/>
    </row>
    <row r="16" spans="1:54">
      <c r="A16" s="1298" t="s">
        <v>7</v>
      </c>
      <c r="B16" s="800" t="s">
        <v>949</v>
      </c>
      <c r="C16" s="801"/>
      <c r="D16" s="1378" t="s">
        <v>421</v>
      </c>
      <c r="E16" s="1378" t="s">
        <v>950</v>
      </c>
      <c r="F16" s="1378" t="s">
        <v>420</v>
      </c>
      <c r="G16" s="1378" t="s">
        <v>951</v>
      </c>
      <c r="H16" s="1379" t="s">
        <v>952</v>
      </c>
      <c r="I16" s="1379" t="s">
        <v>953</v>
      </c>
      <c r="J16" s="1379" t="s">
        <v>954</v>
      </c>
      <c r="K16" s="1379" t="s">
        <v>955</v>
      </c>
      <c r="L16" s="1379" t="s">
        <v>956</v>
      </c>
      <c r="M16" s="1379" t="s">
        <v>957</v>
      </c>
      <c r="N16" s="1379" t="s">
        <v>958</v>
      </c>
      <c r="O16" s="1379" t="s">
        <v>959</v>
      </c>
      <c r="P16" s="1379" t="s">
        <v>960</v>
      </c>
      <c r="Q16" s="1379" t="s">
        <v>961</v>
      </c>
      <c r="R16" s="1379" t="s">
        <v>962</v>
      </c>
      <c r="S16" s="1379" t="s">
        <v>963</v>
      </c>
      <c r="T16" s="1379" t="s">
        <v>964</v>
      </c>
      <c r="U16" s="1379" t="s">
        <v>965</v>
      </c>
      <c r="V16" s="1379" t="s">
        <v>966</v>
      </c>
      <c r="W16" s="1379" t="s">
        <v>967</v>
      </c>
      <c r="X16" s="1379" t="s">
        <v>968</v>
      </c>
      <c r="Y16" s="1379" t="s">
        <v>969</v>
      </c>
      <c r="Z16" s="1379" t="s">
        <v>970</v>
      </c>
      <c r="AA16" s="1379" t="s">
        <v>971</v>
      </c>
      <c r="AB16" s="1379" t="s">
        <v>972</v>
      </c>
      <c r="AC16" s="1379" t="s">
        <v>973</v>
      </c>
      <c r="AD16" s="1379" t="s">
        <v>974</v>
      </c>
      <c r="AE16" s="1379" t="s">
        <v>975</v>
      </c>
      <c r="AF16" s="1379" t="s">
        <v>976</v>
      </c>
      <c r="AG16" s="1379" t="s">
        <v>977</v>
      </c>
      <c r="AH16" s="1379" t="s">
        <v>418</v>
      </c>
      <c r="AI16" s="1379" t="s">
        <v>978</v>
      </c>
      <c r="AJ16" s="1379" t="s">
        <v>979</v>
      </c>
      <c r="AK16" s="1379" t="s">
        <v>980</v>
      </c>
      <c r="AL16" s="1379" t="s">
        <v>981</v>
      </c>
      <c r="AM16" s="1379" t="s">
        <v>982</v>
      </c>
      <c r="AN16" s="1379" t="s">
        <v>983</v>
      </c>
      <c r="AO16" s="1379" t="s">
        <v>984</v>
      </c>
      <c r="AP16" s="1379" t="s">
        <v>985</v>
      </c>
      <c r="AQ16" s="1379" t="s">
        <v>986</v>
      </c>
      <c r="AR16" s="1379" t="s">
        <v>987</v>
      </c>
      <c r="AS16" s="1379" t="s">
        <v>988</v>
      </c>
      <c r="AT16" s="1379" t="s">
        <v>989</v>
      </c>
      <c r="AU16" s="1379" t="s">
        <v>990</v>
      </c>
      <c r="AV16" s="1448" t="s">
        <v>2083</v>
      </c>
      <c r="AW16" s="1380" t="s">
        <v>2059</v>
      </c>
      <c r="AX16" s="1380" t="s">
        <v>2060</v>
      </c>
      <c r="AY16" s="1380" t="s">
        <v>2061</v>
      </c>
      <c r="AZ16" s="1380" t="s">
        <v>2062</v>
      </c>
      <c r="BA16" s="1382"/>
      <c r="BB16" s="1309"/>
    </row>
    <row r="17" spans="1:54">
      <c r="A17" s="1298"/>
      <c r="B17" s="800"/>
      <c r="C17" s="801"/>
      <c r="D17" s="1383"/>
      <c r="E17" s="1383"/>
      <c r="F17" s="1383"/>
      <c r="G17" s="1378"/>
      <c r="H17" s="1379"/>
      <c r="I17" s="1379"/>
      <c r="J17" s="1379"/>
      <c r="K17" s="1379"/>
      <c r="L17" s="1379"/>
      <c r="M17" s="1379"/>
      <c r="N17" s="1379"/>
      <c r="O17" s="1379"/>
      <c r="P17" s="1379"/>
      <c r="Q17" s="1379"/>
      <c r="R17" s="1379"/>
      <c r="S17" s="1379"/>
      <c r="T17" s="1379"/>
      <c r="U17" s="1379"/>
      <c r="V17" s="1379"/>
      <c r="W17" s="1379"/>
      <c r="X17" s="1379"/>
      <c r="Y17" s="1379"/>
      <c r="Z17" s="1379"/>
      <c r="AA17" s="1379"/>
      <c r="AB17" s="1379"/>
      <c r="AC17" s="1379"/>
      <c r="AD17" s="1379"/>
      <c r="AE17" s="1379"/>
      <c r="AF17" s="1379"/>
      <c r="AG17" s="1379"/>
      <c r="AH17" s="1379"/>
      <c r="AI17" s="1379"/>
      <c r="AJ17" s="1379"/>
      <c r="AK17" s="1379"/>
      <c r="AL17" s="1379"/>
      <c r="AM17" s="1379"/>
      <c r="AN17" s="1379"/>
      <c r="AO17" s="1379"/>
      <c r="AP17" s="1379"/>
      <c r="AQ17" s="1379"/>
      <c r="AR17" s="1379"/>
      <c r="AS17" s="1379"/>
      <c r="AT17" s="1379"/>
      <c r="AU17" s="1379"/>
      <c r="AV17" s="1379"/>
      <c r="AW17" s="1379"/>
      <c r="AX17" s="1379"/>
      <c r="AY17" s="1379"/>
      <c r="AZ17" s="1379"/>
      <c r="BA17" s="1382"/>
      <c r="BB17" s="1309"/>
    </row>
    <row r="18" spans="1:54">
      <c r="A18" s="1310" t="s">
        <v>167</v>
      </c>
      <c r="B18" s="1217" t="s">
        <v>991</v>
      </c>
      <c r="C18" s="1384" t="s">
        <v>862</v>
      </c>
      <c r="D18" s="1219">
        <v>11568043.279999999</v>
      </c>
      <c r="E18" s="1219">
        <v>29830315</v>
      </c>
      <c r="F18" s="1219">
        <v>50782489.219999999</v>
      </c>
      <c r="G18" s="1219">
        <v>54733.54</v>
      </c>
      <c r="H18" s="1219">
        <v>153717819.62</v>
      </c>
      <c r="I18" s="1219">
        <v>6508852.1900000004</v>
      </c>
      <c r="J18" s="1219">
        <v>872467.53</v>
      </c>
      <c r="K18" s="1219">
        <v>1283876.2</v>
      </c>
      <c r="L18" s="1219">
        <v>1466721.6700000002</v>
      </c>
      <c r="M18" s="1219">
        <v>351554.87</v>
      </c>
      <c r="N18" s="1219">
        <v>0</v>
      </c>
      <c r="O18" s="1219">
        <v>4932914.99</v>
      </c>
      <c r="P18" s="1219">
        <v>774752.56</v>
      </c>
      <c r="Q18" s="1219">
        <v>87915.93</v>
      </c>
      <c r="R18" s="1219">
        <v>389611.53</v>
      </c>
      <c r="S18" s="1219">
        <v>111844.06</v>
      </c>
      <c r="T18" s="1219">
        <v>129745.76</v>
      </c>
      <c r="U18" s="1219">
        <v>305516.84000000003</v>
      </c>
      <c r="V18" s="1219">
        <v>29741221.34</v>
      </c>
      <c r="W18" s="1219">
        <v>1491061.36</v>
      </c>
      <c r="X18" s="1219">
        <v>0</v>
      </c>
      <c r="Y18" s="1219">
        <v>30451</v>
      </c>
      <c r="Z18" s="1219">
        <v>23886501.079999998</v>
      </c>
      <c r="AA18" s="1219">
        <v>9608372.1099999994</v>
      </c>
      <c r="AB18" s="1219">
        <v>4901203.62</v>
      </c>
      <c r="AC18" s="1219">
        <v>546421.23</v>
      </c>
      <c r="AD18" s="1219">
        <v>7145358.8300000001</v>
      </c>
      <c r="AE18" s="1219">
        <v>194</v>
      </c>
      <c r="AF18" s="1219">
        <v>0</v>
      </c>
      <c r="AG18" s="1219">
        <v>0</v>
      </c>
      <c r="AH18" s="1219">
        <v>20649109</v>
      </c>
      <c r="AI18" s="1219">
        <v>0</v>
      </c>
      <c r="AJ18" s="1219">
        <v>673591.88</v>
      </c>
      <c r="AK18" s="1219">
        <v>141986</v>
      </c>
      <c r="AL18" s="1219">
        <v>1534071.09</v>
      </c>
      <c r="AM18" s="1219">
        <v>0</v>
      </c>
      <c r="AN18" s="1219">
        <v>0</v>
      </c>
      <c r="AO18" s="1219">
        <v>0</v>
      </c>
      <c r="AP18" s="1219">
        <v>0</v>
      </c>
      <c r="AQ18" s="1219">
        <v>0</v>
      </c>
      <c r="AR18" s="1219">
        <v>0</v>
      </c>
      <c r="AS18" s="1219">
        <v>0</v>
      </c>
      <c r="AT18" s="1219">
        <v>0</v>
      </c>
      <c r="AU18" s="1219">
        <v>0</v>
      </c>
      <c r="AV18" s="1219"/>
      <c r="AW18" s="1219">
        <v>7268643.4000000004</v>
      </c>
      <c r="AX18" s="1219">
        <v>0</v>
      </c>
      <c r="AY18" s="1219">
        <v>0</v>
      </c>
      <c r="AZ18" s="1219">
        <v>0</v>
      </c>
      <c r="BA18" s="802">
        <f>SUM(D18:AZ18)</f>
        <v>370787360.72999996</v>
      </c>
      <c r="BB18" s="1309"/>
    </row>
    <row r="19" spans="1:54">
      <c r="A19" s="1310" t="s">
        <v>171</v>
      </c>
      <c r="B19" s="1218" t="s">
        <v>992</v>
      </c>
      <c r="C19" s="1385" t="s">
        <v>766</v>
      </c>
      <c r="D19" s="1219">
        <v>0</v>
      </c>
      <c r="E19" s="1219">
        <v>0</v>
      </c>
      <c r="F19" s="1219">
        <v>0</v>
      </c>
      <c r="G19" s="1219">
        <v>0</v>
      </c>
      <c r="H19" s="1219">
        <v>211535866.91999999</v>
      </c>
      <c r="I19" s="1219">
        <v>39092943.900000006</v>
      </c>
      <c r="J19" s="1219">
        <v>0</v>
      </c>
      <c r="K19" s="1219">
        <v>0</v>
      </c>
      <c r="L19" s="1219">
        <v>0</v>
      </c>
      <c r="M19" s="1219">
        <v>0</v>
      </c>
      <c r="N19" s="1219">
        <v>0</v>
      </c>
      <c r="O19" s="1219">
        <v>9076393.2300000004</v>
      </c>
      <c r="P19" s="1219">
        <v>9550202.7100000009</v>
      </c>
      <c r="Q19" s="1219">
        <v>10111040.460000001</v>
      </c>
      <c r="R19" s="1219">
        <v>11911615.68</v>
      </c>
      <c r="S19" s="1219">
        <v>6932137.2300000004</v>
      </c>
      <c r="T19" s="1219">
        <v>6023594.04</v>
      </c>
      <c r="U19" s="1219">
        <v>6948903.2300000004</v>
      </c>
      <c r="V19" s="1219">
        <v>158672492.69</v>
      </c>
      <c r="W19" s="1219">
        <v>0</v>
      </c>
      <c r="X19" s="1219">
        <v>0</v>
      </c>
      <c r="Y19" s="1219">
        <v>0</v>
      </c>
      <c r="Z19" s="1219">
        <v>0</v>
      </c>
      <c r="AA19" s="1219">
        <v>0</v>
      </c>
      <c r="AB19" s="1219">
        <v>0</v>
      </c>
      <c r="AC19" s="1219">
        <v>0</v>
      </c>
      <c r="AD19" s="1219">
        <v>0</v>
      </c>
      <c r="AE19" s="1219">
        <v>0</v>
      </c>
      <c r="AF19" s="1219">
        <v>0</v>
      </c>
      <c r="AG19" s="1219">
        <v>0</v>
      </c>
      <c r="AH19" s="1219">
        <v>0</v>
      </c>
      <c r="AI19" s="1219">
        <v>0</v>
      </c>
      <c r="AJ19" s="1219">
        <v>0</v>
      </c>
      <c r="AK19" s="1219">
        <v>0</v>
      </c>
      <c r="AL19" s="1219">
        <v>0</v>
      </c>
      <c r="AM19" s="1219">
        <v>0</v>
      </c>
      <c r="AN19" s="1219">
        <v>0</v>
      </c>
      <c r="AO19" s="1219">
        <v>0</v>
      </c>
      <c r="AP19" s="1219">
        <v>0</v>
      </c>
      <c r="AQ19" s="1219">
        <v>0</v>
      </c>
      <c r="AR19" s="1219">
        <v>0</v>
      </c>
      <c r="AS19" s="1219">
        <v>0</v>
      </c>
      <c r="AT19" s="1219">
        <v>0</v>
      </c>
      <c r="AU19" s="1219">
        <v>0</v>
      </c>
      <c r="AV19" s="1219"/>
      <c r="AW19" s="1219">
        <v>0</v>
      </c>
      <c r="AX19" s="1219">
        <v>0</v>
      </c>
      <c r="AY19" s="1219">
        <v>0</v>
      </c>
      <c r="AZ19" s="1219">
        <v>0</v>
      </c>
      <c r="BA19" s="802">
        <f t="shared" ref="BA19:BA72" si="0">SUM(D19:AZ19)</f>
        <v>469855190.09000003</v>
      </c>
      <c r="BB19" s="1309"/>
    </row>
    <row r="20" spans="1:54">
      <c r="A20" s="1310" t="s">
        <v>174</v>
      </c>
      <c r="B20" s="1218" t="s">
        <v>993</v>
      </c>
      <c r="C20" s="1385" t="s">
        <v>770</v>
      </c>
      <c r="D20" s="1219">
        <v>0</v>
      </c>
      <c r="E20" s="1219">
        <v>0</v>
      </c>
      <c r="F20" s="1219">
        <v>0</v>
      </c>
      <c r="G20" s="1219">
        <v>0</v>
      </c>
      <c r="H20" s="1219">
        <v>0</v>
      </c>
      <c r="I20" s="1219">
        <v>0</v>
      </c>
      <c r="J20" s="1219">
        <v>0</v>
      </c>
      <c r="K20" s="1219">
        <v>0</v>
      </c>
      <c r="L20" s="1219">
        <v>0</v>
      </c>
      <c r="M20" s="1219">
        <v>0</v>
      </c>
      <c r="N20" s="1219">
        <v>0</v>
      </c>
      <c r="O20" s="1219">
        <v>0</v>
      </c>
      <c r="P20" s="1219">
        <v>0</v>
      </c>
      <c r="Q20" s="1219">
        <v>0</v>
      </c>
      <c r="R20" s="1219">
        <v>0</v>
      </c>
      <c r="S20" s="1219">
        <v>0</v>
      </c>
      <c r="T20" s="1219">
        <v>0</v>
      </c>
      <c r="U20" s="1219">
        <v>0</v>
      </c>
      <c r="V20" s="1219">
        <v>0</v>
      </c>
      <c r="W20" s="1219">
        <v>0</v>
      </c>
      <c r="X20" s="1219">
        <v>0</v>
      </c>
      <c r="Y20" s="1219">
        <v>0</v>
      </c>
      <c r="Z20" s="1219">
        <v>0</v>
      </c>
      <c r="AA20" s="1219">
        <v>0</v>
      </c>
      <c r="AB20" s="1219">
        <v>0</v>
      </c>
      <c r="AC20" s="1219">
        <v>0</v>
      </c>
      <c r="AD20" s="1219">
        <v>0</v>
      </c>
      <c r="AE20" s="1219">
        <v>0</v>
      </c>
      <c r="AF20" s="1219">
        <v>0</v>
      </c>
      <c r="AG20" s="1219">
        <v>0</v>
      </c>
      <c r="AH20" s="1219">
        <v>0</v>
      </c>
      <c r="AI20" s="1219">
        <v>0</v>
      </c>
      <c r="AJ20" s="1219">
        <v>0</v>
      </c>
      <c r="AK20" s="1219">
        <v>0</v>
      </c>
      <c r="AL20" s="1219">
        <v>0</v>
      </c>
      <c r="AM20" s="1219">
        <v>0</v>
      </c>
      <c r="AN20" s="1219">
        <v>0</v>
      </c>
      <c r="AO20" s="1219">
        <v>0</v>
      </c>
      <c r="AP20" s="1219">
        <v>0</v>
      </c>
      <c r="AQ20" s="1219">
        <v>0</v>
      </c>
      <c r="AR20" s="1219">
        <v>0</v>
      </c>
      <c r="AS20" s="1219">
        <v>0</v>
      </c>
      <c r="AT20" s="1219">
        <v>0</v>
      </c>
      <c r="AU20" s="1219">
        <v>0</v>
      </c>
      <c r="AV20" s="1219"/>
      <c r="AW20" s="1219">
        <v>0</v>
      </c>
      <c r="AX20" s="1219">
        <v>0</v>
      </c>
      <c r="AY20" s="1219">
        <v>0</v>
      </c>
      <c r="AZ20" s="1219">
        <v>0</v>
      </c>
      <c r="BA20" s="802">
        <f t="shared" si="0"/>
        <v>0</v>
      </c>
      <c r="BB20" s="1309"/>
    </row>
    <row r="21" spans="1:54">
      <c r="A21" s="1310" t="s">
        <v>177</v>
      </c>
      <c r="B21" s="1218" t="s">
        <v>994</v>
      </c>
      <c r="C21" s="1385" t="s">
        <v>837</v>
      </c>
      <c r="D21" s="1219">
        <v>0</v>
      </c>
      <c r="E21" s="1219">
        <v>0</v>
      </c>
      <c r="F21" s="1219">
        <v>0</v>
      </c>
      <c r="G21" s="1219">
        <v>0</v>
      </c>
      <c r="H21" s="1219">
        <v>0</v>
      </c>
      <c r="I21" s="1219">
        <v>-1779909.57</v>
      </c>
      <c r="J21" s="1219">
        <v>0</v>
      </c>
      <c r="K21" s="1219">
        <v>0</v>
      </c>
      <c r="L21" s="1219">
        <v>0</v>
      </c>
      <c r="M21" s="1219">
        <v>0</v>
      </c>
      <c r="N21" s="1219">
        <v>0</v>
      </c>
      <c r="O21" s="1219">
        <v>0</v>
      </c>
      <c r="P21" s="1219">
        <v>0</v>
      </c>
      <c r="Q21" s="1219">
        <v>0</v>
      </c>
      <c r="R21" s="1219">
        <v>0</v>
      </c>
      <c r="S21" s="1219">
        <v>0</v>
      </c>
      <c r="T21" s="1219">
        <v>0</v>
      </c>
      <c r="U21" s="1219">
        <v>0</v>
      </c>
      <c r="V21" s="1219">
        <v>2523560.41</v>
      </c>
      <c r="W21" s="1219">
        <v>0</v>
      </c>
      <c r="X21" s="1219">
        <v>0</v>
      </c>
      <c r="Y21" s="1219">
        <v>0</v>
      </c>
      <c r="Z21" s="1219">
        <v>0</v>
      </c>
      <c r="AA21" s="1219">
        <v>0</v>
      </c>
      <c r="AB21" s="1219">
        <v>0</v>
      </c>
      <c r="AC21" s="1219">
        <v>0</v>
      </c>
      <c r="AD21" s="1219">
        <v>0</v>
      </c>
      <c r="AE21" s="1219">
        <v>0</v>
      </c>
      <c r="AF21" s="1219">
        <v>0</v>
      </c>
      <c r="AG21" s="1219">
        <v>0</v>
      </c>
      <c r="AH21" s="1219">
        <v>0</v>
      </c>
      <c r="AI21" s="1219">
        <v>0</v>
      </c>
      <c r="AJ21" s="1219">
        <v>0</v>
      </c>
      <c r="AK21" s="1219">
        <v>0</v>
      </c>
      <c r="AL21" s="1219">
        <v>0</v>
      </c>
      <c r="AM21" s="1219">
        <v>0</v>
      </c>
      <c r="AN21" s="1219">
        <v>0</v>
      </c>
      <c r="AO21" s="1219">
        <v>0</v>
      </c>
      <c r="AP21" s="1219">
        <v>0</v>
      </c>
      <c r="AQ21" s="1219">
        <v>0</v>
      </c>
      <c r="AR21" s="1219">
        <v>0</v>
      </c>
      <c r="AS21" s="1219">
        <v>0</v>
      </c>
      <c r="AT21" s="1219">
        <v>0</v>
      </c>
      <c r="AU21" s="1219">
        <v>0</v>
      </c>
      <c r="AV21" s="1219"/>
      <c r="AW21" s="1219">
        <v>0</v>
      </c>
      <c r="AX21" s="1219">
        <v>0</v>
      </c>
      <c r="AY21" s="1219">
        <v>0</v>
      </c>
      <c r="AZ21" s="1219">
        <v>0</v>
      </c>
      <c r="BA21" s="802">
        <f t="shared" si="0"/>
        <v>743650.84000000008</v>
      </c>
      <c r="BB21" s="1309"/>
    </row>
    <row r="22" spans="1:54">
      <c r="A22" s="1310" t="s">
        <v>237</v>
      </c>
      <c r="B22" s="1218" t="s">
        <v>995</v>
      </c>
      <c r="C22" s="1385" t="s">
        <v>838</v>
      </c>
      <c r="D22" s="1219">
        <v>0</v>
      </c>
      <c r="E22" s="1219">
        <v>0</v>
      </c>
      <c r="F22" s="1219">
        <v>0</v>
      </c>
      <c r="G22" s="1219">
        <v>0</v>
      </c>
      <c r="H22" s="1219">
        <v>0</v>
      </c>
      <c r="I22" s="1219">
        <v>0</v>
      </c>
      <c r="J22" s="1219">
        <v>0</v>
      </c>
      <c r="K22" s="1219">
        <v>0</v>
      </c>
      <c r="L22" s="1219">
        <v>0</v>
      </c>
      <c r="M22" s="1219">
        <v>0</v>
      </c>
      <c r="N22" s="1219">
        <v>0</v>
      </c>
      <c r="O22" s="1219">
        <v>0</v>
      </c>
      <c r="P22" s="1219">
        <v>0</v>
      </c>
      <c r="Q22" s="1219">
        <v>0</v>
      </c>
      <c r="R22" s="1219">
        <v>0</v>
      </c>
      <c r="S22" s="1219">
        <v>0</v>
      </c>
      <c r="T22" s="1219">
        <v>0</v>
      </c>
      <c r="U22" s="1219">
        <v>0</v>
      </c>
      <c r="V22" s="1219">
        <v>2539.06</v>
      </c>
      <c r="W22" s="1219">
        <v>0</v>
      </c>
      <c r="X22" s="1219">
        <v>0</v>
      </c>
      <c r="Y22" s="1219">
        <v>0</v>
      </c>
      <c r="Z22" s="1219">
        <v>0</v>
      </c>
      <c r="AA22" s="1219">
        <v>0</v>
      </c>
      <c r="AB22" s="1219">
        <v>0</v>
      </c>
      <c r="AC22" s="1219">
        <v>0</v>
      </c>
      <c r="AD22" s="1219">
        <v>0</v>
      </c>
      <c r="AE22" s="1219">
        <v>0</v>
      </c>
      <c r="AF22" s="1219">
        <v>0</v>
      </c>
      <c r="AG22" s="1219">
        <v>0</v>
      </c>
      <c r="AH22" s="1219">
        <v>0</v>
      </c>
      <c r="AI22" s="1219">
        <v>0</v>
      </c>
      <c r="AJ22" s="1219">
        <v>0</v>
      </c>
      <c r="AK22" s="1219">
        <v>0</v>
      </c>
      <c r="AL22" s="1219">
        <v>0</v>
      </c>
      <c r="AM22" s="1219">
        <v>0</v>
      </c>
      <c r="AN22" s="1219">
        <v>0</v>
      </c>
      <c r="AO22" s="1219">
        <v>0</v>
      </c>
      <c r="AP22" s="1219">
        <v>0</v>
      </c>
      <c r="AQ22" s="1219">
        <v>0</v>
      </c>
      <c r="AR22" s="1219">
        <v>0</v>
      </c>
      <c r="AS22" s="1219">
        <v>0</v>
      </c>
      <c r="AT22" s="1219">
        <v>0</v>
      </c>
      <c r="AU22" s="1219">
        <v>0</v>
      </c>
      <c r="AV22" s="1219"/>
      <c r="AW22" s="1219">
        <v>0</v>
      </c>
      <c r="AX22" s="1219">
        <v>0</v>
      </c>
      <c r="AY22" s="1219">
        <v>0</v>
      </c>
      <c r="AZ22" s="1219">
        <v>0</v>
      </c>
      <c r="BA22" s="802">
        <f t="shared" si="0"/>
        <v>2539.06</v>
      </c>
      <c r="BB22" s="1309"/>
    </row>
    <row r="23" spans="1:54">
      <c r="A23" s="1310" t="s">
        <v>241</v>
      </c>
      <c r="B23" s="1218" t="s">
        <v>996</v>
      </c>
      <c r="C23" s="1385" t="s">
        <v>772</v>
      </c>
      <c r="D23" s="1219">
        <v>3767208.4</v>
      </c>
      <c r="E23" s="1219">
        <v>3458286.05</v>
      </c>
      <c r="F23" s="1219">
        <v>5232273.33</v>
      </c>
      <c r="G23" s="1219">
        <v>0</v>
      </c>
      <c r="H23" s="1219">
        <v>0</v>
      </c>
      <c r="I23" s="1219">
        <v>0</v>
      </c>
      <c r="J23" s="1219">
        <v>178116.3</v>
      </c>
      <c r="K23" s="1219">
        <v>56366.52</v>
      </c>
      <c r="L23" s="1219">
        <v>77632.399999999994</v>
      </c>
      <c r="M23" s="1219">
        <v>16035</v>
      </c>
      <c r="N23" s="1219">
        <v>0</v>
      </c>
      <c r="O23" s="1219">
        <v>0</v>
      </c>
      <c r="P23" s="1219">
        <v>0</v>
      </c>
      <c r="Q23" s="1219">
        <v>0</v>
      </c>
      <c r="R23" s="1219">
        <v>0</v>
      </c>
      <c r="S23" s="1219">
        <v>0</v>
      </c>
      <c r="T23" s="1219">
        <v>0</v>
      </c>
      <c r="U23" s="1219">
        <v>0</v>
      </c>
      <c r="V23" s="1219">
        <v>0</v>
      </c>
      <c r="W23" s="1219">
        <v>0</v>
      </c>
      <c r="X23" s="1219">
        <v>0</v>
      </c>
      <c r="Y23" s="1219">
        <v>0</v>
      </c>
      <c r="Z23" s="1219">
        <v>0</v>
      </c>
      <c r="AA23" s="1219">
        <v>0</v>
      </c>
      <c r="AB23" s="1219">
        <v>0</v>
      </c>
      <c r="AC23" s="1219">
        <v>0</v>
      </c>
      <c r="AD23" s="1219">
        <v>0</v>
      </c>
      <c r="AE23" s="1219">
        <v>0</v>
      </c>
      <c r="AF23" s="1219">
        <v>0</v>
      </c>
      <c r="AG23" s="1219">
        <v>0</v>
      </c>
      <c r="AH23" s="1219">
        <v>0</v>
      </c>
      <c r="AI23" s="1219">
        <v>0</v>
      </c>
      <c r="AJ23" s="1219">
        <v>0</v>
      </c>
      <c r="AK23" s="1219">
        <v>0</v>
      </c>
      <c r="AL23" s="1219">
        <v>0</v>
      </c>
      <c r="AM23" s="1219">
        <v>0</v>
      </c>
      <c r="AN23" s="1219">
        <v>0</v>
      </c>
      <c r="AO23" s="1219">
        <v>0</v>
      </c>
      <c r="AP23" s="1219">
        <v>0</v>
      </c>
      <c r="AQ23" s="1219">
        <v>0</v>
      </c>
      <c r="AR23" s="1219">
        <v>0</v>
      </c>
      <c r="AS23" s="1219">
        <v>0</v>
      </c>
      <c r="AT23" s="1219">
        <v>0</v>
      </c>
      <c r="AU23" s="1219">
        <v>0</v>
      </c>
      <c r="AV23" s="1219"/>
      <c r="AW23" s="1219">
        <v>0</v>
      </c>
      <c r="AX23" s="1219">
        <v>0</v>
      </c>
      <c r="AY23" s="1219">
        <v>0</v>
      </c>
      <c r="AZ23" s="1219">
        <v>0</v>
      </c>
      <c r="BA23" s="802">
        <f t="shared" si="0"/>
        <v>12785918</v>
      </c>
      <c r="BB23" s="1309"/>
    </row>
    <row r="24" spans="1:54">
      <c r="A24" s="1310" t="s">
        <v>246</v>
      </c>
      <c r="B24" s="1218" t="s">
        <v>997</v>
      </c>
      <c r="C24" s="1385" t="s">
        <v>774</v>
      </c>
      <c r="D24" s="1219">
        <v>744.72</v>
      </c>
      <c r="E24" s="1219">
        <v>431251.83</v>
      </c>
      <c r="F24" s="1219">
        <v>347893.24</v>
      </c>
      <c r="G24" s="1219">
        <v>0</v>
      </c>
      <c r="H24" s="1219">
        <v>0</v>
      </c>
      <c r="I24" s="1219">
        <v>0</v>
      </c>
      <c r="J24" s="1219">
        <v>0</v>
      </c>
      <c r="K24" s="1219">
        <v>19973.29</v>
      </c>
      <c r="L24" s="1219">
        <v>31855.65</v>
      </c>
      <c r="M24" s="1219">
        <v>0</v>
      </c>
      <c r="N24" s="1219">
        <v>0</v>
      </c>
      <c r="O24" s="1219">
        <v>0</v>
      </c>
      <c r="P24" s="1219">
        <v>0</v>
      </c>
      <c r="Q24" s="1219">
        <v>0</v>
      </c>
      <c r="R24" s="1219">
        <v>0</v>
      </c>
      <c r="S24" s="1219">
        <v>0</v>
      </c>
      <c r="T24" s="1219">
        <v>0</v>
      </c>
      <c r="U24" s="1219">
        <v>0</v>
      </c>
      <c r="V24" s="1219">
        <v>0</v>
      </c>
      <c r="W24" s="1219">
        <v>0</v>
      </c>
      <c r="X24" s="1219">
        <v>0</v>
      </c>
      <c r="Y24" s="1219">
        <v>0</v>
      </c>
      <c r="Z24" s="1219">
        <v>0</v>
      </c>
      <c r="AA24" s="1219">
        <v>0</v>
      </c>
      <c r="AB24" s="1219">
        <v>0</v>
      </c>
      <c r="AC24" s="1219">
        <v>0</v>
      </c>
      <c r="AD24" s="1219">
        <v>0</v>
      </c>
      <c r="AE24" s="1219">
        <v>0</v>
      </c>
      <c r="AF24" s="1219">
        <v>0</v>
      </c>
      <c r="AG24" s="1219">
        <v>0</v>
      </c>
      <c r="AH24" s="1219">
        <v>0</v>
      </c>
      <c r="AI24" s="1219">
        <v>0</v>
      </c>
      <c r="AJ24" s="1219">
        <v>0</v>
      </c>
      <c r="AK24" s="1219">
        <v>0</v>
      </c>
      <c r="AL24" s="1219">
        <v>0</v>
      </c>
      <c r="AM24" s="1219">
        <v>0</v>
      </c>
      <c r="AN24" s="1219">
        <v>0</v>
      </c>
      <c r="AO24" s="1219">
        <v>0</v>
      </c>
      <c r="AP24" s="1219">
        <v>0</v>
      </c>
      <c r="AQ24" s="1219">
        <v>0</v>
      </c>
      <c r="AR24" s="1219">
        <v>0</v>
      </c>
      <c r="AS24" s="1219">
        <v>0</v>
      </c>
      <c r="AT24" s="1219">
        <v>0</v>
      </c>
      <c r="AU24" s="1219">
        <v>0</v>
      </c>
      <c r="AV24" s="1219"/>
      <c r="AW24" s="1219">
        <v>0</v>
      </c>
      <c r="AX24" s="1219">
        <v>0</v>
      </c>
      <c r="AY24" s="1219">
        <v>0</v>
      </c>
      <c r="AZ24" s="1219">
        <v>0</v>
      </c>
      <c r="BA24" s="802">
        <f t="shared" si="0"/>
        <v>831718.7300000001</v>
      </c>
      <c r="BB24" s="1309"/>
    </row>
    <row r="25" spans="1:54">
      <c r="A25" s="1310" t="s">
        <v>249</v>
      </c>
      <c r="B25" s="1218" t="s">
        <v>998</v>
      </c>
      <c r="C25" s="1385" t="s">
        <v>776</v>
      </c>
      <c r="D25" s="1219">
        <v>1552.99</v>
      </c>
      <c r="E25" s="1219">
        <v>3061462.03</v>
      </c>
      <c r="F25" s="1219">
        <v>7211491.8399999999</v>
      </c>
      <c r="G25" s="1219">
        <v>0</v>
      </c>
      <c r="H25" s="1219">
        <v>0</v>
      </c>
      <c r="I25" s="1219">
        <v>0</v>
      </c>
      <c r="J25" s="1219">
        <v>0</v>
      </c>
      <c r="K25" s="1219">
        <v>0</v>
      </c>
      <c r="L25" s="1219">
        <v>0</v>
      </c>
      <c r="M25" s="1219">
        <v>0</v>
      </c>
      <c r="N25" s="1219">
        <v>0</v>
      </c>
      <c r="O25" s="1219">
        <v>0</v>
      </c>
      <c r="P25" s="1219">
        <v>0</v>
      </c>
      <c r="Q25" s="1219">
        <v>0</v>
      </c>
      <c r="R25" s="1219">
        <v>0</v>
      </c>
      <c r="S25" s="1219">
        <v>0</v>
      </c>
      <c r="T25" s="1219">
        <v>0</v>
      </c>
      <c r="U25" s="1219">
        <v>0</v>
      </c>
      <c r="V25" s="1219">
        <v>0</v>
      </c>
      <c r="W25" s="1219">
        <v>0</v>
      </c>
      <c r="X25" s="1219">
        <v>0</v>
      </c>
      <c r="Y25" s="1219">
        <v>0</v>
      </c>
      <c r="Z25" s="1219">
        <v>0</v>
      </c>
      <c r="AA25" s="1219">
        <v>0</v>
      </c>
      <c r="AB25" s="1219">
        <v>0</v>
      </c>
      <c r="AC25" s="1219">
        <v>0</v>
      </c>
      <c r="AD25" s="1219">
        <v>0</v>
      </c>
      <c r="AE25" s="1219">
        <v>0</v>
      </c>
      <c r="AF25" s="1219">
        <v>0</v>
      </c>
      <c r="AG25" s="1219">
        <v>0</v>
      </c>
      <c r="AH25" s="1219">
        <v>0</v>
      </c>
      <c r="AI25" s="1219">
        <v>0</v>
      </c>
      <c r="AJ25" s="1219">
        <v>0</v>
      </c>
      <c r="AK25" s="1219">
        <v>0</v>
      </c>
      <c r="AL25" s="1219">
        <v>0</v>
      </c>
      <c r="AM25" s="1219">
        <v>0</v>
      </c>
      <c r="AN25" s="1219">
        <v>0</v>
      </c>
      <c r="AO25" s="1219">
        <v>0</v>
      </c>
      <c r="AP25" s="1219">
        <v>0</v>
      </c>
      <c r="AQ25" s="1219">
        <v>0</v>
      </c>
      <c r="AR25" s="1219">
        <v>0</v>
      </c>
      <c r="AS25" s="1219">
        <v>0</v>
      </c>
      <c r="AT25" s="1219">
        <v>0</v>
      </c>
      <c r="AU25" s="1219">
        <v>0</v>
      </c>
      <c r="AV25" s="1219"/>
      <c r="AW25" s="1219">
        <v>0</v>
      </c>
      <c r="AX25" s="1219">
        <v>0</v>
      </c>
      <c r="AY25" s="1219">
        <v>0</v>
      </c>
      <c r="AZ25" s="1219">
        <v>0</v>
      </c>
      <c r="BA25" s="802">
        <f t="shared" si="0"/>
        <v>10274506.859999999</v>
      </c>
      <c r="BB25" s="1309"/>
    </row>
    <row r="26" spans="1:54">
      <c r="A26" s="1310" t="s">
        <v>253</v>
      </c>
      <c r="B26" s="1218" t="s">
        <v>999</v>
      </c>
      <c r="C26" s="1385" t="s">
        <v>778</v>
      </c>
      <c r="D26" s="1219">
        <v>6829636.5099999998</v>
      </c>
      <c r="E26" s="1219">
        <v>8114428.8799999999</v>
      </c>
      <c r="F26" s="1219">
        <v>10309658.99</v>
      </c>
      <c r="G26" s="1219">
        <v>0</v>
      </c>
      <c r="H26" s="1219">
        <v>0</v>
      </c>
      <c r="I26" s="1219">
        <v>0</v>
      </c>
      <c r="J26" s="1219">
        <v>122755.44</v>
      </c>
      <c r="K26" s="1219">
        <v>417377.83</v>
      </c>
      <c r="L26" s="1219">
        <v>310066.07</v>
      </c>
      <c r="M26" s="1219">
        <v>179050.83</v>
      </c>
      <c r="N26" s="1219">
        <v>0</v>
      </c>
      <c r="O26" s="1219">
        <v>0</v>
      </c>
      <c r="P26" s="1219">
        <v>0</v>
      </c>
      <c r="Q26" s="1219">
        <v>0</v>
      </c>
      <c r="R26" s="1219">
        <v>0</v>
      </c>
      <c r="S26" s="1219">
        <v>0</v>
      </c>
      <c r="T26" s="1219">
        <v>0</v>
      </c>
      <c r="U26" s="1219">
        <v>0</v>
      </c>
      <c r="V26" s="1219">
        <v>28069.75</v>
      </c>
      <c r="W26" s="1219">
        <v>0</v>
      </c>
      <c r="X26" s="1219">
        <v>0</v>
      </c>
      <c r="Y26" s="1219">
        <v>0</v>
      </c>
      <c r="Z26" s="1219">
        <v>0</v>
      </c>
      <c r="AA26" s="1219">
        <v>0</v>
      </c>
      <c r="AB26" s="1219">
        <v>0</v>
      </c>
      <c r="AC26" s="1219">
        <v>0</v>
      </c>
      <c r="AD26" s="1219">
        <v>0</v>
      </c>
      <c r="AE26" s="1219">
        <v>0</v>
      </c>
      <c r="AF26" s="1219">
        <v>0</v>
      </c>
      <c r="AG26" s="1219">
        <v>0</v>
      </c>
      <c r="AH26" s="1219">
        <v>0</v>
      </c>
      <c r="AI26" s="1219">
        <v>0</v>
      </c>
      <c r="AJ26" s="1219">
        <v>0</v>
      </c>
      <c r="AK26" s="1219">
        <v>0</v>
      </c>
      <c r="AL26" s="1219">
        <v>0</v>
      </c>
      <c r="AM26" s="1219">
        <v>0</v>
      </c>
      <c r="AN26" s="1219">
        <v>0</v>
      </c>
      <c r="AO26" s="1219">
        <v>0</v>
      </c>
      <c r="AP26" s="1219">
        <v>0</v>
      </c>
      <c r="AQ26" s="1219">
        <v>0</v>
      </c>
      <c r="AR26" s="1219">
        <v>0</v>
      </c>
      <c r="AS26" s="1219">
        <v>0</v>
      </c>
      <c r="AT26" s="1219">
        <v>0</v>
      </c>
      <c r="AU26" s="1219">
        <v>0</v>
      </c>
      <c r="AV26" s="1219"/>
      <c r="AW26" s="1219">
        <v>0</v>
      </c>
      <c r="AX26" s="1219">
        <v>0</v>
      </c>
      <c r="AY26" s="1219">
        <v>0</v>
      </c>
      <c r="AZ26" s="1219">
        <v>0</v>
      </c>
      <c r="BA26" s="802">
        <f t="shared" si="0"/>
        <v>26311044.300000001</v>
      </c>
      <c r="BB26" s="1309"/>
    </row>
    <row r="27" spans="1:54">
      <c r="A27" s="1310" t="s">
        <v>257</v>
      </c>
      <c r="B27" s="1218" t="s">
        <v>1000</v>
      </c>
      <c r="C27" s="1385" t="s">
        <v>839</v>
      </c>
      <c r="D27" s="1219">
        <v>272541.76</v>
      </c>
      <c r="E27" s="1219">
        <v>5391.84</v>
      </c>
      <c r="F27" s="1219">
        <v>52721.62</v>
      </c>
      <c r="G27" s="1219">
        <v>0</v>
      </c>
      <c r="H27" s="1219">
        <v>0</v>
      </c>
      <c r="I27" s="1219">
        <v>0</v>
      </c>
      <c r="J27" s="1219">
        <v>0</v>
      </c>
      <c r="K27" s="1219">
        <v>0</v>
      </c>
      <c r="L27" s="1219">
        <v>0</v>
      </c>
      <c r="M27" s="1219">
        <v>0</v>
      </c>
      <c r="N27" s="1219">
        <v>0</v>
      </c>
      <c r="O27" s="1219">
        <v>0</v>
      </c>
      <c r="P27" s="1219">
        <v>0</v>
      </c>
      <c r="Q27" s="1219">
        <v>0</v>
      </c>
      <c r="R27" s="1219">
        <v>0</v>
      </c>
      <c r="S27" s="1219">
        <v>0</v>
      </c>
      <c r="T27" s="1219">
        <v>0</v>
      </c>
      <c r="U27" s="1219">
        <v>0</v>
      </c>
      <c r="V27" s="1219">
        <v>0</v>
      </c>
      <c r="W27" s="1219">
        <v>0</v>
      </c>
      <c r="X27" s="1219">
        <v>0</v>
      </c>
      <c r="Y27" s="1219">
        <v>0</v>
      </c>
      <c r="Z27" s="1219">
        <v>0</v>
      </c>
      <c r="AA27" s="1219">
        <v>0</v>
      </c>
      <c r="AB27" s="1219">
        <v>0</v>
      </c>
      <c r="AC27" s="1219">
        <v>0</v>
      </c>
      <c r="AD27" s="1219">
        <v>0</v>
      </c>
      <c r="AE27" s="1219">
        <v>0</v>
      </c>
      <c r="AF27" s="1219">
        <v>0</v>
      </c>
      <c r="AG27" s="1219">
        <v>0</v>
      </c>
      <c r="AH27" s="1219">
        <v>0</v>
      </c>
      <c r="AI27" s="1219">
        <v>0</v>
      </c>
      <c r="AJ27" s="1219">
        <v>0</v>
      </c>
      <c r="AK27" s="1219">
        <v>0</v>
      </c>
      <c r="AL27" s="1219">
        <v>0</v>
      </c>
      <c r="AM27" s="1219">
        <v>0</v>
      </c>
      <c r="AN27" s="1219">
        <v>0</v>
      </c>
      <c r="AO27" s="1219">
        <v>0</v>
      </c>
      <c r="AP27" s="1219">
        <v>0</v>
      </c>
      <c r="AQ27" s="1219">
        <v>0</v>
      </c>
      <c r="AR27" s="1219">
        <v>0</v>
      </c>
      <c r="AS27" s="1219">
        <v>0</v>
      </c>
      <c r="AT27" s="1219">
        <v>0</v>
      </c>
      <c r="AU27" s="1219">
        <v>0</v>
      </c>
      <c r="AV27" s="1219"/>
      <c r="AW27" s="1219">
        <v>0</v>
      </c>
      <c r="AX27" s="1219">
        <v>0</v>
      </c>
      <c r="AY27" s="1219">
        <v>0</v>
      </c>
      <c r="AZ27" s="1219">
        <v>0</v>
      </c>
      <c r="BA27" s="802">
        <f t="shared" si="0"/>
        <v>330655.22000000003</v>
      </c>
      <c r="BB27" s="1309"/>
    </row>
    <row r="28" spans="1:54">
      <c r="A28" s="1310" t="s">
        <v>261</v>
      </c>
      <c r="B28" s="1218" t="s">
        <v>1001</v>
      </c>
      <c r="C28" s="1385" t="s">
        <v>840</v>
      </c>
      <c r="D28" s="1219">
        <v>1580532.88</v>
      </c>
      <c r="E28" s="1219">
        <v>3732409.53</v>
      </c>
      <c r="F28" s="1219">
        <v>18309549.370000001</v>
      </c>
      <c r="G28" s="1219">
        <v>0</v>
      </c>
      <c r="H28" s="1219">
        <v>0</v>
      </c>
      <c r="I28" s="1219">
        <v>0</v>
      </c>
      <c r="J28" s="1219">
        <v>188972.79999999999</v>
      </c>
      <c r="K28" s="1219">
        <v>132697.17000000001</v>
      </c>
      <c r="L28" s="1219">
        <v>97858.69</v>
      </c>
      <c r="M28" s="1219">
        <v>7760.37</v>
      </c>
      <c r="N28" s="1219">
        <v>0</v>
      </c>
      <c r="O28" s="1219">
        <v>0</v>
      </c>
      <c r="P28" s="1219">
        <v>0</v>
      </c>
      <c r="Q28" s="1219">
        <v>0</v>
      </c>
      <c r="R28" s="1219">
        <v>0</v>
      </c>
      <c r="S28" s="1219">
        <v>0</v>
      </c>
      <c r="T28" s="1219">
        <v>0</v>
      </c>
      <c r="U28" s="1219">
        <v>0</v>
      </c>
      <c r="V28" s="1219">
        <v>0</v>
      </c>
      <c r="W28" s="1219">
        <v>0</v>
      </c>
      <c r="X28" s="1219">
        <v>0</v>
      </c>
      <c r="Y28" s="1219">
        <v>0</v>
      </c>
      <c r="Z28" s="1219">
        <v>0</v>
      </c>
      <c r="AA28" s="1219">
        <v>0</v>
      </c>
      <c r="AB28" s="1219">
        <v>0</v>
      </c>
      <c r="AC28" s="1219">
        <v>0</v>
      </c>
      <c r="AD28" s="1219">
        <v>0</v>
      </c>
      <c r="AE28" s="1219">
        <v>0</v>
      </c>
      <c r="AF28" s="1219">
        <v>0</v>
      </c>
      <c r="AG28" s="1219">
        <v>0</v>
      </c>
      <c r="AH28" s="1219">
        <v>0</v>
      </c>
      <c r="AI28" s="1219">
        <v>0</v>
      </c>
      <c r="AJ28" s="1219">
        <v>0</v>
      </c>
      <c r="AK28" s="1219">
        <v>0</v>
      </c>
      <c r="AL28" s="1219">
        <v>0</v>
      </c>
      <c r="AM28" s="1219">
        <v>0</v>
      </c>
      <c r="AN28" s="1219">
        <v>0</v>
      </c>
      <c r="AO28" s="1219">
        <v>0</v>
      </c>
      <c r="AP28" s="1219">
        <v>0</v>
      </c>
      <c r="AQ28" s="1219">
        <v>0</v>
      </c>
      <c r="AR28" s="1219">
        <v>0</v>
      </c>
      <c r="AS28" s="1219">
        <v>0</v>
      </c>
      <c r="AT28" s="1219">
        <v>0</v>
      </c>
      <c r="AU28" s="1219">
        <v>0</v>
      </c>
      <c r="AV28" s="1219"/>
      <c r="AW28" s="1219">
        <v>0</v>
      </c>
      <c r="AX28" s="1219">
        <v>0</v>
      </c>
      <c r="AY28" s="1219">
        <v>0</v>
      </c>
      <c r="AZ28" s="1219">
        <v>0</v>
      </c>
      <c r="BA28" s="802">
        <f t="shared" si="0"/>
        <v>24049780.810000006</v>
      </c>
      <c r="BB28" s="1309"/>
    </row>
    <row r="29" spans="1:54">
      <c r="A29" s="1310" t="s">
        <v>265</v>
      </c>
      <c r="B29" s="1218" t="s">
        <v>1002</v>
      </c>
      <c r="C29" s="1385" t="s">
        <v>841</v>
      </c>
      <c r="D29" s="1219">
        <v>422657.31</v>
      </c>
      <c r="E29" s="1219">
        <v>3613993.02</v>
      </c>
      <c r="F29" s="1219">
        <v>4102480.83</v>
      </c>
      <c r="G29" s="1219">
        <v>0</v>
      </c>
      <c r="H29" s="1219">
        <v>0</v>
      </c>
      <c r="I29" s="1219">
        <v>0</v>
      </c>
      <c r="J29" s="1219">
        <v>242175.8</v>
      </c>
      <c r="K29" s="1219">
        <v>424632.74</v>
      </c>
      <c r="L29" s="1219">
        <v>703254.91</v>
      </c>
      <c r="M29" s="1219">
        <v>10631.46</v>
      </c>
      <c r="N29" s="1219">
        <v>0</v>
      </c>
      <c r="O29" s="1219">
        <v>0</v>
      </c>
      <c r="P29" s="1219">
        <v>0</v>
      </c>
      <c r="Q29" s="1219">
        <v>0</v>
      </c>
      <c r="R29" s="1219">
        <v>0</v>
      </c>
      <c r="S29" s="1219">
        <v>0</v>
      </c>
      <c r="T29" s="1219">
        <v>0</v>
      </c>
      <c r="U29" s="1219">
        <v>0</v>
      </c>
      <c r="V29" s="1219">
        <v>0</v>
      </c>
      <c r="W29" s="1219">
        <v>0</v>
      </c>
      <c r="X29" s="1219">
        <v>0</v>
      </c>
      <c r="Y29" s="1219">
        <v>0</v>
      </c>
      <c r="Z29" s="1219">
        <v>0</v>
      </c>
      <c r="AA29" s="1219">
        <v>0</v>
      </c>
      <c r="AB29" s="1219">
        <v>0</v>
      </c>
      <c r="AC29" s="1219">
        <v>0</v>
      </c>
      <c r="AD29" s="1219">
        <v>0</v>
      </c>
      <c r="AE29" s="1219">
        <v>0</v>
      </c>
      <c r="AF29" s="1219">
        <v>0</v>
      </c>
      <c r="AG29" s="1219">
        <v>0</v>
      </c>
      <c r="AH29" s="1219">
        <v>0</v>
      </c>
      <c r="AI29" s="1219">
        <v>0</v>
      </c>
      <c r="AJ29" s="1219">
        <v>0</v>
      </c>
      <c r="AK29" s="1219">
        <v>0</v>
      </c>
      <c r="AL29" s="1219">
        <v>0</v>
      </c>
      <c r="AM29" s="1219">
        <v>0</v>
      </c>
      <c r="AN29" s="1219">
        <v>0</v>
      </c>
      <c r="AO29" s="1219">
        <v>0</v>
      </c>
      <c r="AP29" s="1219">
        <v>0</v>
      </c>
      <c r="AQ29" s="1219">
        <v>0</v>
      </c>
      <c r="AR29" s="1219">
        <v>0</v>
      </c>
      <c r="AS29" s="1219">
        <v>0</v>
      </c>
      <c r="AT29" s="1219">
        <v>0</v>
      </c>
      <c r="AU29" s="1219">
        <v>0</v>
      </c>
      <c r="AV29" s="1219"/>
      <c r="AW29" s="1219">
        <v>0</v>
      </c>
      <c r="AX29" s="1219">
        <v>0</v>
      </c>
      <c r="AY29" s="1219">
        <v>0</v>
      </c>
      <c r="AZ29" s="1219">
        <v>0</v>
      </c>
      <c r="BA29" s="802">
        <f t="shared" si="0"/>
        <v>9519826.0700000003</v>
      </c>
      <c r="BB29" s="1309"/>
    </row>
    <row r="30" spans="1:54">
      <c r="A30" s="1310" t="s">
        <v>273</v>
      </c>
      <c r="B30" s="1218" t="s">
        <v>1003</v>
      </c>
      <c r="C30" s="1385" t="s">
        <v>842</v>
      </c>
      <c r="D30" s="1219">
        <v>2716775.59</v>
      </c>
      <c r="E30" s="1219">
        <v>3392649.82</v>
      </c>
      <c r="F30" s="1219">
        <v>9678249.1400000006</v>
      </c>
      <c r="G30" s="1219">
        <v>0</v>
      </c>
      <c r="H30" s="1219">
        <v>0</v>
      </c>
      <c r="I30" s="1219">
        <v>0</v>
      </c>
      <c r="J30" s="1219">
        <v>261633.99</v>
      </c>
      <c r="K30" s="1219">
        <v>596543.64</v>
      </c>
      <c r="L30" s="1219">
        <v>789387.63</v>
      </c>
      <c r="M30" s="1219">
        <v>317709.19</v>
      </c>
      <c r="N30" s="1219">
        <v>0</v>
      </c>
      <c r="O30" s="1219">
        <v>0</v>
      </c>
      <c r="P30" s="1219">
        <v>0</v>
      </c>
      <c r="Q30" s="1219">
        <v>0</v>
      </c>
      <c r="R30" s="1219">
        <v>0</v>
      </c>
      <c r="S30" s="1219">
        <v>0</v>
      </c>
      <c r="T30" s="1219">
        <v>0</v>
      </c>
      <c r="U30" s="1219">
        <v>0</v>
      </c>
      <c r="V30" s="1219">
        <v>0</v>
      </c>
      <c r="W30" s="1219">
        <v>0</v>
      </c>
      <c r="X30" s="1219">
        <v>0</v>
      </c>
      <c r="Y30" s="1219">
        <v>0</v>
      </c>
      <c r="Z30" s="1219">
        <v>0</v>
      </c>
      <c r="AA30" s="1219">
        <v>0</v>
      </c>
      <c r="AB30" s="1219">
        <v>0</v>
      </c>
      <c r="AC30" s="1219">
        <v>0</v>
      </c>
      <c r="AD30" s="1219">
        <v>0</v>
      </c>
      <c r="AE30" s="1219">
        <v>0</v>
      </c>
      <c r="AF30" s="1219">
        <v>0</v>
      </c>
      <c r="AG30" s="1219">
        <v>0</v>
      </c>
      <c r="AH30" s="1219">
        <v>0</v>
      </c>
      <c r="AI30" s="1219">
        <v>0</v>
      </c>
      <c r="AJ30" s="1219">
        <v>0</v>
      </c>
      <c r="AK30" s="1219">
        <v>0</v>
      </c>
      <c r="AL30" s="1219">
        <v>0</v>
      </c>
      <c r="AM30" s="1219">
        <v>0</v>
      </c>
      <c r="AN30" s="1219">
        <v>0</v>
      </c>
      <c r="AO30" s="1219">
        <v>0</v>
      </c>
      <c r="AP30" s="1219">
        <v>0</v>
      </c>
      <c r="AQ30" s="1219">
        <v>0</v>
      </c>
      <c r="AR30" s="1219">
        <v>0</v>
      </c>
      <c r="AS30" s="1219">
        <v>0</v>
      </c>
      <c r="AT30" s="1219">
        <v>0</v>
      </c>
      <c r="AU30" s="1219">
        <v>0</v>
      </c>
      <c r="AV30" s="1219"/>
      <c r="AW30" s="1219">
        <v>0</v>
      </c>
      <c r="AX30" s="1219">
        <v>0</v>
      </c>
      <c r="AY30" s="1219">
        <v>0</v>
      </c>
      <c r="AZ30" s="1219">
        <v>0</v>
      </c>
      <c r="BA30" s="802">
        <f t="shared" si="0"/>
        <v>17752949.000000004</v>
      </c>
      <c r="BB30" s="1309"/>
    </row>
    <row r="31" spans="1:54">
      <c r="A31" s="1310" t="s">
        <v>270</v>
      </c>
      <c r="B31" s="1218" t="s">
        <v>1004</v>
      </c>
      <c r="C31" s="1385" t="s">
        <v>836</v>
      </c>
      <c r="D31" s="1219">
        <v>3001136.1399999997</v>
      </c>
      <c r="E31" s="1219">
        <v>6381627.1500000004</v>
      </c>
      <c r="F31" s="1219">
        <v>7481555.04</v>
      </c>
      <c r="G31" s="1219">
        <v>0</v>
      </c>
      <c r="H31" s="1219">
        <v>0</v>
      </c>
      <c r="I31" s="1219">
        <v>0</v>
      </c>
      <c r="J31" s="1219">
        <v>234949.71</v>
      </c>
      <c r="K31" s="1219">
        <v>88680.2</v>
      </c>
      <c r="L31" s="1219">
        <v>132487.48000000001</v>
      </c>
      <c r="M31" s="1219">
        <v>40440.71</v>
      </c>
      <c r="N31" s="1219">
        <v>0</v>
      </c>
      <c r="O31" s="1219">
        <v>0</v>
      </c>
      <c r="P31" s="1219">
        <v>0</v>
      </c>
      <c r="Q31" s="1219">
        <v>0</v>
      </c>
      <c r="R31" s="1219">
        <v>0</v>
      </c>
      <c r="S31" s="1219">
        <v>0</v>
      </c>
      <c r="T31" s="1219">
        <v>0</v>
      </c>
      <c r="U31" s="1219">
        <v>0</v>
      </c>
      <c r="V31" s="1219">
        <v>0</v>
      </c>
      <c r="W31" s="1219">
        <v>0</v>
      </c>
      <c r="X31" s="1219">
        <v>0</v>
      </c>
      <c r="Y31" s="1219">
        <v>0</v>
      </c>
      <c r="Z31" s="1219">
        <v>0</v>
      </c>
      <c r="AA31" s="1219">
        <v>0</v>
      </c>
      <c r="AB31" s="1219">
        <v>0</v>
      </c>
      <c r="AC31" s="1219">
        <v>0</v>
      </c>
      <c r="AD31" s="1219">
        <v>0</v>
      </c>
      <c r="AE31" s="1219">
        <v>0</v>
      </c>
      <c r="AF31" s="1219">
        <v>0</v>
      </c>
      <c r="AG31" s="1219">
        <v>0</v>
      </c>
      <c r="AH31" s="1219">
        <v>0</v>
      </c>
      <c r="AI31" s="1219">
        <v>0</v>
      </c>
      <c r="AJ31" s="1219">
        <v>0</v>
      </c>
      <c r="AK31" s="1219">
        <v>0</v>
      </c>
      <c r="AL31" s="1219">
        <v>0</v>
      </c>
      <c r="AM31" s="1219">
        <v>0</v>
      </c>
      <c r="AN31" s="1219">
        <v>0</v>
      </c>
      <c r="AO31" s="1219">
        <v>0</v>
      </c>
      <c r="AP31" s="1219">
        <v>0</v>
      </c>
      <c r="AQ31" s="1219">
        <v>0</v>
      </c>
      <c r="AR31" s="1219">
        <v>0</v>
      </c>
      <c r="AS31" s="1219">
        <v>0</v>
      </c>
      <c r="AT31" s="1219">
        <v>0</v>
      </c>
      <c r="AU31" s="1219">
        <v>0</v>
      </c>
      <c r="AV31" s="1219"/>
      <c r="AW31" s="1219">
        <v>0</v>
      </c>
      <c r="AX31" s="1219">
        <v>0</v>
      </c>
      <c r="AY31" s="1219">
        <v>0</v>
      </c>
      <c r="AZ31" s="1219">
        <v>0</v>
      </c>
      <c r="BA31" s="802">
        <f t="shared" si="0"/>
        <v>17360876.43</v>
      </c>
      <c r="BB31" s="1309"/>
    </row>
    <row r="32" spans="1:54">
      <c r="A32" s="1310" t="s">
        <v>640</v>
      </c>
      <c r="B32" s="1218" t="s">
        <v>1005</v>
      </c>
      <c r="C32" s="1385" t="s">
        <v>780</v>
      </c>
      <c r="D32" s="1219">
        <v>0</v>
      </c>
      <c r="E32" s="1219">
        <v>0</v>
      </c>
      <c r="F32" s="1219">
        <v>0</v>
      </c>
      <c r="G32" s="1219">
        <v>0</v>
      </c>
      <c r="H32" s="1219">
        <v>0</v>
      </c>
      <c r="I32" s="1219">
        <v>337371.04</v>
      </c>
      <c r="J32" s="1219">
        <v>0</v>
      </c>
      <c r="K32" s="1219">
        <v>0</v>
      </c>
      <c r="L32" s="1219">
        <v>0</v>
      </c>
      <c r="M32" s="1219">
        <v>0</v>
      </c>
      <c r="N32" s="1219">
        <v>0</v>
      </c>
      <c r="O32" s="1219">
        <v>1509428.45</v>
      </c>
      <c r="P32" s="1219">
        <v>775690.66</v>
      </c>
      <c r="Q32" s="1219">
        <v>741706.91</v>
      </c>
      <c r="R32" s="1219">
        <v>755365.79</v>
      </c>
      <c r="S32" s="1219">
        <v>554338.47</v>
      </c>
      <c r="T32" s="1219">
        <v>515171.19</v>
      </c>
      <c r="U32" s="1219">
        <v>627690.52</v>
      </c>
      <c r="V32" s="1219">
        <v>312778.88</v>
      </c>
      <c r="W32" s="1219">
        <v>0</v>
      </c>
      <c r="X32" s="1219">
        <v>0</v>
      </c>
      <c r="Y32" s="1219">
        <v>0</v>
      </c>
      <c r="Z32" s="1219">
        <v>0</v>
      </c>
      <c r="AA32" s="1219">
        <v>0</v>
      </c>
      <c r="AB32" s="1219">
        <v>0</v>
      </c>
      <c r="AC32" s="1219">
        <v>0</v>
      </c>
      <c r="AD32" s="1219">
        <v>0</v>
      </c>
      <c r="AE32" s="1219">
        <v>0</v>
      </c>
      <c r="AF32" s="1219">
        <v>0</v>
      </c>
      <c r="AG32" s="1219">
        <v>0</v>
      </c>
      <c r="AH32" s="1219">
        <v>0</v>
      </c>
      <c r="AI32" s="1219">
        <v>0</v>
      </c>
      <c r="AJ32" s="1219">
        <v>0</v>
      </c>
      <c r="AK32" s="1219">
        <v>0</v>
      </c>
      <c r="AL32" s="1219">
        <v>0</v>
      </c>
      <c r="AM32" s="1219">
        <v>0</v>
      </c>
      <c r="AN32" s="1219">
        <v>0</v>
      </c>
      <c r="AO32" s="1219">
        <v>0</v>
      </c>
      <c r="AP32" s="1219">
        <v>0</v>
      </c>
      <c r="AQ32" s="1219">
        <v>0</v>
      </c>
      <c r="AR32" s="1219">
        <v>0</v>
      </c>
      <c r="AS32" s="1219">
        <v>0</v>
      </c>
      <c r="AT32" s="1219">
        <v>0</v>
      </c>
      <c r="AU32" s="1219">
        <v>0</v>
      </c>
      <c r="AV32" s="1219"/>
      <c r="AW32" s="1219">
        <v>0</v>
      </c>
      <c r="AX32" s="1219">
        <v>0</v>
      </c>
      <c r="AY32" s="1219">
        <v>0</v>
      </c>
      <c r="AZ32" s="1219">
        <v>0</v>
      </c>
      <c r="BA32" s="802">
        <f t="shared" si="0"/>
        <v>6129541.9100000011</v>
      </c>
      <c r="BB32" s="1309"/>
    </row>
    <row r="33" spans="1:54">
      <c r="A33" s="1310" t="s">
        <v>1006</v>
      </c>
      <c r="B33" s="1218" t="s">
        <v>1007</v>
      </c>
      <c r="C33" s="1385" t="s">
        <v>782</v>
      </c>
      <c r="D33" s="1219">
        <v>0</v>
      </c>
      <c r="E33" s="1219">
        <v>0</v>
      </c>
      <c r="F33" s="1219">
        <v>0</v>
      </c>
      <c r="G33" s="1219">
        <v>0</v>
      </c>
      <c r="H33" s="1219">
        <v>0</v>
      </c>
      <c r="I33" s="1219">
        <v>176702.89</v>
      </c>
      <c r="J33" s="1219">
        <v>0</v>
      </c>
      <c r="K33" s="1219">
        <v>0</v>
      </c>
      <c r="L33" s="1219">
        <v>0</v>
      </c>
      <c r="M33" s="1219">
        <v>0</v>
      </c>
      <c r="N33" s="1219">
        <v>0</v>
      </c>
      <c r="O33" s="1219">
        <v>0</v>
      </c>
      <c r="P33" s="1219">
        <v>0</v>
      </c>
      <c r="Q33" s="1219">
        <v>0</v>
      </c>
      <c r="R33" s="1219">
        <v>0</v>
      </c>
      <c r="S33" s="1219">
        <v>0</v>
      </c>
      <c r="T33" s="1219">
        <v>0</v>
      </c>
      <c r="U33" s="1219">
        <v>0</v>
      </c>
      <c r="V33" s="1219">
        <v>11293.63</v>
      </c>
      <c r="W33" s="1219">
        <v>0</v>
      </c>
      <c r="X33" s="1219">
        <v>0</v>
      </c>
      <c r="Y33" s="1219">
        <v>0</v>
      </c>
      <c r="Z33" s="1219">
        <v>0</v>
      </c>
      <c r="AA33" s="1219">
        <v>0</v>
      </c>
      <c r="AB33" s="1219">
        <v>0</v>
      </c>
      <c r="AC33" s="1219">
        <v>0</v>
      </c>
      <c r="AD33" s="1219">
        <v>0</v>
      </c>
      <c r="AE33" s="1219">
        <v>0</v>
      </c>
      <c r="AF33" s="1219">
        <v>0</v>
      </c>
      <c r="AG33" s="1219">
        <v>0</v>
      </c>
      <c r="AH33" s="1219">
        <v>0</v>
      </c>
      <c r="AI33" s="1219">
        <v>0</v>
      </c>
      <c r="AJ33" s="1219">
        <v>0</v>
      </c>
      <c r="AK33" s="1219">
        <v>0</v>
      </c>
      <c r="AL33" s="1219">
        <v>0</v>
      </c>
      <c r="AM33" s="1219">
        <v>0</v>
      </c>
      <c r="AN33" s="1219">
        <v>0</v>
      </c>
      <c r="AO33" s="1219">
        <v>0</v>
      </c>
      <c r="AP33" s="1219">
        <v>0</v>
      </c>
      <c r="AQ33" s="1219">
        <v>0</v>
      </c>
      <c r="AR33" s="1219">
        <v>0</v>
      </c>
      <c r="AS33" s="1219">
        <v>0</v>
      </c>
      <c r="AT33" s="1219">
        <v>0</v>
      </c>
      <c r="AU33" s="1219">
        <v>0</v>
      </c>
      <c r="AV33" s="1219"/>
      <c r="AW33" s="1219">
        <v>0</v>
      </c>
      <c r="AX33" s="1219">
        <v>0</v>
      </c>
      <c r="AY33" s="1219">
        <v>0</v>
      </c>
      <c r="AZ33" s="1219">
        <v>0</v>
      </c>
      <c r="BA33" s="802">
        <f t="shared" si="0"/>
        <v>187996.52000000002</v>
      </c>
      <c r="BB33" s="1309"/>
    </row>
    <row r="34" spans="1:54">
      <c r="A34" s="1310" t="s">
        <v>1008</v>
      </c>
      <c r="B34" s="1218" t="s">
        <v>1009</v>
      </c>
      <c r="C34" s="1385" t="s">
        <v>784</v>
      </c>
      <c r="D34" s="1219">
        <v>0</v>
      </c>
      <c r="E34" s="1219">
        <v>0</v>
      </c>
      <c r="F34" s="1219">
        <v>0</v>
      </c>
      <c r="G34" s="1219">
        <v>0</v>
      </c>
      <c r="H34" s="1219">
        <v>0</v>
      </c>
      <c r="I34" s="1219">
        <v>4018773.18</v>
      </c>
      <c r="J34" s="1219">
        <v>0</v>
      </c>
      <c r="K34" s="1219">
        <v>0</v>
      </c>
      <c r="L34" s="1219">
        <v>0</v>
      </c>
      <c r="M34" s="1219">
        <v>0</v>
      </c>
      <c r="N34" s="1219">
        <v>0</v>
      </c>
      <c r="O34" s="1219">
        <v>3220798.8</v>
      </c>
      <c r="P34" s="1219">
        <v>732604.84</v>
      </c>
      <c r="Q34" s="1219">
        <v>389879.57</v>
      </c>
      <c r="R34" s="1219">
        <v>538091.22</v>
      </c>
      <c r="S34" s="1219">
        <v>212888.63</v>
      </c>
      <c r="T34" s="1219">
        <v>360509.4</v>
      </c>
      <c r="U34" s="1219">
        <v>414395.17</v>
      </c>
      <c r="V34" s="1219">
        <v>9524238.1500000004</v>
      </c>
      <c r="W34" s="1219">
        <v>0</v>
      </c>
      <c r="X34" s="1219">
        <v>0</v>
      </c>
      <c r="Y34" s="1219">
        <v>0</v>
      </c>
      <c r="Z34" s="1219">
        <v>0</v>
      </c>
      <c r="AA34" s="1219">
        <v>0</v>
      </c>
      <c r="AB34" s="1219">
        <v>0</v>
      </c>
      <c r="AC34" s="1219">
        <v>0</v>
      </c>
      <c r="AD34" s="1219">
        <v>0</v>
      </c>
      <c r="AE34" s="1219">
        <v>0</v>
      </c>
      <c r="AF34" s="1219">
        <v>0</v>
      </c>
      <c r="AG34" s="1219">
        <v>0</v>
      </c>
      <c r="AH34" s="1219">
        <v>0</v>
      </c>
      <c r="AI34" s="1219">
        <v>0</v>
      </c>
      <c r="AJ34" s="1219">
        <v>0</v>
      </c>
      <c r="AK34" s="1219">
        <v>0</v>
      </c>
      <c r="AL34" s="1219">
        <v>8527603.9800000004</v>
      </c>
      <c r="AM34" s="1219">
        <v>0</v>
      </c>
      <c r="AN34" s="1219">
        <v>0</v>
      </c>
      <c r="AO34" s="1219">
        <v>0</v>
      </c>
      <c r="AP34" s="1219">
        <v>0</v>
      </c>
      <c r="AQ34" s="1219">
        <v>0</v>
      </c>
      <c r="AR34" s="1219">
        <v>0</v>
      </c>
      <c r="AS34" s="1219">
        <v>0</v>
      </c>
      <c r="AT34" s="1219">
        <v>0</v>
      </c>
      <c r="AU34" s="1219">
        <v>0</v>
      </c>
      <c r="AV34" s="1219"/>
      <c r="AW34" s="1219">
        <v>0</v>
      </c>
      <c r="AX34" s="1219">
        <v>0</v>
      </c>
      <c r="AY34" s="1219">
        <v>0</v>
      </c>
      <c r="AZ34" s="1219">
        <v>0</v>
      </c>
      <c r="BA34" s="802">
        <f t="shared" si="0"/>
        <v>27939782.940000001</v>
      </c>
      <c r="BB34" s="1309"/>
    </row>
    <row r="35" spans="1:54">
      <c r="A35" s="1310" t="s">
        <v>1010</v>
      </c>
      <c r="B35" s="1218" t="s">
        <v>1011</v>
      </c>
      <c r="C35" s="1385" t="s">
        <v>843</v>
      </c>
      <c r="D35" s="1219">
        <v>0</v>
      </c>
      <c r="E35" s="1219">
        <v>0</v>
      </c>
      <c r="F35" s="1219">
        <v>0</v>
      </c>
      <c r="G35" s="1219">
        <v>0</v>
      </c>
      <c r="H35" s="1219">
        <v>0</v>
      </c>
      <c r="I35" s="1219">
        <v>0</v>
      </c>
      <c r="J35" s="1219">
        <v>0</v>
      </c>
      <c r="K35" s="1219">
        <v>0</v>
      </c>
      <c r="L35" s="1219">
        <v>0</v>
      </c>
      <c r="M35" s="1219">
        <v>0</v>
      </c>
      <c r="N35" s="1219">
        <v>0</v>
      </c>
      <c r="O35" s="1219">
        <v>0</v>
      </c>
      <c r="P35" s="1219">
        <v>0</v>
      </c>
      <c r="Q35" s="1219">
        <v>0</v>
      </c>
      <c r="R35" s="1219">
        <v>0</v>
      </c>
      <c r="S35" s="1219">
        <v>0</v>
      </c>
      <c r="T35" s="1219">
        <v>0</v>
      </c>
      <c r="U35" s="1219">
        <v>0</v>
      </c>
      <c r="V35" s="1219">
        <v>0</v>
      </c>
      <c r="W35" s="1219">
        <v>0</v>
      </c>
      <c r="X35" s="1219">
        <v>0</v>
      </c>
      <c r="Y35" s="1219">
        <v>0</v>
      </c>
      <c r="Z35" s="1219">
        <v>0</v>
      </c>
      <c r="AA35" s="1219">
        <v>0</v>
      </c>
      <c r="AB35" s="1219">
        <v>0</v>
      </c>
      <c r="AC35" s="1219">
        <v>0</v>
      </c>
      <c r="AD35" s="1219">
        <v>0</v>
      </c>
      <c r="AE35" s="1219">
        <v>0</v>
      </c>
      <c r="AF35" s="1219">
        <v>0</v>
      </c>
      <c r="AG35" s="1219">
        <v>0</v>
      </c>
      <c r="AH35" s="1219">
        <v>0</v>
      </c>
      <c r="AI35" s="1219">
        <v>0</v>
      </c>
      <c r="AJ35" s="1219">
        <v>0</v>
      </c>
      <c r="AK35" s="1219">
        <v>0</v>
      </c>
      <c r="AL35" s="1219">
        <v>0</v>
      </c>
      <c r="AM35" s="1219">
        <v>0</v>
      </c>
      <c r="AN35" s="1219">
        <v>0</v>
      </c>
      <c r="AO35" s="1219">
        <v>0</v>
      </c>
      <c r="AP35" s="1219">
        <v>0</v>
      </c>
      <c r="AQ35" s="1219">
        <v>0</v>
      </c>
      <c r="AR35" s="1219">
        <v>0</v>
      </c>
      <c r="AS35" s="1219">
        <v>0</v>
      </c>
      <c r="AT35" s="1219">
        <v>0</v>
      </c>
      <c r="AU35" s="1219">
        <v>0</v>
      </c>
      <c r="AV35" s="1219"/>
      <c r="AW35" s="1219">
        <v>0</v>
      </c>
      <c r="AX35" s="1219">
        <v>0</v>
      </c>
      <c r="AY35" s="1219">
        <v>0</v>
      </c>
      <c r="AZ35" s="1219">
        <v>0</v>
      </c>
      <c r="BA35" s="802">
        <f t="shared" si="0"/>
        <v>0</v>
      </c>
      <c r="BB35" s="1309"/>
    </row>
    <row r="36" spans="1:54">
      <c r="A36" s="1310" t="s">
        <v>1012</v>
      </c>
      <c r="B36" s="1218" t="s">
        <v>1013</v>
      </c>
      <c r="C36" s="1385" t="s">
        <v>844</v>
      </c>
      <c r="D36" s="1219">
        <v>0</v>
      </c>
      <c r="E36" s="1219">
        <v>0</v>
      </c>
      <c r="F36" s="1219">
        <v>0</v>
      </c>
      <c r="G36" s="1219">
        <v>0</v>
      </c>
      <c r="H36" s="1219">
        <v>0</v>
      </c>
      <c r="I36" s="1219">
        <v>132295</v>
      </c>
      <c r="J36" s="1219">
        <v>0</v>
      </c>
      <c r="K36" s="1219">
        <v>0</v>
      </c>
      <c r="L36" s="1219">
        <v>0</v>
      </c>
      <c r="M36" s="1219">
        <v>0</v>
      </c>
      <c r="N36" s="1219">
        <v>0</v>
      </c>
      <c r="O36" s="1219">
        <v>141563.1</v>
      </c>
      <c r="P36" s="1219">
        <v>0</v>
      </c>
      <c r="Q36" s="1219">
        <v>28</v>
      </c>
      <c r="R36" s="1219">
        <v>327.48</v>
      </c>
      <c r="S36" s="1219">
        <v>1015.09</v>
      </c>
      <c r="T36" s="1219">
        <v>0</v>
      </c>
      <c r="U36" s="1219">
        <v>189762.24</v>
      </c>
      <c r="V36" s="1219">
        <v>73684.149999999994</v>
      </c>
      <c r="W36" s="1219">
        <v>0</v>
      </c>
      <c r="X36" s="1219">
        <v>0</v>
      </c>
      <c r="Y36" s="1219">
        <v>0</v>
      </c>
      <c r="Z36" s="1219">
        <v>0</v>
      </c>
      <c r="AA36" s="1219">
        <v>0</v>
      </c>
      <c r="AB36" s="1219">
        <v>0</v>
      </c>
      <c r="AC36" s="1219">
        <v>0</v>
      </c>
      <c r="AD36" s="1219">
        <v>0</v>
      </c>
      <c r="AE36" s="1219">
        <v>0</v>
      </c>
      <c r="AF36" s="1219">
        <v>0</v>
      </c>
      <c r="AG36" s="1219">
        <v>0</v>
      </c>
      <c r="AH36" s="1219">
        <v>0</v>
      </c>
      <c r="AI36" s="1219">
        <v>0</v>
      </c>
      <c r="AJ36" s="1219">
        <v>0</v>
      </c>
      <c r="AK36" s="1219">
        <v>0</v>
      </c>
      <c r="AL36" s="1219">
        <v>0</v>
      </c>
      <c r="AM36" s="1219">
        <v>0</v>
      </c>
      <c r="AN36" s="1219">
        <v>0</v>
      </c>
      <c r="AO36" s="1219">
        <v>0</v>
      </c>
      <c r="AP36" s="1219">
        <v>0</v>
      </c>
      <c r="AQ36" s="1219">
        <v>0</v>
      </c>
      <c r="AR36" s="1219">
        <v>0</v>
      </c>
      <c r="AS36" s="1219">
        <v>0</v>
      </c>
      <c r="AT36" s="1219">
        <v>0</v>
      </c>
      <c r="AU36" s="1219">
        <v>0</v>
      </c>
      <c r="AV36" s="1219"/>
      <c r="AW36" s="1219">
        <v>0</v>
      </c>
      <c r="AX36" s="1219">
        <v>0</v>
      </c>
      <c r="AY36" s="1219">
        <v>0</v>
      </c>
      <c r="AZ36" s="1219">
        <v>0</v>
      </c>
      <c r="BA36" s="802">
        <f t="shared" si="0"/>
        <v>538675.05999999994</v>
      </c>
      <c r="BB36" s="1309"/>
    </row>
    <row r="37" spans="1:54">
      <c r="A37" s="1310" t="s">
        <v>1014</v>
      </c>
      <c r="B37" s="1218" t="s">
        <v>1015</v>
      </c>
      <c r="C37" s="1385" t="s">
        <v>845</v>
      </c>
      <c r="D37" s="1219">
        <v>0</v>
      </c>
      <c r="E37" s="1219">
        <v>0</v>
      </c>
      <c r="F37" s="1219">
        <v>0</v>
      </c>
      <c r="G37" s="1219">
        <v>0</v>
      </c>
      <c r="H37" s="1219">
        <v>681239.29</v>
      </c>
      <c r="I37" s="1219">
        <v>4408154.04</v>
      </c>
      <c r="J37" s="1219">
        <v>0</v>
      </c>
      <c r="K37" s="1219">
        <v>0</v>
      </c>
      <c r="L37" s="1219">
        <v>0</v>
      </c>
      <c r="M37" s="1219">
        <v>0</v>
      </c>
      <c r="N37" s="1219">
        <v>0</v>
      </c>
      <c r="O37" s="1219">
        <v>2782043.35</v>
      </c>
      <c r="P37" s="1219">
        <v>4521930.4800000004</v>
      </c>
      <c r="Q37" s="1219">
        <v>3515484.63</v>
      </c>
      <c r="R37" s="1219">
        <v>2762249.81</v>
      </c>
      <c r="S37" s="1219">
        <v>1666435.92</v>
      </c>
      <c r="T37" s="1219">
        <v>1315656.6299999999</v>
      </c>
      <c r="U37" s="1219">
        <v>437616.46</v>
      </c>
      <c r="V37" s="1219">
        <v>17116664.82</v>
      </c>
      <c r="W37" s="1219">
        <v>0</v>
      </c>
      <c r="X37" s="1219">
        <v>0</v>
      </c>
      <c r="Y37" s="1219">
        <v>0</v>
      </c>
      <c r="Z37" s="1219">
        <v>0</v>
      </c>
      <c r="AA37" s="1219">
        <v>0</v>
      </c>
      <c r="AB37" s="1219">
        <v>0</v>
      </c>
      <c r="AC37" s="1219">
        <v>0</v>
      </c>
      <c r="AD37" s="1219">
        <v>0</v>
      </c>
      <c r="AE37" s="1219">
        <v>0</v>
      </c>
      <c r="AF37" s="1219">
        <v>0</v>
      </c>
      <c r="AG37" s="1219">
        <v>0</v>
      </c>
      <c r="AH37" s="1219">
        <v>0</v>
      </c>
      <c r="AI37" s="1219">
        <v>0</v>
      </c>
      <c r="AJ37" s="1219">
        <v>0</v>
      </c>
      <c r="AK37" s="1219">
        <v>0</v>
      </c>
      <c r="AL37" s="1219">
        <v>0</v>
      </c>
      <c r="AM37" s="1219">
        <v>0</v>
      </c>
      <c r="AN37" s="1219">
        <v>0</v>
      </c>
      <c r="AO37" s="1219">
        <v>0</v>
      </c>
      <c r="AP37" s="1219">
        <v>0</v>
      </c>
      <c r="AQ37" s="1219">
        <v>0</v>
      </c>
      <c r="AR37" s="1219">
        <v>0</v>
      </c>
      <c r="AS37" s="1219">
        <v>0</v>
      </c>
      <c r="AT37" s="1219">
        <v>0</v>
      </c>
      <c r="AU37" s="1219">
        <v>0</v>
      </c>
      <c r="AV37" s="1219"/>
      <c r="AW37" s="1219">
        <v>0</v>
      </c>
      <c r="AX37" s="1219">
        <v>0</v>
      </c>
      <c r="AY37" s="1219">
        <v>0</v>
      </c>
      <c r="AZ37" s="1219">
        <v>0</v>
      </c>
      <c r="BA37" s="802">
        <f t="shared" si="0"/>
        <v>39207475.429999992</v>
      </c>
      <c r="BB37" s="1309"/>
    </row>
    <row r="38" spans="1:54">
      <c r="A38" s="1310" t="s">
        <v>1016</v>
      </c>
      <c r="B38" s="1218" t="s">
        <v>1017</v>
      </c>
      <c r="C38" s="1385" t="s">
        <v>847</v>
      </c>
      <c r="D38" s="1219">
        <v>0</v>
      </c>
      <c r="E38" s="1219">
        <v>0</v>
      </c>
      <c r="F38" s="1219">
        <v>0</v>
      </c>
      <c r="G38" s="1219">
        <v>0</v>
      </c>
      <c r="H38" s="1219">
        <v>0</v>
      </c>
      <c r="I38" s="1219">
        <v>47500.18</v>
      </c>
      <c r="J38" s="1219">
        <v>0</v>
      </c>
      <c r="K38" s="1219">
        <v>0</v>
      </c>
      <c r="L38" s="1219">
        <v>0</v>
      </c>
      <c r="M38" s="1219">
        <v>0</v>
      </c>
      <c r="N38" s="1219">
        <v>0</v>
      </c>
      <c r="O38" s="1219">
        <v>0</v>
      </c>
      <c r="P38" s="1219">
        <v>3494</v>
      </c>
      <c r="Q38" s="1219">
        <v>542</v>
      </c>
      <c r="R38" s="1219">
        <v>0</v>
      </c>
      <c r="S38" s="1219">
        <v>0</v>
      </c>
      <c r="T38" s="1219">
        <v>0</v>
      </c>
      <c r="U38" s="1219">
        <v>1436.78</v>
      </c>
      <c r="V38" s="1219">
        <v>3629779.9</v>
      </c>
      <c r="W38" s="1219">
        <v>0</v>
      </c>
      <c r="X38" s="1219">
        <v>0</v>
      </c>
      <c r="Y38" s="1219">
        <v>0</v>
      </c>
      <c r="Z38" s="1219">
        <v>0</v>
      </c>
      <c r="AA38" s="1219">
        <v>0</v>
      </c>
      <c r="AB38" s="1219">
        <v>0</v>
      </c>
      <c r="AC38" s="1219">
        <v>0</v>
      </c>
      <c r="AD38" s="1219">
        <v>0</v>
      </c>
      <c r="AE38" s="1219">
        <v>0</v>
      </c>
      <c r="AF38" s="1219">
        <v>0</v>
      </c>
      <c r="AG38" s="1219">
        <v>0</v>
      </c>
      <c r="AH38" s="1219">
        <v>0</v>
      </c>
      <c r="AI38" s="1219">
        <v>0</v>
      </c>
      <c r="AJ38" s="1219">
        <v>0</v>
      </c>
      <c r="AK38" s="1219">
        <v>0</v>
      </c>
      <c r="AL38" s="1219">
        <v>0</v>
      </c>
      <c r="AM38" s="1219">
        <v>0</v>
      </c>
      <c r="AN38" s="1219">
        <v>0</v>
      </c>
      <c r="AO38" s="1219">
        <v>0</v>
      </c>
      <c r="AP38" s="1219">
        <v>0</v>
      </c>
      <c r="AQ38" s="1219">
        <v>0</v>
      </c>
      <c r="AR38" s="1219">
        <v>0</v>
      </c>
      <c r="AS38" s="1219">
        <v>0</v>
      </c>
      <c r="AT38" s="1219">
        <v>0</v>
      </c>
      <c r="AU38" s="1219">
        <v>0</v>
      </c>
      <c r="AV38" s="1219"/>
      <c r="AW38" s="1219">
        <v>0</v>
      </c>
      <c r="AX38" s="1219">
        <v>0</v>
      </c>
      <c r="AY38" s="1219">
        <v>0</v>
      </c>
      <c r="AZ38" s="1219">
        <v>0</v>
      </c>
      <c r="BA38" s="802">
        <f t="shared" si="0"/>
        <v>3682752.86</v>
      </c>
      <c r="BB38" s="1309"/>
    </row>
    <row r="39" spans="1:54">
      <c r="A39" s="1310" t="s">
        <v>1018</v>
      </c>
      <c r="B39" s="1218" t="s">
        <v>1019</v>
      </c>
      <c r="C39" s="1385" t="s">
        <v>765</v>
      </c>
      <c r="D39" s="1219">
        <v>52345578.390000001</v>
      </c>
      <c r="E39" s="1219">
        <v>13454465.759999998</v>
      </c>
      <c r="F39" s="1219">
        <v>37488095.210000001</v>
      </c>
      <c r="G39" s="1219">
        <v>0</v>
      </c>
      <c r="H39" s="1219">
        <v>28395526.879999995</v>
      </c>
      <c r="I39" s="1219">
        <v>4895172.79</v>
      </c>
      <c r="J39" s="1219">
        <v>221367.42</v>
      </c>
      <c r="K39" s="1219">
        <v>146207.69</v>
      </c>
      <c r="L39" s="1219">
        <v>409306.6</v>
      </c>
      <c r="M39" s="1219">
        <v>-524526.35</v>
      </c>
      <c r="N39" s="1219">
        <v>0</v>
      </c>
      <c r="O39" s="1219">
        <v>1293918.8899999999</v>
      </c>
      <c r="P39" s="1219">
        <v>1215952.68</v>
      </c>
      <c r="Q39" s="1219">
        <v>1392560.93</v>
      </c>
      <c r="R39" s="1219">
        <v>1036365.63</v>
      </c>
      <c r="S39" s="1219">
        <v>695863.58</v>
      </c>
      <c r="T39" s="1219">
        <v>765126.82</v>
      </c>
      <c r="U39" s="1219">
        <v>1171455.3600000001</v>
      </c>
      <c r="V39" s="1219">
        <v>11718580.33</v>
      </c>
      <c r="W39" s="1219">
        <v>0</v>
      </c>
      <c r="X39" s="1219">
        <v>0</v>
      </c>
      <c r="Y39" s="1219">
        <v>0</v>
      </c>
      <c r="Z39" s="1219">
        <v>0</v>
      </c>
      <c r="AA39" s="1219">
        <v>0</v>
      </c>
      <c r="AB39" s="1219">
        <v>0</v>
      </c>
      <c r="AC39" s="1219">
        <v>0</v>
      </c>
      <c r="AD39" s="1219">
        <v>0</v>
      </c>
      <c r="AE39" s="1219">
        <v>0</v>
      </c>
      <c r="AF39" s="1219">
        <v>0</v>
      </c>
      <c r="AG39" s="1219">
        <v>0</v>
      </c>
      <c r="AH39" s="1219">
        <v>-312037381.72000003</v>
      </c>
      <c r="AI39" s="1219">
        <v>0</v>
      </c>
      <c r="AJ39" s="1219">
        <v>0</v>
      </c>
      <c r="AK39" s="1219">
        <v>198531107.49000001</v>
      </c>
      <c r="AL39" s="1219">
        <v>796033816</v>
      </c>
      <c r="AM39" s="1219">
        <v>0</v>
      </c>
      <c r="AN39" s="1219">
        <v>0</v>
      </c>
      <c r="AO39" s="1219">
        <v>0</v>
      </c>
      <c r="AP39" s="1219">
        <v>0</v>
      </c>
      <c r="AQ39" s="1219">
        <v>0</v>
      </c>
      <c r="AR39" s="1219">
        <v>1429547.66</v>
      </c>
      <c r="AS39" s="1219">
        <v>0</v>
      </c>
      <c r="AT39" s="1219">
        <v>0</v>
      </c>
      <c r="AU39" s="1219">
        <v>0</v>
      </c>
      <c r="AV39" s="1219"/>
      <c r="AW39" s="1219">
        <v>0</v>
      </c>
      <c r="AX39" s="1219">
        <v>0</v>
      </c>
      <c r="AY39" s="1219">
        <v>0</v>
      </c>
      <c r="AZ39" s="1219">
        <v>0</v>
      </c>
      <c r="BA39" s="802">
        <f t="shared" si="0"/>
        <v>840078108.03999996</v>
      </c>
      <c r="BB39" s="1309"/>
    </row>
    <row r="40" spans="1:54">
      <c r="A40" s="1310" t="s">
        <v>1020</v>
      </c>
      <c r="B40" s="1218" t="s">
        <v>1021</v>
      </c>
      <c r="C40" s="1385" t="s">
        <v>786</v>
      </c>
      <c r="D40" s="1219">
        <v>0</v>
      </c>
      <c r="E40" s="1219">
        <v>0</v>
      </c>
      <c r="F40" s="1219">
        <v>0</v>
      </c>
      <c r="G40" s="1219">
        <v>0</v>
      </c>
      <c r="H40" s="1219">
        <v>0</v>
      </c>
      <c r="I40" s="1219">
        <v>0</v>
      </c>
      <c r="J40" s="1219">
        <v>0</v>
      </c>
      <c r="K40" s="1219">
        <v>0</v>
      </c>
      <c r="L40" s="1219">
        <v>0</v>
      </c>
      <c r="M40" s="1219">
        <v>0</v>
      </c>
      <c r="N40" s="1219">
        <v>0</v>
      </c>
      <c r="O40" s="1219">
        <v>0</v>
      </c>
      <c r="P40" s="1219">
        <v>0</v>
      </c>
      <c r="Q40" s="1219">
        <v>0</v>
      </c>
      <c r="R40" s="1219">
        <v>0</v>
      </c>
      <c r="S40" s="1219">
        <v>0</v>
      </c>
      <c r="T40" s="1219">
        <v>0</v>
      </c>
      <c r="U40" s="1219">
        <v>0</v>
      </c>
      <c r="V40" s="1219">
        <v>0</v>
      </c>
      <c r="W40" s="1219">
        <v>29888.1</v>
      </c>
      <c r="X40" s="1219">
        <v>0</v>
      </c>
      <c r="Y40" s="1219">
        <v>0</v>
      </c>
      <c r="Z40" s="1219">
        <v>5370617.8399999999</v>
      </c>
      <c r="AA40" s="1219">
        <v>246392.54</v>
      </c>
      <c r="AB40" s="1219">
        <v>300840.40000000002</v>
      </c>
      <c r="AC40" s="1219">
        <v>216433.43000000002</v>
      </c>
      <c r="AD40" s="1219">
        <v>454772.44</v>
      </c>
      <c r="AE40" s="1219">
        <v>174197.95</v>
      </c>
      <c r="AF40" s="1219">
        <v>0</v>
      </c>
      <c r="AG40" s="1219">
        <v>0</v>
      </c>
      <c r="AH40" s="1219">
        <v>0</v>
      </c>
      <c r="AI40" s="1219">
        <v>0</v>
      </c>
      <c r="AJ40" s="1219">
        <v>0</v>
      </c>
      <c r="AK40" s="1219">
        <v>0</v>
      </c>
      <c r="AL40" s="1219">
        <v>0</v>
      </c>
      <c r="AM40" s="1219">
        <v>0</v>
      </c>
      <c r="AN40" s="1219">
        <v>0</v>
      </c>
      <c r="AO40" s="1219">
        <v>0</v>
      </c>
      <c r="AP40" s="1219">
        <v>0</v>
      </c>
      <c r="AQ40" s="1219">
        <v>0</v>
      </c>
      <c r="AR40" s="1219">
        <v>0</v>
      </c>
      <c r="AS40" s="1219">
        <v>0</v>
      </c>
      <c r="AT40" s="1219">
        <v>0</v>
      </c>
      <c r="AU40" s="1219">
        <v>0</v>
      </c>
      <c r="AV40" s="1219"/>
      <c r="AW40" s="1219">
        <v>0</v>
      </c>
      <c r="AX40" s="1219">
        <v>0</v>
      </c>
      <c r="AY40" s="1219">
        <v>0</v>
      </c>
      <c r="AZ40" s="1219">
        <v>0</v>
      </c>
      <c r="BA40" s="802">
        <f t="shared" si="0"/>
        <v>6793142.7000000002</v>
      </c>
      <c r="BB40" s="1309"/>
    </row>
    <row r="41" spans="1:54">
      <c r="A41" s="1310" t="s">
        <v>1022</v>
      </c>
      <c r="B41" s="1218" t="s">
        <v>1023</v>
      </c>
      <c r="C41" s="1385" t="s">
        <v>788</v>
      </c>
      <c r="D41" s="1219">
        <v>0</v>
      </c>
      <c r="E41" s="1219">
        <v>0</v>
      </c>
      <c r="F41" s="1219">
        <v>0</v>
      </c>
      <c r="G41" s="1219">
        <v>0</v>
      </c>
      <c r="H41" s="1219">
        <v>0</v>
      </c>
      <c r="I41" s="1219">
        <v>0</v>
      </c>
      <c r="J41" s="1219">
        <v>0</v>
      </c>
      <c r="K41" s="1219">
        <v>0</v>
      </c>
      <c r="L41" s="1219">
        <v>0</v>
      </c>
      <c r="M41" s="1219">
        <v>0</v>
      </c>
      <c r="N41" s="1219">
        <v>0</v>
      </c>
      <c r="O41" s="1219">
        <v>0</v>
      </c>
      <c r="P41" s="1219">
        <v>0</v>
      </c>
      <c r="Q41" s="1219">
        <v>0</v>
      </c>
      <c r="R41" s="1219">
        <v>0</v>
      </c>
      <c r="S41" s="1219">
        <v>0</v>
      </c>
      <c r="T41" s="1219">
        <v>0</v>
      </c>
      <c r="U41" s="1219">
        <v>0</v>
      </c>
      <c r="V41" s="1219">
        <v>0</v>
      </c>
      <c r="W41" s="1219">
        <v>0</v>
      </c>
      <c r="X41" s="1219">
        <v>0</v>
      </c>
      <c r="Y41" s="1219">
        <v>0</v>
      </c>
      <c r="Z41" s="1219">
        <v>0</v>
      </c>
      <c r="AA41" s="1219">
        <v>0</v>
      </c>
      <c r="AB41" s="1219">
        <v>0</v>
      </c>
      <c r="AC41" s="1219">
        <v>0</v>
      </c>
      <c r="AD41" s="1219">
        <v>2688754.42</v>
      </c>
      <c r="AE41" s="1219">
        <v>599728.80000000005</v>
      </c>
      <c r="AF41" s="1219">
        <v>0</v>
      </c>
      <c r="AG41" s="1219">
        <v>0</v>
      </c>
      <c r="AH41" s="1219">
        <v>0</v>
      </c>
      <c r="AI41" s="1219">
        <v>0</v>
      </c>
      <c r="AJ41" s="1219">
        <v>0</v>
      </c>
      <c r="AK41" s="1219">
        <v>0</v>
      </c>
      <c r="AL41" s="1219">
        <v>0</v>
      </c>
      <c r="AM41" s="1219">
        <v>0</v>
      </c>
      <c r="AN41" s="1219">
        <v>0</v>
      </c>
      <c r="AO41" s="1219">
        <v>0</v>
      </c>
      <c r="AP41" s="1219">
        <v>0</v>
      </c>
      <c r="AQ41" s="1219">
        <v>0</v>
      </c>
      <c r="AR41" s="1219">
        <v>0</v>
      </c>
      <c r="AS41" s="1219">
        <v>0</v>
      </c>
      <c r="AT41" s="1219">
        <v>0</v>
      </c>
      <c r="AU41" s="1219">
        <v>0</v>
      </c>
      <c r="AV41" s="1219"/>
      <c r="AW41" s="1219">
        <v>0</v>
      </c>
      <c r="AX41" s="1219">
        <v>0</v>
      </c>
      <c r="AY41" s="1219">
        <v>0</v>
      </c>
      <c r="AZ41" s="1219">
        <v>0</v>
      </c>
      <c r="BA41" s="802">
        <f t="shared" si="0"/>
        <v>3288483.2199999997</v>
      </c>
      <c r="BB41" s="1309"/>
    </row>
    <row r="42" spans="1:54">
      <c r="A42" s="1310" t="s">
        <v>1024</v>
      </c>
      <c r="B42" s="1218" t="s">
        <v>1025</v>
      </c>
      <c r="C42" s="1385" t="s">
        <v>790</v>
      </c>
      <c r="D42" s="1219">
        <v>0</v>
      </c>
      <c r="E42" s="1219">
        <v>0</v>
      </c>
      <c r="F42" s="1219">
        <v>0</v>
      </c>
      <c r="G42" s="1219">
        <v>0</v>
      </c>
      <c r="H42" s="1219">
        <v>0</v>
      </c>
      <c r="I42" s="1219">
        <v>0</v>
      </c>
      <c r="J42" s="1219">
        <v>0</v>
      </c>
      <c r="K42" s="1219">
        <v>0</v>
      </c>
      <c r="L42" s="1219">
        <v>0</v>
      </c>
      <c r="M42" s="1219">
        <v>0</v>
      </c>
      <c r="N42" s="1219">
        <v>0</v>
      </c>
      <c r="O42" s="1219">
        <v>0</v>
      </c>
      <c r="P42" s="1219">
        <v>0</v>
      </c>
      <c r="Q42" s="1219">
        <v>0</v>
      </c>
      <c r="R42" s="1219">
        <v>0</v>
      </c>
      <c r="S42" s="1219">
        <v>0</v>
      </c>
      <c r="T42" s="1219">
        <v>0</v>
      </c>
      <c r="U42" s="1219">
        <v>0</v>
      </c>
      <c r="V42" s="1219">
        <v>0</v>
      </c>
      <c r="W42" s="1219">
        <v>1082926.26</v>
      </c>
      <c r="X42" s="1219">
        <v>0</v>
      </c>
      <c r="Y42" s="1219">
        <v>229641.91</v>
      </c>
      <c r="Z42" s="1219">
        <v>1072236.57</v>
      </c>
      <c r="AA42" s="1219">
        <v>103.26</v>
      </c>
      <c r="AB42" s="1219">
        <v>1251110.6100000001</v>
      </c>
      <c r="AC42" s="1219">
        <v>0</v>
      </c>
      <c r="AD42" s="1219">
        <v>1235246.67</v>
      </c>
      <c r="AE42" s="1219">
        <v>194212.61</v>
      </c>
      <c r="AF42" s="1219">
        <v>0</v>
      </c>
      <c r="AG42" s="1219">
        <v>0</v>
      </c>
      <c r="AH42" s="1219">
        <v>0</v>
      </c>
      <c r="AI42" s="1219">
        <v>0</v>
      </c>
      <c r="AJ42" s="1219">
        <v>0</v>
      </c>
      <c r="AK42" s="1219">
        <v>0</v>
      </c>
      <c r="AL42" s="1219">
        <v>0</v>
      </c>
      <c r="AM42" s="1219">
        <v>0</v>
      </c>
      <c r="AN42" s="1219">
        <v>0</v>
      </c>
      <c r="AO42" s="1219">
        <v>0</v>
      </c>
      <c r="AP42" s="1219">
        <v>0</v>
      </c>
      <c r="AQ42" s="1219">
        <v>0</v>
      </c>
      <c r="AR42" s="1219">
        <v>0</v>
      </c>
      <c r="AS42" s="1219">
        <v>0</v>
      </c>
      <c r="AT42" s="1219">
        <v>0</v>
      </c>
      <c r="AU42" s="1219">
        <v>0</v>
      </c>
      <c r="AV42" s="1219"/>
      <c r="AW42" s="1219">
        <v>0</v>
      </c>
      <c r="AX42" s="1219">
        <v>0</v>
      </c>
      <c r="AY42" s="1219">
        <v>0</v>
      </c>
      <c r="AZ42" s="1219">
        <v>0</v>
      </c>
      <c r="BA42" s="802">
        <f t="shared" si="0"/>
        <v>5065477.8900000006</v>
      </c>
      <c r="BB42" s="1309"/>
    </row>
    <row r="43" spans="1:54">
      <c r="A43" s="1310" t="s">
        <v>1026</v>
      </c>
      <c r="B43" s="1218" t="s">
        <v>1027</v>
      </c>
      <c r="C43" s="1385" t="s">
        <v>767</v>
      </c>
      <c r="D43" s="1219">
        <v>362491.98</v>
      </c>
      <c r="E43" s="1219">
        <v>24362611.91</v>
      </c>
      <c r="F43" s="1219">
        <v>62999187.909999996</v>
      </c>
      <c r="G43" s="1219">
        <v>68970</v>
      </c>
      <c r="H43" s="1219">
        <v>2229222.02</v>
      </c>
      <c r="I43" s="1219">
        <v>247443.19</v>
      </c>
      <c r="J43" s="1219">
        <v>10198.67</v>
      </c>
      <c r="K43" s="1219">
        <v>17884.47</v>
      </c>
      <c r="L43" s="1219">
        <v>21695.32</v>
      </c>
      <c r="M43" s="1219">
        <v>4854.25</v>
      </c>
      <c r="N43" s="1219">
        <v>0</v>
      </c>
      <c r="O43" s="1219">
        <v>36736.42</v>
      </c>
      <c r="P43" s="1219">
        <v>38476.33</v>
      </c>
      <c r="Q43" s="1219">
        <v>40982.949999999997</v>
      </c>
      <c r="R43" s="1219">
        <v>38002.32</v>
      </c>
      <c r="S43" s="1219">
        <v>23583.32</v>
      </c>
      <c r="T43" s="1219">
        <v>20121.439999999999</v>
      </c>
      <c r="U43" s="1219">
        <v>22528.73</v>
      </c>
      <c r="V43" s="1219">
        <v>833526.01</v>
      </c>
      <c r="W43" s="1219">
        <v>0</v>
      </c>
      <c r="X43" s="1219">
        <v>0</v>
      </c>
      <c r="Y43" s="1219">
        <v>0</v>
      </c>
      <c r="Z43" s="1219">
        <v>227949000</v>
      </c>
      <c r="AA43" s="1219">
        <v>0</v>
      </c>
      <c r="AB43" s="1219">
        <v>0</v>
      </c>
      <c r="AC43" s="1219">
        <v>0</v>
      </c>
      <c r="AD43" s="1219">
        <v>0</v>
      </c>
      <c r="AE43" s="1219">
        <v>0</v>
      </c>
      <c r="AF43" s="1219">
        <v>89393490.420000002</v>
      </c>
      <c r="AG43" s="1219">
        <v>0</v>
      </c>
      <c r="AH43" s="1219">
        <v>0</v>
      </c>
      <c r="AI43" s="1219">
        <v>0</v>
      </c>
      <c r="AJ43" s="1219">
        <v>65387829.640000001</v>
      </c>
      <c r="AK43" s="1219">
        <v>5319893.04</v>
      </c>
      <c r="AL43" s="1219">
        <v>824919050.48000002</v>
      </c>
      <c r="AM43" s="1219">
        <v>0</v>
      </c>
      <c r="AN43" s="1219">
        <v>0</v>
      </c>
      <c r="AO43" s="1219">
        <v>0</v>
      </c>
      <c r="AP43" s="1219">
        <v>0</v>
      </c>
      <c r="AQ43" s="1219">
        <v>0</v>
      </c>
      <c r="AR43" s="1219">
        <v>59790.720000000001</v>
      </c>
      <c r="AS43" s="1219">
        <v>0</v>
      </c>
      <c r="AT43" s="1219">
        <v>0</v>
      </c>
      <c r="AU43" s="1219">
        <v>0</v>
      </c>
      <c r="AV43" s="1219"/>
      <c r="AW43" s="1219">
        <v>0</v>
      </c>
      <c r="AX43" s="1219">
        <v>0</v>
      </c>
      <c r="AY43" s="1219">
        <v>0</v>
      </c>
      <c r="AZ43" s="1219">
        <v>0</v>
      </c>
      <c r="BA43" s="802">
        <f t="shared" si="0"/>
        <v>1304407571.5400002</v>
      </c>
      <c r="BB43" s="1309"/>
    </row>
    <row r="44" spans="1:54">
      <c r="A44" s="1310" t="s">
        <v>1028</v>
      </c>
      <c r="B44" s="1218" t="s">
        <v>1029</v>
      </c>
      <c r="C44" s="1385" t="s">
        <v>792</v>
      </c>
      <c r="D44" s="1219">
        <v>0</v>
      </c>
      <c r="E44" s="1219">
        <v>0</v>
      </c>
      <c r="F44" s="1219">
        <v>0</v>
      </c>
      <c r="G44" s="1219">
        <v>0</v>
      </c>
      <c r="H44" s="1219">
        <v>0</v>
      </c>
      <c r="I44" s="1219">
        <v>0</v>
      </c>
      <c r="J44" s="1219">
        <v>0</v>
      </c>
      <c r="K44" s="1219">
        <v>0</v>
      </c>
      <c r="L44" s="1219">
        <v>0</v>
      </c>
      <c r="M44" s="1219">
        <v>0</v>
      </c>
      <c r="N44" s="1219">
        <v>0</v>
      </c>
      <c r="O44" s="1219">
        <v>0</v>
      </c>
      <c r="P44" s="1219">
        <v>0</v>
      </c>
      <c r="Q44" s="1219">
        <v>0</v>
      </c>
      <c r="R44" s="1219">
        <v>0</v>
      </c>
      <c r="S44" s="1219">
        <v>0</v>
      </c>
      <c r="T44" s="1219">
        <v>0</v>
      </c>
      <c r="U44" s="1219">
        <v>0</v>
      </c>
      <c r="V44" s="1219">
        <v>0</v>
      </c>
      <c r="W44" s="1219">
        <v>539050.65</v>
      </c>
      <c r="X44" s="1219">
        <v>112146.2</v>
      </c>
      <c r="Y44" s="1219">
        <v>324146.06</v>
      </c>
      <c r="Z44" s="1219">
        <v>2358154.5500000003</v>
      </c>
      <c r="AA44" s="1219">
        <v>1099188.32</v>
      </c>
      <c r="AB44" s="1219">
        <v>1461897.21</v>
      </c>
      <c r="AC44" s="1219">
        <v>921125</v>
      </c>
      <c r="AD44" s="1219">
        <v>1640185.32</v>
      </c>
      <c r="AE44" s="1219">
        <v>1284813.08</v>
      </c>
      <c r="AF44" s="1219">
        <v>0</v>
      </c>
      <c r="AG44" s="1219">
        <v>0</v>
      </c>
      <c r="AH44" s="1219">
        <v>0</v>
      </c>
      <c r="AI44" s="1219">
        <v>0</v>
      </c>
      <c r="AJ44" s="1219">
        <v>0</v>
      </c>
      <c r="AK44" s="1219">
        <v>0</v>
      </c>
      <c r="AL44" s="1219">
        <v>0</v>
      </c>
      <c r="AM44" s="1219">
        <v>0</v>
      </c>
      <c r="AN44" s="1219">
        <v>0</v>
      </c>
      <c r="AO44" s="1219">
        <v>0</v>
      </c>
      <c r="AP44" s="1219">
        <v>0</v>
      </c>
      <c r="AQ44" s="1219">
        <v>0</v>
      </c>
      <c r="AR44" s="1219">
        <v>0</v>
      </c>
      <c r="AS44" s="1219">
        <v>0</v>
      </c>
      <c r="AT44" s="1219">
        <v>0</v>
      </c>
      <c r="AU44" s="1219">
        <v>0</v>
      </c>
      <c r="AV44" s="1219"/>
      <c r="AW44" s="1219">
        <v>0</v>
      </c>
      <c r="AX44" s="1219">
        <v>0</v>
      </c>
      <c r="AY44" s="1219">
        <v>0</v>
      </c>
      <c r="AZ44" s="1219">
        <v>0</v>
      </c>
      <c r="BA44" s="802">
        <f t="shared" si="0"/>
        <v>9740706.3900000006</v>
      </c>
      <c r="BB44" s="1309"/>
    </row>
    <row r="45" spans="1:54">
      <c r="A45" s="1310" t="s">
        <v>1030</v>
      </c>
      <c r="B45" s="1218" t="s">
        <v>1031</v>
      </c>
      <c r="C45" s="1385" t="s">
        <v>849</v>
      </c>
      <c r="D45" s="1219">
        <v>0</v>
      </c>
      <c r="E45" s="1219">
        <v>0</v>
      </c>
      <c r="F45" s="1219">
        <v>0</v>
      </c>
      <c r="G45" s="1219">
        <v>0</v>
      </c>
      <c r="H45" s="1219">
        <v>0</v>
      </c>
      <c r="I45" s="1219">
        <v>0</v>
      </c>
      <c r="J45" s="1219">
        <v>0</v>
      </c>
      <c r="K45" s="1219">
        <v>0</v>
      </c>
      <c r="L45" s="1219">
        <v>0</v>
      </c>
      <c r="M45" s="1219">
        <v>0</v>
      </c>
      <c r="N45" s="1219">
        <v>0</v>
      </c>
      <c r="O45" s="1219">
        <v>0</v>
      </c>
      <c r="P45" s="1219">
        <v>0</v>
      </c>
      <c r="Q45" s="1219">
        <v>0</v>
      </c>
      <c r="R45" s="1219">
        <v>0</v>
      </c>
      <c r="S45" s="1219">
        <v>0</v>
      </c>
      <c r="T45" s="1219">
        <v>0</v>
      </c>
      <c r="U45" s="1219">
        <v>0</v>
      </c>
      <c r="V45" s="1219">
        <v>0</v>
      </c>
      <c r="W45" s="1219">
        <v>0</v>
      </c>
      <c r="X45" s="1219">
        <v>0</v>
      </c>
      <c r="Y45" s="1219">
        <v>0</v>
      </c>
      <c r="Z45" s="1219">
        <v>10709.16</v>
      </c>
      <c r="AA45" s="1219">
        <v>0</v>
      </c>
      <c r="AB45" s="1219">
        <v>0</v>
      </c>
      <c r="AC45" s="1219">
        <v>0</v>
      </c>
      <c r="AD45" s="1219">
        <v>0</v>
      </c>
      <c r="AE45" s="1219">
        <v>0</v>
      </c>
      <c r="AF45" s="1219">
        <v>0</v>
      </c>
      <c r="AG45" s="1219">
        <v>0</v>
      </c>
      <c r="AH45" s="1219">
        <v>0</v>
      </c>
      <c r="AI45" s="1219">
        <v>0</v>
      </c>
      <c r="AJ45" s="1219">
        <v>0</v>
      </c>
      <c r="AK45" s="1219">
        <v>0</v>
      </c>
      <c r="AL45" s="1219">
        <v>0</v>
      </c>
      <c r="AM45" s="1219">
        <v>0</v>
      </c>
      <c r="AN45" s="1219">
        <v>0</v>
      </c>
      <c r="AO45" s="1219">
        <v>0</v>
      </c>
      <c r="AP45" s="1219">
        <v>0</v>
      </c>
      <c r="AQ45" s="1219">
        <v>0</v>
      </c>
      <c r="AR45" s="1219">
        <v>0</v>
      </c>
      <c r="AS45" s="1219">
        <v>0</v>
      </c>
      <c r="AT45" s="1219">
        <v>0</v>
      </c>
      <c r="AU45" s="1219">
        <v>0</v>
      </c>
      <c r="AV45" s="1219"/>
      <c r="AW45" s="1219">
        <v>0</v>
      </c>
      <c r="AX45" s="1219">
        <v>0</v>
      </c>
      <c r="AY45" s="1219">
        <v>0</v>
      </c>
      <c r="AZ45" s="1219">
        <v>0</v>
      </c>
      <c r="BA45" s="802">
        <f t="shared" si="0"/>
        <v>10709.16</v>
      </c>
      <c r="BB45" s="1309"/>
    </row>
    <row r="46" spans="1:54">
      <c r="A46" s="1310" t="s">
        <v>1032</v>
      </c>
      <c r="B46" s="1218" t="s">
        <v>1033</v>
      </c>
      <c r="C46" s="1385" t="s">
        <v>851</v>
      </c>
      <c r="D46" s="1219">
        <v>0</v>
      </c>
      <c r="E46" s="1219">
        <v>0</v>
      </c>
      <c r="F46" s="1219">
        <v>0</v>
      </c>
      <c r="G46" s="1219">
        <v>0</v>
      </c>
      <c r="H46" s="1219">
        <v>0</v>
      </c>
      <c r="I46" s="1219">
        <v>0</v>
      </c>
      <c r="J46" s="1219">
        <v>0</v>
      </c>
      <c r="K46" s="1219">
        <v>0</v>
      </c>
      <c r="L46" s="1219">
        <v>0</v>
      </c>
      <c r="M46" s="1219">
        <v>0</v>
      </c>
      <c r="N46" s="1219">
        <v>0</v>
      </c>
      <c r="O46" s="1219">
        <v>0</v>
      </c>
      <c r="P46" s="1219">
        <v>0</v>
      </c>
      <c r="Q46" s="1219">
        <v>0</v>
      </c>
      <c r="R46" s="1219">
        <v>0</v>
      </c>
      <c r="S46" s="1219">
        <v>0</v>
      </c>
      <c r="T46" s="1219">
        <v>0</v>
      </c>
      <c r="U46" s="1219">
        <v>0</v>
      </c>
      <c r="V46" s="1219">
        <v>0</v>
      </c>
      <c r="W46" s="1219">
        <v>58274.44</v>
      </c>
      <c r="X46" s="1219">
        <v>0</v>
      </c>
      <c r="Y46" s="1219">
        <v>0</v>
      </c>
      <c r="Z46" s="1219">
        <v>3960316.18</v>
      </c>
      <c r="AA46" s="1219">
        <v>168732.06</v>
      </c>
      <c r="AB46" s="1219">
        <v>1652971.1</v>
      </c>
      <c r="AC46" s="1219">
        <v>0</v>
      </c>
      <c r="AD46" s="1219">
        <v>989170.23</v>
      </c>
      <c r="AE46" s="1219">
        <v>526880.27</v>
      </c>
      <c r="AF46" s="1219">
        <v>0</v>
      </c>
      <c r="AG46" s="1219">
        <v>0</v>
      </c>
      <c r="AH46" s="1219">
        <v>0</v>
      </c>
      <c r="AI46" s="1219">
        <v>0</v>
      </c>
      <c r="AJ46" s="1219">
        <v>0</v>
      </c>
      <c r="AK46" s="1219">
        <v>0</v>
      </c>
      <c r="AL46" s="1219">
        <v>0</v>
      </c>
      <c r="AM46" s="1219">
        <v>0</v>
      </c>
      <c r="AN46" s="1219">
        <v>0</v>
      </c>
      <c r="AO46" s="1219">
        <v>0</v>
      </c>
      <c r="AP46" s="1219">
        <v>0</v>
      </c>
      <c r="AQ46" s="1219">
        <v>0</v>
      </c>
      <c r="AR46" s="1219">
        <v>0</v>
      </c>
      <c r="AS46" s="1219">
        <v>0</v>
      </c>
      <c r="AT46" s="1219">
        <v>0</v>
      </c>
      <c r="AU46" s="1219">
        <v>0</v>
      </c>
      <c r="AV46" s="1219"/>
      <c r="AW46" s="1219">
        <v>0</v>
      </c>
      <c r="AX46" s="1219">
        <v>0</v>
      </c>
      <c r="AY46" s="1219">
        <v>0</v>
      </c>
      <c r="AZ46" s="1219">
        <v>0</v>
      </c>
      <c r="BA46" s="802">
        <f t="shared" si="0"/>
        <v>7356344.2799999993</v>
      </c>
      <c r="BB46" s="1309"/>
    </row>
    <row r="47" spans="1:54">
      <c r="A47" s="1310" t="s">
        <v>1034</v>
      </c>
      <c r="B47" s="1218" t="s">
        <v>1035</v>
      </c>
      <c r="C47" s="1385" t="s">
        <v>853</v>
      </c>
      <c r="D47" s="1219">
        <v>0</v>
      </c>
      <c r="E47" s="1219">
        <v>0</v>
      </c>
      <c r="F47" s="1219">
        <v>0</v>
      </c>
      <c r="G47" s="1219">
        <v>0</v>
      </c>
      <c r="H47" s="1219">
        <v>0</v>
      </c>
      <c r="I47" s="1219">
        <v>0</v>
      </c>
      <c r="J47" s="1219">
        <v>0</v>
      </c>
      <c r="K47" s="1219">
        <v>0</v>
      </c>
      <c r="L47" s="1219">
        <v>0</v>
      </c>
      <c r="M47" s="1219">
        <v>0</v>
      </c>
      <c r="N47" s="1219">
        <v>0</v>
      </c>
      <c r="O47" s="1219">
        <v>0</v>
      </c>
      <c r="P47" s="1219">
        <v>0</v>
      </c>
      <c r="Q47" s="1219">
        <v>102744.63</v>
      </c>
      <c r="R47" s="1219">
        <v>44029.29</v>
      </c>
      <c r="S47" s="1219">
        <v>0</v>
      </c>
      <c r="T47" s="1219">
        <v>0</v>
      </c>
      <c r="U47" s="1219">
        <v>0</v>
      </c>
      <c r="V47" s="1219">
        <v>0</v>
      </c>
      <c r="W47" s="1219">
        <v>548447.57999999996</v>
      </c>
      <c r="X47" s="1219">
        <v>5617.96</v>
      </c>
      <c r="Y47" s="1219">
        <v>235404.12</v>
      </c>
      <c r="Z47" s="1219">
        <v>1102933.55</v>
      </c>
      <c r="AA47" s="1219">
        <v>1950983.07</v>
      </c>
      <c r="AB47" s="1219">
        <v>3879483.14</v>
      </c>
      <c r="AC47" s="1219">
        <v>5229685.45</v>
      </c>
      <c r="AD47" s="1219">
        <v>5787279.9900000002</v>
      </c>
      <c r="AE47" s="1219">
        <v>2282594.81</v>
      </c>
      <c r="AF47" s="1219">
        <v>0</v>
      </c>
      <c r="AG47" s="1219">
        <v>0</v>
      </c>
      <c r="AH47" s="1219">
        <v>0</v>
      </c>
      <c r="AI47" s="1219">
        <v>0</v>
      </c>
      <c r="AJ47" s="1219">
        <v>0</v>
      </c>
      <c r="AK47" s="1219">
        <v>0</v>
      </c>
      <c r="AL47" s="1219">
        <v>0</v>
      </c>
      <c r="AM47" s="1219">
        <v>0</v>
      </c>
      <c r="AN47" s="1219">
        <v>0</v>
      </c>
      <c r="AO47" s="1219">
        <v>0</v>
      </c>
      <c r="AP47" s="1219">
        <v>0</v>
      </c>
      <c r="AQ47" s="1219">
        <v>0</v>
      </c>
      <c r="AR47" s="1219">
        <v>0</v>
      </c>
      <c r="AS47" s="1219">
        <v>0</v>
      </c>
      <c r="AT47" s="1219">
        <v>0</v>
      </c>
      <c r="AU47" s="1219">
        <v>0</v>
      </c>
      <c r="AV47" s="1219"/>
      <c r="AW47" s="1219">
        <v>0</v>
      </c>
      <c r="AX47" s="1219">
        <v>0</v>
      </c>
      <c r="AY47" s="1219">
        <v>0</v>
      </c>
      <c r="AZ47" s="1219">
        <v>0</v>
      </c>
      <c r="BA47" s="802">
        <f t="shared" si="0"/>
        <v>21169203.59</v>
      </c>
      <c r="BB47" s="1309"/>
    </row>
    <row r="48" spans="1:54">
      <c r="A48" s="1310" t="s">
        <v>1036</v>
      </c>
      <c r="B48" s="1218" t="s">
        <v>1037</v>
      </c>
      <c r="C48" s="1385" t="s">
        <v>855</v>
      </c>
      <c r="D48" s="1219">
        <v>0</v>
      </c>
      <c r="E48" s="1219">
        <v>0</v>
      </c>
      <c r="F48" s="1219">
        <v>0</v>
      </c>
      <c r="G48" s="1219">
        <v>0</v>
      </c>
      <c r="H48" s="1219">
        <v>0</v>
      </c>
      <c r="I48" s="1219">
        <v>0</v>
      </c>
      <c r="J48" s="1219">
        <v>0</v>
      </c>
      <c r="K48" s="1219">
        <v>0</v>
      </c>
      <c r="L48" s="1219">
        <v>0</v>
      </c>
      <c r="M48" s="1219">
        <v>0</v>
      </c>
      <c r="N48" s="1219">
        <v>0</v>
      </c>
      <c r="O48" s="1219">
        <v>0</v>
      </c>
      <c r="P48" s="1219">
        <v>0</v>
      </c>
      <c r="Q48" s="1219">
        <v>0</v>
      </c>
      <c r="R48" s="1219">
        <v>0</v>
      </c>
      <c r="S48" s="1219">
        <v>0</v>
      </c>
      <c r="T48" s="1219">
        <v>0</v>
      </c>
      <c r="U48" s="1219">
        <v>0</v>
      </c>
      <c r="V48" s="1219">
        <v>0</v>
      </c>
      <c r="W48" s="1219">
        <v>968523.21</v>
      </c>
      <c r="X48" s="1219">
        <v>996425.04</v>
      </c>
      <c r="Y48" s="1219">
        <v>0</v>
      </c>
      <c r="Z48" s="1219">
        <v>1114311.3400000001</v>
      </c>
      <c r="AA48" s="1219">
        <v>1402088.86</v>
      </c>
      <c r="AB48" s="1219">
        <v>2472740.44</v>
      </c>
      <c r="AC48" s="1219">
        <v>0</v>
      </c>
      <c r="AD48" s="1219">
        <v>2257233.5299999998</v>
      </c>
      <c r="AE48" s="1219">
        <v>2153725.44</v>
      </c>
      <c r="AF48" s="1219">
        <v>0</v>
      </c>
      <c r="AG48" s="1219">
        <v>0</v>
      </c>
      <c r="AH48" s="1219">
        <v>0</v>
      </c>
      <c r="AI48" s="1219">
        <v>0</v>
      </c>
      <c r="AJ48" s="1219">
        <v>0</v>
      </c>
      <c r="AK48" s="1219">
        <v>0</v>
      </c>
      <c r="AL48" s="1219">
        <v>0</v>
      </c>
      <c r="AM48" s="1219">
        <v>0</v>
      </c>
      <c r="AN48" s="1219">
        <v>0</v>
      </c>
      <c r="AO48" s="1219">
        <v>0</v>
      </c>
      <c r="AP48" s="1219">
        <v>0</v>
      </c>
      <c r="AQ48" s="1219">
        <v>0</v>
      </c>
      <c r="AR48" s="1219">
        <v>0</v>
      </c>
      <c r="AS48" s="1219">
        <v>0</v>
      </c>
      <c r="AT48" s="1219">
        <v>0</v>
      </c>
      <c r="AU48" s="1219">
        <v>0</v>
      </c>
      <c r="AV48" s="1219"/>
      <c r="AW48" s="1219">
        <v>0</v>
      </c>
      <c r="AX48" s="1219">
        <v>0</v>
      </c>
      <c r="AY48" s="1219">
        <v>0</v>
      </c>
      <c r="AZ48" s="1219">
        <v>0</v>
      </c>
      <c r="BA48" s="802">
        <f t="shared" si="0"/>
        <v>11365047.859999999</v>
      </c>
      <c r="BB48" s="1309"/>
    </row>
    <row r="49" spans="1:54">
      <c r="A49" s="1310" t="s">
        <v>1038</v>
      </c>
      <c r="B49" s="1218" t="s">
        <v>1039</v>
      </c>
      <c r="C49" s="1385" t="s">
        <v>857</v>
      </c>
      <c r="D49" s="1219">
        <v>0</v>
      </c>
      <c r="E49" s="1219">
        <v>0</v>
      </c>
      <c r="F49" s="1219">
        <v>0</v>
      </c>
      <c r="G49" s="1219">
        <v>0</v>
      </c>
      <c r="H49" s="1219">
        <v>0</v>
      </c>
      <c r="I49" s="1219">
        <v>0</v>
      </c>
      <c r="J49" s="1219">
        <v>0</v>
      </c>
      <c r="K49" s="1219">
        <v>0</v>
      </c>
      <c r="L49" s="1219">
        <v>0</v>
      </c>
      <c r="M49" s="1219">
        <v>0</v>
      </c>
      <c r="N49" s="1219">
        <v>0</v>
      </c>
      <c r="O49" s="1219">
        <v>0</v>
      </c>
      <c r="P49" s="1219">
        <v>0</v>
      </c>
      <c r="Q49" s="1219">
        <v>0</v>
      </c>
      <c r="R49" s="1219">
        <v>0</v>
      </c>
      <c r="S49" s="1219">
        <v>0</v>
      </c>
      <c r="T49" s="1219">
        <v>0</v>
      </c>
      <c r="U49" s="1219">
        <v>0</v>
      </c>
      <c r="V49" s="1219">
        <v>0</v>
      </c>
      <c r="W49" s="1219">
        <v>2723.4</v>
      </c>
      <c r="X49" s="1219">
        <v>0</v>
      </c>
      <c r="Y49" s="1219">
        <v>1615815.74</v>
      </c>
      <c r="Z49" s="1219">
        <v>0</v>
      </c>
      <c r="AA49" s="1219">
        <v>258303</v>
      </c>
      <c r="AB49" s="1219">
        <v>131462.09</v>
      </c>
      <c r="AC49" s="1219">
        <v>302540.33</v>
      </c>
      <c r="AD49" s="1219">
        <v>203274.93</v>
      </c>
      <c r="AE49" s="1219">
        <v>0</v>
      </c>
      <c r="AF49" s="1219">
        <v>0</v>
      </c>
      <c r="AG49" s="1219">
        <v>0</v>
      </c>
      <c r="AH49" s="1219">
        <v>0</v>
      </c>
      <c r="AI49" s="1219">
        <v>0</v>
      </c>
      <c r="AJ49" s="1219">
        <v>0</v>
      </c>
      <c r="AK49" s="1219">
        <v>0</v>
      </c>
      <c r="AL49" s="1219">
        <v>0</v>
      </c>
      <c r="AM49" s="1219">
        <v>0</v>
      </c>
      <c r="AN49" s="1219">
        <v>0</v>
      </c>
      <c r="AO49" s="1219">
        <v>0</v>
      </c>
      <c r="AP49" s="1219">
        <v>0</v>
      </c>
      <c r="AQ49" s="1219">
        <v>0</v>
      </c>
      <c r="AR49" s="1219">
        <v>0</v>
      </c>
      <c r="AS49" s="1219">
        <v>0</v>
      </c>
      <c r="AT49" s="1219">
        <v>0</v>
      </c>
      <c r="AU49" s="1219">
        <v>0</v>
      </c>
      <c r="AV49" s="1219"/>
      <c r="AW49" s="1219">
        <v>0</v>
      </c>
      <c r="AX49" s="1219">
        <v>0</v>
      </c>
      <c r="AY49" s="1219">
        <v>0</v>
      </c>
      <c r="AZ49" s="1219">
        <v>0</v>
      </c>
      <c r="BA49" s="802">
        <f t="shared" si="0"/>
        <v>2514119.4900000002</v>
      </c>
      <c r="BB49" s="1309"/>
    </row>
    <row r="50" spans="1:54">
      <c r="A50" s="1310" t="s">
        <v>1040</v>
      </c>
      <c r="B50" s="1218" t="s">
        <v>1041</v>
      </c>
      <c r="C50" s="1385" t="s">
        <v>859</v>
      </c>
      <c r="D50" s="1219">
        <v>0</v>
      </c>
      <c r="E50" s="1219">
        <v>0</v>
      </c>
      <c r="F50" s="1219">
        <v>0</v>
      </c>
      <c r="G50" s="1219">
        <v>0</v>
      </c>
      <c r="H50" s="1219">
        <v>0</v>
      </c>
      <c r="I50" s="1219">
        <v>0</v>
      </c>
      <c r="J50" s="1219">
        <v>0</v>
      </c>
      <c r="K50" s="1219">
        <v>0</v>
      </c>
      <c r="L50" s="1219">
        <v>0</v>
      </c>
      <c r="M50" s="1219">
        <v>0</v>
      </c>
      <c r="N50" s="1219">
        <v>0</v>
      </c>
      <c r="O50" s="1219">
        <v>0</v>
      </c>
      <c r="P50" s="1219">
        <v>0</v>
      </c>
      <c r="Q50" s="1219">
        <v>0</v>
      </c>
      <c r="R50" s="1219">
        <v>0</v>
      </c>
      <c r="S50" s="1219">
        <v>0</v>
      </c>
      <c r="T50" s="1219">
        <v>0</v>
      </c>
      <c r="U50" s="1219">
        <v>0</v>
      </c>
      <c r="V50" s="1219">
        <v>0</v>
      </c>
      <c r="W50" s="1219">
        <v>178038.07</v>
      </c>
      <c r="X50" s="1219">
        <v>0</v>
      </c>
      <c r="Y50" s="1219">
        <v>0</v>
      </c>
      <c r="Z50" s="1219">
        <v>504914.65</v>
      </c>
      <c r="AA50" s="1219">
        <v>11282</v>
      </c>
      <c r="AB50" s="1219">
        <v>38456.519999999997</v>
      </c>
      <c r="AC50" s="1219">
        <v>0</v>
      </c>
      <c r="AD50" s="1219">
        <v>349673.14</v>
      </c>
      <c r="AE50" s="1219">
        <v>9057.4599999999991</v>
      </c>
      <c r="AF50" s="1219">
        <v>0</v>
      </c>
      <c r="AG50" s="1219">
        <v>0</v>
      </c>
      <c r="AH50" s="1219">
        <v>0</v>
      </c>
      <c r="AI50" s="1219">
        <v>0</v>
      </c>
      <c r="AJ50" s="1219">
        <v>0</v>
      </c>
      <c r="AK50" s="1219">
        <v>0</v>
      </c>
      <c r="AL50" s="1219">
        <v>0</v>
      </c>
      <c r="AM50" s="1219">
        <v>0</v>
      </c>
      <c r="AN50" s="1219">
        <v>0</v>
      </c>
      <c r="AO50" s="1219">
        <v>0</v>
      </c>
      <c r="AP50" s="1219">
        <v>0</v>
      </c>
      <c r="AQ50" s="1219">
        <v>0</v>
      </c>
      <c r="AR50" s="1219">
        <v>0</v>
      </c>
      <c r="AS50" s="1219">
        <v>0</v>
      </c>
      <c r="AT50" s="1219">
        <v>0</v>
      </c>
      <c r="AU50" s="1219">
        <v>0</v>
      </c>
      <c r="AV50" s="1219"/>
      <c r="AW50" s="1219">
        <v>0</v>
      </c>
      <c r="AX50" s="1219">
        <v>0</v>
      </c>
      <c r="AY50" s="1219">
        <v>0</v>
      </c>
      <c r="AZ50" s="1219">
        <v>0</v>
      </c>
      <c r="BA50" s="802">
        <f t="shared" si="0"/>
        <v>1091421.8399999999</v>
      </c>
      <c r="BB50" s="1309"/>
    </row>
    <row r="51" spans="1:54">
      <c r="A51" s="1310" t="s">
        <v>1042</v>
      </c>
      <c r="B51" s="1218"/>
      <c r="C51" s="1385" t="s">
        <v>794</v>
      </c>
      <c r="D51" s="1219">
        <v>270869</v>
      </c>
      <c r="E51" s="1219">
        <v>5072336</v>
      </c>
      <c r="F51" s="1219">
        <v>64077885.799999997</v>
      </c>
      <c r="G51" s="1219">
        <v>0</v>
      </c>
      <c r="H51" s="1219">
        <v>0</v>
      </c>
      <c r="I51" s="1219">
        <v>-9033977.7200000007</v>
      </c>
      <c r="J51" s="1219">
        <v>0</v>
      </c>
      <c r="K51" s="1219">
        <v>0</v>
      </c>
      <c r="L51" s="1219">
        <v>0</v>
      </c>
      <c r="M51" s="1219">
        <v>0</v>
      </c>
      <c r="N51" s="1219">
        <v>0</v>
      </c>
      <c r="O51" s="1219">
        <v>0</v>
      </c>
      <c r="P51" s="1219">
        <v>0</v>
      </c>
      <c r="Q51" s="1219">
        <v>0</v>
      </c>
      <c r="R51" s="1219">
        <v>0</v>
      </c>
      <c r="S51" s="1219">
        <v>0</v>
      </c>
      <c r="T51" s="1219">
        <v>0</v>
      </c>
      <c r="U51" s="1219">
        <v>0</v>
      </c>
      <c r="V51" s="1219">
        <v>4286893.38</v>
      </c>
      <c r="W51" s="1219">
        <v>0</v>
      </c>
      <c r="X51" s="1219">
        <v>0</v>
      </c>
      <c r="Y51" s="1219">
        <v>0</v>
      </c>
      <c r="Z51" s="1219">
        <v>0</v>
      </c>
      <c r="AA51" s="1219">
        <v>0</v>
      </c>
      <c r="AB51" s="1219">
        <v>0</v>
      </c>
      <c r="AC51" s="1219">
        <v>0</v>
      </c>
      <c r="AD51" s="1219">
        <v>0</v>
      </c>
      <c r="AE51" s="1219">
        <v>0</v>
      </c>
      <c r="AF51" s="1219">
        <v>0</v>
      </c>
      <c r="AG51" s="1219">
        <v>1071963.42</v>
      </c>
      <c r="AH51" s="1219">
        <v>93880352.480000004</v>
      </c>
      <c r="AI51" s="1219">
        <v>0</v>
      </c>
      <c r="AJ51" s="1219">
        <v>32447813.68</v>
      </c>
      <c r="AK51" s="1219">
        <v>77.11</v>
      </c>
      <c r="AL51" s="1219">
        <v>1418740</v>
      </c>
      <c r="AM51" s="1219">
        <v>0</v>
      </c>
      <c r="AN51" s="1219">
        <v>0</v>
      </c>
      <c r="AO51" s="1219">
        <v>0</v>
      </c>
      <c r="AP51" s="1219">
        <v>0</v>
      </c>
      <c r="AQ51" s="1219">
        <v>0</v>
      </c>
      <c r="AR51" s="1219">
        <v>2029382.8900000004</v>
      </c>
      <c r="AS51" s="1219">
        <v>0</v>
      </c>
      <c r="AT51" s="1219">
        <v>0</v>
      </c>
      <c r="AU51" s="1219">
        <v>0</v>
      </c>
      <c r="AV51" s="1219"/>
      <c r="AW51" s="1219">
        <v>0</v>
      </c>
      <c r="AX51" s="1219">
        <v>42745.74</v>
      </c>
      <c r="AY51" s="1219">
        <v>0</v>
      </c>
      <c r="AZ51" s="1219">
        <v>0</v>
      </c>
      <c r="BA51" s="802">
        <f t="shared" si="0"/>
        <v>195565081.78000003</v>
      </c>
      <c r="BB51" s="1309"/>
    </row>
    <row r="52" spans="1:54">
      <c r="A52" s="1310" t="s">
        <v>1043</v>
      </c>
      <c r="B52" s="1218"/>
      <c r="C52" s="1385" t="s">
        <v>798</v>
      </c>
      <c r="D52" s="1219">
        <v>0</v>
      </c>
      <c r="E52" s="1219">
        <v>0</v>
      </c>
      <c r="F52" s="1219">
        <v>252400</v>
      </c>
      <c r="G52" s="1219">
        <v>0</v>
      </c>
      <c r="H52" s="1219">
        <v>0</v>
      </c>
      <c r="I52" s="1219">
        <v>0</v>
      </c>
      <c r="J52" s="1219">
        <v>0</v>
      </c>
      <c r="K52" s="1219">
        <v>0</v>
      </c>
      <c r="L52" s="1219">
        <v>0</v>
      </c>
      <c r="M52" s="1219">
        <v>0</v>
      </c>
      <c r="N52" s="1219">
        <v>0</v>
      </c>
      <c r="O52" s="1219">
        <v>0</v>
      </c>
      <c r="P52" s="1219">
        <v>0</v>
      </c>
      <c r="Q52" s="1219">
        <v>0</v>
      </c>
      <c r="R52" s="1219">
        <v>0</v>
      </c>
      <c r="S52" s="1219">
        <v>0</v>
      </c>
      <c r="T52" s="1219">
        <v>0</v>
      </c>
      <c r="U52" s="1219">
        <v>0</v>
      </c>
      <c r="V52" s="1219">
        <v>0</v>
      </c>
      <c r="W52" s="1219">
        <v>0</v>
      </c>
      <c r="X52" s="1219">
        <v>0</v>
      </c>
      <c r="Y52" s="1219">
        <v>0</v>
      </c>
      <c r="Z52" s="1219">
        <v>0</v>
      </c>
      <c r="AA52" s="1219">
        <v>0</v>
      </c>
      <c r="AB52" s="1219">
        <v>0</v>
      </c>
      <c r="AC52" s="1219">
        <v>0</v>
      </c>
      <c r="AD52" s="1219">
        <v>0</v>
      </c>
      <c r="AE52" s="1219">
        <v>0</v>
      </c>
      <c r="AF52" s="1219">
        <v>17743705.199999999</v>
      </c>
      <c r="AG52" s="1219">
        <v>0</v>
      </c>
      <c r="AH52" s="1219">
        <v>0</v>
      </c>
      <c r="AI52" s="1219">
        <v>0</v>
      </c>
      <c r="AJ52" s="1219">
        <v>0</v>
      </c>
      <c r="AK52" s="1219">
        <v>0</v>
      </c>
      <c r="AL52" s="1219">
        <v>0</v>
      </c>
      <c r="AM52" s="1219">
        <v>0</v>
      </c>
      <c r="AN52" s="1219">
        <v>0</v>
      </c>
      <c r="AO52" s="1219">
        <v>0</v>
      </c>
      <c r="AP52" s="1219">
        <v>0</v>
      </c>
      <c r="AQ52" s="1219">
        <v>0</v>
      </c>
      <c r="AR52" s="1219">
        <v>0</v>
      </c>
      <c r="AS52" s="1219">
        <v>0</v>
      </c>
      <c r="AT52" s="1219">
        <v>0</v>
      </c>
      <c r="AU52" s="1219">
        <v>0</v>
      </c>
      <c r="AV52" s="1219"/>
      <c r="AW52" s="1219">
        <v>0</v>
      </c>
      <c r="AX52" s="1219">
        <v>0</v>
      </c>
      <c r="AY52" s="1219">
        <v>0</v>
      </c>
      <c r="AZ52" s="1219">
        <v>0</v>
      </c>
      <c r="BA52" s="802">
        <f t="shared" si="0"/>
        <v>17996105.199999999</v>
      </c>
      <c r="BB52" s="1309"/>
    </row>
    <row r="53" spans="1:54">
      <c r="A53" s="1310" t="s">
        <v>1044</v>
      </c>
      <c r="B53" s="1218"/>
      <c r="C53" s="1385" t="s">
        <v>800</v>
      </c>
      <c r="D53" s="1219">
        <v>0</v>
      </c>
      <c r="E53" s="1219">
        <v>0</v>
      </c>
      <c r="F53" s="1219">
        <v>0</v>
      </c>
      <c r="G53" s="1219">
        <v>0</v>
      </c>
      <c r="H53" s="1219">
        <v>0</v>
      </c>
      <c r="I53" s="1219">
        <v>0</v>
      </c>
      <c r="J53" s="1219">
        <v>0</v>
      </c>
      <c r="K53" s="1219">
        <v>0</v>
      </c>
      <c r="L53" s="1219">
        <v>0</v>
      </c>
      <c r="M53" s="1219">
        <v>0</v>
      </c>
      <c r="N53" s="1219">
        <v>0</v>
      </c>
      <c r="O53" s="1219">
        <v>0</v>
      </c>
      <c r="P53" s="1219">
        <v>0</v>
      </c>
      <c r="Q53" s="1219">
        <v>0</v>
      </c>
      <c r="R53" s="1219">
        <v>0</v>
      </c>
      <c r="S53" s="1219">
        <v>0</v>
      </c>
      <c r="T53" s="1219">
        <v>0</v>
      </c>
      <c r="U53" s="1219">
        <v>0</v>
      </c>
      <c r="V53" s="1219">
        <v>0</v>
      </c>
      <c r="W53" s="1219">
        <v>0</v>
      </c>
      <c r="X53" s="1219">
        <v>0</v>
      </c>
      <c r="Y53" s="1219">
        <v>0</v>
      </c>
      <c r="Z53" s="1219">
        <v>0</v>
      </c>
      <c r="AA53" s="1219">
        <v>0</v>
      </c>
      <c r="AB53" s="1219">
        <v>0</v>
      </c>
      <c r="AC53" s="1219">
        <v>0</v>
      </c>
      <c r="AD53" s="1219">
        <v>0</v>
      </c>
      <c r="AE53" s="1219">
        <v>0</v>
      </c>
      <c r="AF53" s="1219">
        <v>0</v>
      </c>
      <c r="AG53" s="1219">
        <v>0</v>
      </c>
      <c r="AH53" s="1219">
        <v>101029113.1498595</v>
      </c>
      <c r="AI53" s="1219">
        <v>0</v>
      </c>
      <c r="AJ53" s="1219">
        <v>0</v>
      </c>
      <c r="AK53" s="1219">
        <v>0</v>
      </c>
      <c r="AL53" s="1219">
        <v>0</v>
      </c>
      <c r="AM53" s="1219">
        <v>0</v>
      </c>
      <c r="AN53" s="1219">
        <v>0</v>
      </c>
      <c r="AO53" s="1219">
        <v>0</v>
      </c>
      <c r="AP53" s="1219">
        <v>0</v>
      </c>
      <c r="AQ53" s="1219">
        <v>0</v>
      </c>
      <c r="AR53" s="1219">
        <v>0</v>
      </c>
      <c r="AS53" s="1219">
        <v>0</v>
      </c>
      <c r="AT53" s="1219">
        <v>0</v>
      </c>
      <c r="AU53" s="1219">
        <v>0</v>
      </c>
      <c r="AV53" s="1219"/>
      <c r="AW53" s="1219">
        <v>0</v>
      </c>
      <c r="AX53" s="1219">
        <v>0</v>
      </c>
      <c r="AY53" s="1219">
        <v>0</v>
      </c>
      <c r="AZ53" s="1219">
        <v>0</v>
      </c>
      <c r="BA53" s="802">
        <f>SUM(D53:AZ53)</f>
        <v>101029113.1498595</v>
      </c>
      <c r="BB53" s="1309"/>
    </row>
    <row r="54" spans="1:54">
      <c r="A54" s="1310" t="s">
        <v>1045</v>
      </c>
      <c r="B54" s="1218"/>
      <c r="C54" s="1385" t="s">
        <v>802</v>
      </c>
      <c r="D54" s="1219">
        <v>0</v>
      </c>
      <c r="E54" s="1219">
        <v>0</v>
      </c>
      <c r="F54" s="1219">
        <v>0</v>
      </c>
      <c r="G54" s="1219">
        <v>0</v>
      </c>
      <c r="H54" s="1219">
        <v>0</v>
      </c>
      <c r="I54" s="1219">
        <v>0</v>
      </c>
      <c r="J54" s="1219">
        <v>0</v>
      </c>
      <c r="K54" s="1219">
        <v>0</v>
      </c>
      <c r="L54" s="1219">
        <v>0</v>
      </c>
      <c r="M54" s="1219">
        <v>0</v>
      </c>
      <c r="N54" s="1219">
        <v>0</v>
      </c>
      <c r="O54" s="1219">
        <v>0</v>
      </c>
      <c r="P54" s="1219">
        <v>0</v>
      </c>
      <c r="Q54" s="1219">
        <v>0</v>
      </c>
      <c r="R54" s="1219">
        <v>0</v>
      </c>
      <c r="S54" s="1219">
        <v>0</v>
      </c>
      <c r="T54" s="1219">
        <v>0</v>
      </c>
      <c r="U54" s="1219">
        <v>0</v>
      </c>
      <c r="V54" s="1219">
        <v>0</v>
      </c>
      <c r="W54" s="1219">
        <v>0</v>
      </c>
      <c r="X54" s="1219">
        <v>0</v>
      </c>
      <c r="Y54" s="1219">
        <v>0</v>
      </c>
      <c r="Z54" s="1219">
        <v>0</v>
      </c>
      <c r="AA54" s="1219">
        <v>0</v>
      </c>
      <c r="AB54" s="1219">
        <v>0</v>
      </c>
      <c r="AC54" s="1219">
        <v>0</v>
      </c>
      <c r="AD54" s="1219">
        <v>0</v>
      </c>
      <c r="AE54" s="1219">
        <v>0</v>
      </c>
      <c r="AF54" s="1219">
        <v>0</v>
      </c>
      <c r="AG54" s="1219">
        <v>0</v>
      </c>
      <c r="AH54" s="1219">
        <v>34706070.925585769</v>
      </c>
      <c r="AI54" s="1219">
        <v>0</v>
      </c>
      <c r="AJ54" s="1219">
        <v>0</v>
      </c>
      <c r="AK54" s="1219">
        <v>0</v>
      </c>
      <c r="AL54" s="1219">
        <v>0</v>
      </c>
      <c r="AM54" s="1219">
        <v>0</v>
      </c>
      <c r="AN54" s="1219">
        <v>0</v>
      </c>
      <c r="AO54" s="1219">
        <v>0</v>
      </c>
      <c r="AP54" s="1219">
        <v>0</v>
      </c>
      <c r="AQ54" s="1219">
        <v>0</v>
      </c>
      <c r="AR54" s="1219">
        <v>0</v>
      </c>
      <c r="AS54" s="1219">
        <v>0</v>
      </c>
      <c r="AT54" s="1219">
        <v>0</v>
      </c>
      <c r="AU54" s="1219">
        <v>0</v>
      </c>
      <c r="AV54" s="1219"/>
      <c r="AW54" s="1219">
        <v>0</v>
      </c>
      <c r="AX54" s="1219">
        <v>0</v>
      </c>
      <c r="AY54" s="1219">
        <v>0</v>
      </c>
      <c r="AZ54" s="1219">
        <v>0</v>
      </c>
      <c r="BA54" s="802">
        <f t="shared" si="0"/>
        <v>34706070.925585769</v>
      </c>
      <c r="BB54" s="1309"/>
    </row>
    <row r="55" spans="1:54">
      <c r="A55" s="1310" t="s">
        <v>1046</v>
      </c>
      <c r="B55" s="1218" t="s">
        <v>1047</v>
      </c>
      <c r="C55" s="1385" t="s">
        <v>804</v>
      </c>
      <c r="D55" s="1219">
        <v>0</v>
      </c>
      <c r="E55" s="1219">
        <v>0</v>
      </c>
      <c r="F55" s="1219">
        <v>0</v>
      </c>
      <c r="G55" s="1219">
        <v>0</v>
      </c>
      <c r="H55" s="1219">
        <v>0</v>
      </c>
      <c r="I55" s="1219">
        <v>0</v>
      </c>
      <c r="J55" s="1219">
        <v>0</v>
      </c>
      <c r="K55" s="1219">
        <v>0</v>
      </c>
      <c r="L55" s="1219">
        <v>0</v>
      </c>
      <c r="M55" s="1219">
        <v>0</v>
      </c>
      <c r="N55" s="1219">
        <v>0</v>
      </c>
      <c r="O55" s="1219">
        <v>0</v>
      </c>
      <c r="P55" s="1219">
        <v>0</v>
      </c>
      <c r="Q55" s="1219">
        <v>0</v>
      </c>
      <c r="R55" s="1219">
        <v>0</v>
      </c>
      <c r="S55" s="1219">
        <v>0</v>
      </c>
      <c r="T55" s="1219">
        <v>0</v>
      </c>
      <c r="U55" s="1219">
        <v>0</v>
      </c>
      <c r="V55" s="1219">
        <v>0</v>
      </c>
      <c r="W55" s="1219">
        <v>0</v>
      </c>
      <c r="X55" s="1219">
        <v>0</v>
      </c>
      <c r="Y55" s="1219">
        <v>0</v>
      </c>
      <c r="Z55" s="1219">
        <v>0</v>
      </c>
      <c r="AA55" s="1219">
        <v>0</v>
      </c>
      <c r="AB55" s="1219">
        <v>0</v>
      </c>
      <c r="AC55" s="1219">
        <v>0</v>
      </c>
      <c r="AD55" s="1219">
        <v>0</v>
      </c>
      <c r="AE55" s="1219">
        <v>0</v>
      </c>
      <c r="AF55" s="1219">
        <v>0</v>
      </c>
      <c r="AG55" s="1219">
        <v>0</v>
      </c>
      <c r="AH55" s="1219">
        <v>-61946864.690000005</v>
      </c>
      <c r="AI55" s="1219">
        <v>0</v>
      </c>
      <c r="AJ55" s="1219">
        <v>0</v>
      </c>
      <c r="AK55" s="1219">
        <v>0</v>
      </c>
      <c r="AL55" s="1219">
        <v>0</v>
      </c>
      <c r="AM55" s="1219">
        <v>0</v>
      </c>
      <c r="AN55" s="1219">
        <v>0</v>
      </c>
      <c r="AO55" s="1219">
        <v>0</v>
      </c>
      <c r="AP55" s="1219">
        <v>0</v>
      </c>
      <c r="AQ55" s="1219">
        <v>0</v>
      </c>
      <c r="AR55" s="1219">
        <v>0</v>
      </c>
      <c r="AS55" s="1219">
        <v>0</v>
      </c>
      <c r="AT55" s="1219">
        <v>0</v>
      </c>
      <c r="AU55" s="1219">
        <v>0</v>
      </c>
      <c r="AV55" s="1219"/>
      <c r="AW55" s="1219">
        <v>0</v>
      </c>
      <c r="AX55" s="1219">
        <v>0</v>
      </c>
      <c r="AY55" s="1219">
        <v>0</v>
      </c>
      <c r="AZ55" s="1219">
        <v>0</v>
      </c>
      <c r="BA55" s="802">
        <f t="shared" si="0"/>
        <v>-61946864.690000005</v>
      </c>
      <c r="BB55" s="1309"/>
    </row>
    <row r="56" spans="1:54">
      <c r="A56" s="1310" t="s">
        <v>1048</v>
      </c>
      <c r="B56" s="1218"/>
      <c r="C56" s="1385" t="s">
        <v>806</v>
      </c>
      <c r="D56" s="1219">
        <v>0</v>
      </c>
      <c r="E56" s="1219">
        <v>0</v>
      </c>
      <c r="F56" s="1219">
        <v>0</v>
      </c>
      <c r="G56" s="1219">
        <v>0</v>
      </c>
      <c r="H56" s="1219">
        <v>0</v>
      </c>
      <c r="I56" s="1219">
        <v>0</v>
      </c>
      <c r="J56" s="1219">
        <v>0</v>
      </c>
      <c r="K56" s="1219">
        <v>0</v>
      </c>
      <c r="L56" s="1219">
        <v>0</v>
      </c>
      <c r="M56" s="1219">
        <v>0</v>
      </c>
      <c r="N56" s="1219">
        <v>0</v>
      </c>
      <c r="O56" s="1219">
        <v>0</v>
      </c>
      <c r="P56" s="1219">
        <v>0</v>
      </c>
      <c r="Q56" s="1219">
        <v>0</v>
      </c>
      <c r="R56" s="1219">
        <v>0</v>
      </c>
      <c r="S56" s="1219">
        <v>0</v>
      </c>
      <c r="T56" s="1219">
        <v>0</v>
      </c>
      <c r="U56" s="1219">
        <v>0</v>
      </c>
      <c r="V56" s="1219">
        <v>0</v>
      </c>
      <c r="W56" s="1219">
        <v>0</v>
      </c>
      <c r="X56" s="1219">
        <v>0</v>
      </c>
      <c r="Y56" s="1219">
        <v>0</v>
      </c>
      <c r="Z56" s="1219">
        <v>0</v>
      </c>
      <c r="AA56" s="1219">
        <v>0</v>
      </c>
      <c r="AB56" s="1219">
        <v>0</v>
      </c>
      <c r="AC56" s="1219">
        <v>0</v>
      </c>
      <c r="AD56" s="1219">
        <v>0</v>
      </c>
      <c r="AE56" s="1219">
        <v>0</v>
      </c>
      <c r="AF56" s="1219">
        <v>0</v>
      </c>
      <c r="AG56" s="1219">
        <v>0</v>
      </c>
      <c r="AH56" s="1219">
        <v>30257350.305948406</v>
      </c>
      <c r="AI56" s="1219">
        <v>0</v>
      </c>
      <c r="AJ56" s="1219">
        <v>0</v>
      </c>
      <c r="AK56" s="1219">
        <v>0</v>
      </c>
      <c r="AL56" s="1219">
        <v>0</v>
      </c>
      <c r="AM56" s="1219">
        <v>0</v>
      </c>
      <c r="AN56" s="1219">
        <v>0</v>
      </c>
      <c r="AO56" s="1219">
        <v>0</v>
      </c>
      <c r="AP56" s="1219">
        <v>0</v>
      </c>
      <c r="AQ56" s="1219">
        <v>0</v>
      </c>
      <c r="AR56" s="1219">
        <v>0</v>
      </c>
      <c r="AS56" s="1219">
        <v>0</v>
      </c>
      <c r="AT56" s="1219">
        <v>0</v>
      </c>
      <c r="AU56" s="1219">
        <v>0</v>
      </c>
      <c r="AV56" s="1219"/>
      <c r="AW56" s="1219">
        <v>0</v>
      </c>
      <c r="AX56" s="1219">
        <v>0</v>
      </c>
      <c r="AY56" s="1219">
        <v>0</v>
      </c>
      <c r="AZ56" s="1219">
        <v>0</v>
      </c>
      <c r="BA56" s="802">
        <f t="shared" si="0"/>
        <v>30257350.305948406</v>
      </c>
      <c r="BB56" s="1309"/>
    </row>
    <row r="57" spans="1:54">
      <c r="A57" s="1310" t="s">
        <v>1049</v>
      </c>
      <c r="B57" s="1218" t="s">
        <v>1050</v>
      </c>
      <c r="C57" s="1385" t="s">
        <v>808</v>
      </c>
      <c r="D57" s="1219">
        <v>808636.88000000012</v>
      </c>
      <c r="E57" s="1219">
        <v>1528743.7300000002</v>
      </c>
      <c r="F57" s="1219">
        <v>2397233.0299999998</v>
      </c>
      <c r="G57" s="1219">
        <v>0</v>
      </c>
      <c r="H57" s="1219">
        <v>0</v>
      </c>
      <c r="I57" s="1219">
        <v>0</v>
      </c>
      <c r="J57" s="1219">
        <v>0</v>
      </c>
      <c r="K57" s="1219">
        <v>0</v>
      </c>
      <c r="L57" s="1219">
        <v>0</v>
      </c>
      <c r="M57" s="1219">
        <v>105154.14</v>
      </c>
      <c r="N57" s="1219">
        <v>0</v>
      </c>
      <c r="O57" s="1219">
        <v>0</v>
      </c>
      <c r="P57" s="1219">
        <v>0</v>
      </c>
      <c r="Q57" s="1219">
        <v>0</v>
      </c>
      <c r="R57" s="1219">
        <v>0</v>
      </c>
      <c r="S57" s="1219">
        <v>0</v>
      </c>
      <c r="T57" s="1219">
        <v>0</v>
      </c>
      <c r="U57" s="1219">
        <v>0</v>
      </c>
      <c r="V57" s="1219">
        <v>1627789.3199999998</v>
      </c>
      <c r="W57" s="1219">
        <v>0</v>
      </c>
      <c r="X57" s="1219">
        <v>0</v>
      </c>
      <c r="Y57" s="1219">
        <v>0</v>
      </c>
      <c r="Z57" s="1219">
        <v>696330.37999999989</v>
      </c>
      <c r="AA57" s="1219">
        <v>0</v>
      </c>
      <c r="AB57" s="1219">
        <v>0</v>
      </c>
      <c r="AC57" s="1219">
        <v>102035.18</v>
      </c>
      <c r="AD57" s="1219">
        <v>0</v>
      </c>
      <c r="AE57" s="1219">
        <v>0</v>
      </c>
      <c r="AF57" s="1219">
        <v>0</v>
      </c>
      <c r="AG57" s="1219">
        <v>0</v>
      </c>
      <c r="AH57" s="1219">
        <v>-248480.22</v>
      </c>
      <c r="AI57" s="1219">
        <v>0</v>
      </c>
      <c r="AJ57" s="1219">
        <v>0</v>
      </c>
      <c r="AK57" s="1219">
        <v>0</v>
      </c>
      <c r="AL57" s="1219">
        <v>0</v>
      </c>
      <c r="AM57" s="1219">
        <v>0</v>
      </c>
      <c r="AN57" s="1219">
        <v>0</v>
      </c>
      <c r="AO57" s="1219">
        <v>0</v>
      </c>
      <c r="AP57" s="1219">
        <v>0</v>
      </c>
      <c r="AQ57" s="1219">
        <v>0</v>
      </c>
      <c r="AR57" s="1219">
        <v>0</v>
      </c>
      <c r="AS57" s="1219">
        <v>0</v>
      </c>
      <c r="AT57" s="1219">
        <v>0</v>
      </c>
      <c r="AU57" s="1219">
        <v>0</v>
      </c>
      <c r="AV57" s="1219"/>
      <c r="AW57" s="1219">
        <v>0</v>
      </c>
      <c r="AX57" s="1219">
        <v>0</v>
      </c>
      <c r="AY57" s="1219">
        <v>0</v>
      </c>
      <c r="AZ57" s="1219">
        <v>0</v>
      </c>
      <c r="BA57" s="802">
        <f t="shared" si="0"/>
        <v>7017442.4399999995</v>
      </c>
      <c r="BB57" s="1309"/>
    </row>
    <row r="58" spans="1:54">
      <c r="A58" s="1310" t="s">
        <v>1051</v>
      </c>
      <c r="B58" s="1218"/>
      <c r="C58" s="1385" t="s">
        <v>810</v>
      </c>
      <c r="D58" s="1219">
        <v>391194.43</v>
      </c>
      <c r="E58" s="1219">
        <v>877578.76</v>
      </c>
      <c r="F58" s="1219">
        <v>1546445.02</v>
      </c>
      <c r="G58" s="1219">
        <v>0</v>
      </c>
      <c r="H58" s="1219">
        <v>0</v>
      </c>
      <c r="I58" s="1219">
        <v>0</v>
      </c>
      <c r="J58" s="1219">
        <v>0</v>
      </c>
      <c r="K58" s="1219">
        <v>0</v>
      </c>
      <c r="L58" s="1219">
        <v>0</v>
      </c>
      <c r="M58" s="1219">
        <v>0</v>
      </c>
      <c r="N58" s="1219">
        <v>0</v>
      </c>
      <c r="O58" s="1219">
        <v>0</v>
      </c>
      <c r="P58" s="1219">
        <v>0</v>
      </c>
      <c r="Q58" s="1219">
        <v>0</v>
      </c>
      <c r="R58" s="1219">
        <v>0</v>
      </c>
      <c r="S58" s="1219">
        <v>0</v>
      </c>
      <c r="T58" s="1219">
        <v>0</v>
      </c>
      <c r="U58" s="1219">
        <v>0</v>
      </c>
      <c r="V58" s="1219">
        <v>204622.62</v>
      </c>
      <c r="W58" s="1219">
        <v>0</v>
      </c>
      <c r="X58" s="1219">
        <v>0</v>
      </c>
      <c r="Y58" s="1219">
        <v>0</v>
      </c>
      <c r="Z58" s="1219">
        <v>377515.36</v>
      </c>
      <c r="AA58" s="1219">
        <v>0</v>
      </c>
      <c r="AB58" s="1219">
        <v>0</v>
      </c>
      <c r="AC58" s="1219">
        <v>0</v>
      </c>
      <c r="AD58" s="1219">
        <v>0</v>
      </c>
      <c r="AE58" s="1219">
        <v>0</v>
      </c>
      <c r="AF58" s="1219">
        <v>0</v>
      </c>
      <c r="AG58" s="1219">
        <v>0</v>
      </c>
      <c r="AH58" s="1219">
        <v>-572760.62</v>
      </c>
      <c r="AI58" s="1219">
        <v>0</v>
      </c>
      <c r="AJ58" s="1219">
        <v>0</v>
      </c>
      <c r="AK58" s="1219">
        <v>0</v>
      </c>
      <c r="AL58" s="1219">
        <v>0</v>
      </c>
      <c r="AM58" s="1219">
        <v>0</v>
      </c>
      <c r="AN58" s="1219">
        <v>0</v>
      </c>
      <c r="AO58" s="1219">
        <v>0</v>
      </c>
      <c r="AP58" s="1219">
        <v>0</v>
      </c>
      <c r="AQ58" s="1219">
        <v>0</v>
      </c>
      <c r="AR58" s="1219">
        <v>0</v>
      </c>
      <c r="AS58" s="1219">
        <v>0</v>
      </c>
      <c r="AT58" s="1219">
        <v>0</v>
      </c>
      <c r="AU58" s="1219">
        <v>0</v>
      </c>
      <c r="AV58" s="1219"/>
      <c r="AW58" s="1219">
        <v>0</v>
      </c>
      <c r="AX58" s="1219">
        <v>0</v>
      </c>
      <c r="AY58" s="1219">
        <v>0</v>
      </c>
      <c r="AZ58" s="1219">
        <v>0</v>
      </c>
      <c r="BA58" s="802">
        <f t="shared" si="0"/>
        <v>2824595.57</v>
      </c>
      <c r="BB58" s="1309"/>
    </row>
    <row r="59" spans="1:54">
      <c r="A59" s="1310" t="s">
        <v>1052</v>
      </c>
      <c r="B59" s="1218" t="s">
        <v>1053</v>
      </c>
      <c r="C59" s="1385" t="s">
        <v>814</v>
      </c>
      <c r="D59" s="1219">
        <v>0</v>
      </c>
      <c r="E59" s="1219">
        <v>0</v>
      </c>
      <c r="F59" s="1219">
        <v>0</v>
      </c>
      <c r="G59" s="1219">
        <v>0</v>
      </c>
      <c r="H59" s="1219">
        <v>0</v>
      </c>
      <c r="I59" s="1219">
        <v>0</v>
      </c>
      <c r="J59" s="1219">
        <v>0</v>
      </c>
      <c r="K59" s="1219">
        <v>0</v>
      </c>
      <c r="L59" s="1219">
        <v>0</v>
      </c>
      <c r="M59" s="1219">
        <v>0</v>
      </c>
      <c r="N59" s="1219">
        <v>0</v>
      </c>
      <c r="O59" s="1219">
        <v>0</v>
      </c>
      <c r="P59" s="1219">
        <v>0</v>
      </c>
      <c r="Q59" s="1219">
        <v>0</v>
      </c>
      <c r="R59" s="1219">
        <v>0</v>
      </c>
      <c r="S59" s="1219">
        <v>0</v>
      </c>
      <c r="T59" s="1219">
        <v>0</v>
      </c>
      <c r="U59" s="1219">
        <v>0</v>
      </c>
      <c r="V59" s="1219">
        <v>0</v>
      </c>
      <c r="W59" s="1219">
        <v>0</v>
      </c>
      <c r="X59" s="1219">
        <v>0</v>
      </c>
      <c r="Y59" s="1219">
        <v>0</v>
      </c>
      <c r="Z59" s="1219">
        <v>0</v>
      </c>
      <c r="AA59" s="1219">
        <v>0</v>
      </c>
      <c r="AB59" s="1219">
        <v>0</v>
      </c>
      <c r="AC59" s="1219">
        <v>0</v>
      </c>
      <c r="AD59" s="1219">
        <v>0</v>
      </c>
      <c r="AE59" s="1219">
        <v>0</v>
      </c>
      <c r="AF59" s="1219">
        <v>0</v>
      </c>
      <c r="AG59" s="1219">
        <v>0</v>
      </c>
      <c r="AH59" s="1219">
        <v>33412069.78561978</v>
      </c>
      <c r="AI59" s="1219">
        <v>0</v>
      </c>
      <c r="AJ59" s="1219">
        <v>0</v>
      </c>
      <c r="AK59" s="1219">
        <v>0</v>
      </c>
      <c r="AL59" s="1219">
        <v>0</v>
      </c>
      <c r="AM59" s="1219">
        <v>0</v>
      </c>
      <c r="AN59" s="1219">
        <v>0</v>
      </c>
      <c r="AO59" s="1219">
        <v>0</v>
      </c>
      <c r="AP59" s="1219">
        <v>0</v>
      </c>
      <c r="AQ59" s="1219">
        <v>0</v>
      </c>
      <c r="AR59" s="1219">
        <v>0</v>
      </c>
      <c r="AS59" s="1219">
        <v>0</v>
      </c>
      <c r="AT59" s="1219">
        <v>0</v>
      </c>
      <c r="AU59" s="1219">
        <v>0</v>
      </c>
      <c r="AV59" s="1219"/>
      <c r="AW59" s="1219">
        <v>0</v>
      </c>
      <c r="AX59" s="1219">
        <v>0</v>
      </c>
      <c r="AY59" s="1219">
        <v>0</v>
      </c>
      <c r="AZ59" s="1219">
        <v>0</v>
      </c>
      <c r="BA59" s="802">
        <f t="shared" si="0"/>
        <v>33412069.78561978</v>
      </c>
      <c r="BB59" s="1309"/>
    </row>
    <row r="60" spans="1:54">
      <c r="A60" s="1310" t="s">
        <v>1054</v>
      </c>
      <c r="B60" s="1218"/>
      <c r="C60" s="1385" t="s">
        <v>812</v>
      </c>
      <c r="D60" s="1219">
        <v>0</v>
      </c>
      <c r="E60" s="1219">
        <v>0</v>
      </c>
      <c r="F60" s="1219">
        <v>0</v>
      </c>
      <c r="G60" s="1219">
        <v>0</v>
      </c>
      <c r="H60" s="1219">
        <v>0</v>
      </c>
      <c r="I60" s="1219">
        <v>0</v>
      </c>
      <c r="J60" s="1219">
        <v>0</v>
      </c>
      <c r="K60" s="1219">
        <v>0</v>
      </c>
      <c r="L60" s="1219">
        <v>0</v>
      </c>
      <c r="M60" s="1219">
        <v>0</v>
      </c>
      <c r="N60" s="1219">
        <v>0</v>
      </c>
      <c r="O60" s="1219">
        <v>0</v>
      </c>
      <c r="P60" s="1219">
        <v>0</v>
      </c>
      <c r="Q60" s="1219">
        <v>0</v>
      </c>
      <c r="R60" s="1219">
        <v>0</v>
      </c>
      <c r="S60" s="1219">
        <v>0</v>
      </c>
      <c r="T60" s="1219">
        <v>0</v>
      </c>
      <c r="U60" s="1219">
        <v>0</v>
      </c>
      <c r="V60" s="1219">
        <v>0</v>
      </c>
      <c r="W60" s="1219">
        <v>0</v>
      </c>
      <c r="X60" s="1219">
        <v>0</v>
      </c>
      <c r="Y60" s="1219">
        <v>0</v>
      </c>
      <c r="Z60" s="1219">
        <v>0</v>
      </c>
      <c r="AA60" s="1219">
        <v>0</v>
      </c>
      <c r="AB60" s="1219">
        <v>0</v>
      </c>
      <c r="AC60" s="1219">
        <v>0</v>
      </c>
      <c r="AD60" s="1219">
        <v>0</v>
      </c>
      <c r="AE60" s="1219">
        <v>0</v>
      </c>
      <c r="AF60" s="1219">
        <v>0</v>
      </c>
      <c r="AG60" s="1219">
        <v>0</v>
      </c>
      <c r="AH60" s="1219">
        <v>0</v>
      </c>
      <c r="AI60" s="1219">
        <v>0</v>
      </c>
      <c r="AJ60" s="1219">
        <v>0</v>
      </c>
      <c r="AK60" s="1219">
        <v>0</v>
      </c>
      <c r="AL60" s="1219">
        <v>0</v>
      </c>
      <c r="AM60" s="1219">
        <v>0</v>
      </c>
      <c r="AN60" s="1219">
        <v>0</v>
      </c>
      <c r="AO60" s="1219">
        <v>0</v>
      </c>
      <c r="AP60" s="1219">
        <v>0</v>
      </c>
      <c r="AQ60" s="1219">
        <v>0</v>
      </c>
      <c r="AR60" s="1219">
        <v>0</v>
      </c>
      <c r="AS60" s="1219">
        <v>0</v>
      </c>
      <c r="AT60" s="1219">
        <v>0</v>
      </c>
      <c r="AU60" s="1219">
        <v>0</v>
      </c>
      <c r="AV60" s="1219"/>
      <c r="AW60" s="1219">
        <v>0</v>
      </c>
      <c r="AX60" s="1219">
        <v>0</v>
      </c>
      <c r="AY60" s="1219">
        <v>0</v>
      </c>
      <c r="AZ60" s="1219">
        <v>0</v>
      </c>
      <c r="BA60" s="802">
        <f t="shared" si="0"/>
        <v>0</v>
      </c>
      <c r="BB60" s="1309"/>
    </row>
    <row r="61" spans="1:54">
      <c r="A61" s="1310" t="s">
        <v>1055</v>
      </c>
      <c r="B61" s="1218" t="s">
        <v>1056</v>
      </c>
      <c r="C61" s="1385" t="s">
        <v>816</v>
      </c>
      <c r="D61" s="1219">
        <v>1873080</v>
      </c>
      <c r="E61" s="1219">
        <v>1486080</v>
      </c>
      <c r="F61" s="1219">
        <v>2616120</v>
      </c>
      <c r="G61" s="1219">
        <v>0</v>
      </c>
      <c r="H61" s="1219">
        <v>0</v>
      </c>
      <c r="I61" s="1219">
        <v>0</v>
      </c>
      <c r="J61" s="1219">
        <v>0</v>
      </c>
      <c r="K61" s="1219">
        <v>0</v>
      </c>
      <c r="L61" s="1219">
        <v>0</v>
      </c>
      <c r="M61" s="1219">
        <v>0</v>
      </c>
      <c r="N61" s="1219">
        <v>0</v>
      </c>
      <c r="O61" s="1219">
        <v>0</v>
      </c>
      <c r="P61" s="1219">
        <v>0</v>
      </c>
      <c r="Q61" s="1219">
        <v>0</v>
      </c>
      <c r="R61" s="1219">
        <v>0</v>
      </c>
      <c r="S61" s="1219">
        <v>0</v>
      </c>
      <c r="T61" s="1219">
        <v>0</v>
      </c>
      <c r="U61" s="1219">
        <v>0</v>
      </c>
      <c r="V61" s="1219">
        <v>0</v>
      </c>
      <c r="W61" s="1219">
        <v>0</v>
      </c>
      <c r="X61" s="1219">
        <v>0</v>
      </c>
      <c r="Y61" s="1219">
        <v>0</v>
      </c>
      <c r="Z61" s="1219">
        <v>0</v>
      </c>
      <c r="AA61" s="1219">
        <v>0</v>
      </c>
      <c r="AB61" s="1219">
        <v>0</v>
      </c>
      <c r="AC61" s="1219">
        <v>0</v>
      </c>
      <c r="AD61" s="1219">
        <v>0</v>
      </c>
      <c r="AE61" s="1219">
        <v>0</v>
      </c>
      <c r="AF61" s="1219">
        <v>0</v>
      </c>
      <c r="AG61" s="1219">
        <v>0</v>
      </c>
      <c r="AH61" s="1219">
        <v>0</v>
      </c>
      <c r="AI61" s="1219">
        <v>0</v>
      </c>
      <c r="AJ61" s="1219">
        <v>0</v>
      </c>
      <c r="AK61" s="1219">
        <v>0</v>
      </c>
      <c r="AL61" s="1219">
        <v>0</v>
      </c>
      <c r="AM61" s="1219">
        <v>0</v>
      </c>
      <c r="AN61" s="1219">
        <v>0</v>
      </c>
      <c r="AO61" s="1219">
        <v>0</v>
      </c>
      <c r="AP61" s="1219">
        <v>0</v>
      </c>
      <c r="AQ61" s="1219">
        <v>0</v>
      </c>
      <c r="AR61" s="1219">
        <v>0</v>
      </c>
      <c r="AS61" s="1219">
        <v>0</v>
      </c>
      <c r="AT61" s="1219">
        <v>0</v>
      </c>
      <c r="AU61" s="1219">
        <v>0</v>
      </c>
      <c r="AV61" s="1219"/>
      <c r="AW61" s="1219">
        <v>0</v>
      </c>
      <c r="AX61" s="1219">
        <v>0</v>
      </c>
      <c r="AY61" s="1219">
        <v>0</v>
      </c>
      <c r="AZ61" s="1219">
        <v>0</v>
      </c>
      <c r="BA61" s="802">
        <f t="shared" si="0"/>
        <v>5975280</v>
      </c>
      <c r="BB61" s="1309"/>
    </row>
    <row r="62" spans="1:54">
      <c r="A62" s="1310" t="s">
        <v>1057</v>
      </c>
      <c r="B62" s="1218" t="s">
        <v>1058</v>
      </c>
      <c r="C62" s="1385" t="s">
        <v>818</v>
      </c>
      <c r="D62" s="1219">
        <v>63869.260000000009</v>
      </c>
      <c r="E62" s="1219">
        <v>132642.34999999963</v>
      </c>
      <c r="F62" s="1219">
        <v>70704.560000002384</v>
      </c>
      <c r="G62" s="1219">
        <v>1090.3599999999999</v>
      </c>
      <c r="H62" s="1219">
        <v>0</v>
      </c>
      <c r="I62" s="1219">
        <v>117169.8900000006</v>
      </c>
      <c r="J62" s="1219">
        <v>0</v>
      </c>
      <c r="K62" s="1219">
        <v>0</v>
      </c>
      <c r="L62" s="1219">
        <v>0</v>
      </c>
      <c r="M62" s="1219">
        <v>0</v>
      </c>
      <c r="N62" s="1219">
        <v>51025</v>
      </c>
      <c r="O62" s="1219">
        <v>0</v>
      </c>
      <c r="P62" s="1219">
        <v>0</v>
      </c>
      <c r="Q62" s="1219">
        <v>0</v>
      </c>
      <c r="R62" s="1219">
        <v>0</v>
      </c>
      <c r="S62" s="1219">
        <v>0</v>
      </c>
      <c r="T62" s="1219">
        <v>0</v>
      </c>
      <c r="U62" s="1219">
        <v>0</v>
      </c>
      <c r="V62" s="1219">
        <v>11916.330000000075</v>
      </c>
      <c r="W62" s="1219">
        <v>0</v>
      </c>
      <c r="X62" s="1219">
        <v>0</v>
      </c>
      <c r="Y62" s="1219">
        <v>0</v>
      </c>
      <c r="Z62" s="1219">
        <v>-1215.3900000000001</v>
      </c>
      <c r="AA62" s="1219">
        <v>0</v>
      </c>
      <c r="AB62" s="1219">
        <v>0</v>
      </c>
      <c r="AC62" s="1219">
        <v>0</v>
      </c>
      <c r="AD62" s="1219">
        <v>0</v>
      </c>
      <c r="AE62" s="1219">
        <v>0</v>
      </c>
      <c r="AF62" s="1219">
        <v>0</v>
      </c>
      <c r="AG62" s="1219">
        <v>0</v>
      </c>
      <c r="AH62" s="1219">
        <v>0</v>
      </c>
      <c r="AI62" s="1219">
        <v>0</v>
      </c>
      <c r="AJ62" s="1219">
        <v>0</v>
      </c>
      <c r="AK62" s="1219">
        <v>0</v>
      </c>
      <c r="AL62" s="1219">
        <v>0</v>
      </c>
      <c r="AM62" s="1219">
        <v>0</v>
      </c>
      <c r="AN62" s="1219">
        <v>0</v>
      </c>
      <c r="AO62" s="1219">
        <v>0</v>
      </c>
      <c r="AP62" s="1219">
        <v>0</v>
      </c>
      <c r="AQ62" s="1219">
        <v>0</v>
      </c>
      <c r="AR62" s="1219">
        <v>0</v>
      </c>
      <c r="AS62" s="1219">
        <v>0</v>
      </c>
      <c r="AT62" s="1219">
        <v>0</v>
      </c>
      <c r="AU62" s="1219">
        <v>0</v>
      </c>
      <c r="AV62" s="1219"/>
      <c r="AW62" s="1219">
        <v>0</v>
      </c>
      <c r="AX62" s="1219">
        <v>0</v>
      </c>
      <c r="AY62" s="1219">
        <v>0</v>
      </c>
      <c r="AZ62" s="1219">
        <v>0</v>
      </c>
      <c r="BA62" s="802">
        <f t="shared" si="0"/>
        <v>447202.36000000266</v>
      </c>
      <c r="BB62" s="1309"/>
    </row>
    <row r="63" spans="1:54">
      <c r="A63" s="1310" t="s">
        <v>1059</v>
      </c>
      <c r="B63" s="1218"/>
      <c r="C63" s="1385" t="s">
        <v>826</v>
      </c>
      <c r="D63" s="1219">
        <v>0</v>
      </c>
      <c r="E63" s="1219">
        <v>0</v>
      </c>
      <c r="F63" s="1219">
        <v>0</v>
      </c>
      <c r="G63" s="1219">
        <v>0</v>
      </c>
      <c r="H63" s="1219">
        <v>0</v>
      </c>
      <c r="I63" s="1219">
        <v>0</v>
      </c>
      <c r="J63" s="1219">
        <v>0</v>
      </c>
      <c r="K63" s="1219">
        <v>0</v>
      </c>
      <c r="L63" s="1219">
        <v>0</v>
      </c>
      <c r="M63" s="1219">
        <v>0</v>
      </c>
      <c r="N63" s="1219">
        <v>0</v>
      </c>
      <c r="O63" s="1219">
        <v>0</v>
      </c>
      <c r="P63" s="1219">
        <v>0</v>
      </c>
      <c r="Q63" s="1219">
        <v>0</v>
      </c>
      <c r="R63" s="1219">
        <v>0</v>
      </c>
      <c r="S63" s="1219">
        <v>0</v>
      </c>
      <c r="T63" s="1219">
        <v>0</v>
      </c>
      <c r="U63" s="1219">
        <v>0</v>
      </c>
      <c r="V63" s="1219">
        <v>0</v>
      </c>
      <c r="W63" s="1219">
        <v>0</v>
      </c>
      <c r="X63" s="1219">
        <v>0</v>
      </c>
      <c r="Y63" s="1219">
        <v>0</v>
      </c>
      <c r="Z63" s="1219">
        <v>0</v>
      </c>
      <c r="AA63" s="1219">
        <v>0</v>
      </c>
      <c r="AB63" s="1219">
        <v>0</v>
      </c>
      <c r="AC63" s="1219">
        <v>0</v>
      </c>
      <c r="AD63" s="1219">
        <v>0</v>
      </c>
      <c r="AE63" s="1219">
        <v>0</v>
      </c>
      <c r="AF63" s="1219">
        <v>0</v>
      </c>
      <c r="AG63" s="1219">
        <v>0</v>
      </c>
      <c r="AH63" s="1219">
        <v>2229311.9563391977</v>
      </c>
      <c r="AI63" s="1219">
        <v>0</v>
      </c>
      <c r="AJ63" s="1219">
        <v>0</v>
      </c>
      <c r="AK63" s="1219">
        <v>0</v>
      </c>
      <c r="AL63" s="1219">
        <v>0</v>
      </c>
      <c r="AM63" s="1219">
        <v>0</v>
      </c>
      <c r="AN63" s="1219">
        <v>0</v>
      </c>
      <c r="AO63" s="1219">
        <v>0</v>
      </c>
      <c r="AP63" s="1219">
        <v>0</v>
      </c>
      <c r="AQ63" s="1219">
        <v>0</v>
      </c>
      <c r="AR63" s="1219">
        <v>0</v>
      </c>
      <c r="AS63" s="1219">
        <v>0</v>
      </c>
      <c r="AT63" s="1219">
        <v>0</v>
      </c>
      <c r="AU63" s="1219">
        <v>0</v>
      </c>
      <c r="AV63" s="1219"/>
      <c r="AW63" s="1219">
        <v>0</v>
      </c>
      <c r="AX63" s="1219">
        <v>0</v>
      </c>
      <c r="AY63" s="1219">
        <v>0</v>
      </c>
      <c r="AZ63" s="1219">
        <v>0</v>
      </c>
      <c r="BA63" s="802">
        <f t="shared" si="0"/>
        <v>2229311.9563391977</v>
      </c>
      <c r="BB63" s="1309"/>
    </row>
    <row r="64" spans="1:54">
      <c r="A64" s="1310" t="s">
        <v>1060</v>
      </c>
      <c r="B64" s="1218" t="s">
        <v>1061</v>
      </c>
      <c r="C64" s="1385" t="s">
        <v>824</v>
      </c>
      <c r="D64" s="1219">
        <v>0</v>
      </c>
      <c r="E64" s="1219">
        <v>0</v>
      </c>
      <c r="F64" s="1219">
        <v>0</v>
      </c>
      <c r="G64" s="1219">
        <v>0</v>
      </c>
      <c r="H64" s="1219">
        <v>0</v>
      </c>
      <c r="I64" s="1219">
        <v>0</v>
      </c>
      <c r="J64" s="1219">
        <v>0</v>
      </c>
      <c r="K64" s="1219">
        <v>0</v>
      </c>
      <c r="L64" s="1219">
        <v>0</v>
      </c>
      <c r="M64" s="1219">
        <v>0</v>
      </c>
      <c r="N64" s="1219">
        <v>0</v>
      </c>
      <c r="O64" s="1219">
        <v>0</v>
      </c>
      <c r="P64" s="1219">
        <v>0</v>
      </c>
      <c r="Q64" s="1219">
        <v>0</v>
      </c>
      <c r="R64" s="1219">
        <v>0</v>
      </c>
      <c r="S64" s="1219">
        <v>0</v>
      </c>
      <c r="T64" s="1219">
        <v>0</v>
      </c>
      <c r="U64" s="1219">
        <v>0</v>
      </c>
      <c r="V64" s="1219">
        <v>0</v>
      </c>
      <c r="W64" s="1219">
        <v>0</v>
      </c>
      <c r="X64" s="1219">
        <v>0</v>
      </c>
      <c r="Y64" s="1219">
        <v>0</v>
      </c>
      <c r="Z64" s="1219">
        <v>0</v>
      </c>
      <c r="AA64" s="1219">
        <v>0</v>
      </c>
      <c r="AB64" s="1219">
        <v>0</v>
      </c>
      <c r="AC64" s="1219">
        <v>0</v>
      </c>
      <c r="AD64" s="1219">
        <v>0</v>
      </c>
      <c r="AE64" s="1219">
        <v>0</v>
      </c>
      <c r="AF64" s="1219">
        <v>0</v>
      </c>
      <c r="AG64" s="1219">
        <v>0</v>
      </c>
      <c r="AH64" s="1219">
        <v>8035310.8400000017</v>
      </c>
      <c r="AI64" s="1219">
        <v>0</v>
      </c>
      <c r="AJ64" s="1219">
        <v>0</v>
      </c>
      <c r="AK64" s="1219">
        <v>0</v>
      </c>
      <c r="AL64" s="1219">
        <v>0</v>
      </c>
      <c r="AM64" s="1219">
        <v>0</v>
      </c>
      <c r="AN64" s="1219">
        <v>0</v>
      </c>
      <c r="AO64" s="1219">
        <v>0</v>
      </c>
      <c r="AP64" s="1219">
        <v>0</v>
      </c>
      <c r="AQ64" s="1219">
        <v>0</v>
      </c>
      <c r="AR64" s="1219">
        <v>0</v>
      </c>
      <c r="AS64" s="1219">
        <v>0</v>
      </c>
      <c r="AT64" s="1219">
        <v>0</v>
      </c>
      <c r="AU64" s="1219">
        <v>0</v>
      </c>
      <c r="AV64" s="1219"/>
      <c r="AW64" s="1219">
        <v>0</v>
      </c>
      <c r="AX64" s="1219">
        <v>0</v>
      </c>
      <c r="AY64" s="1219">
        <v>0</v>
      </c>
      <c r="AZ64" s="1219">
        <v>0</v>
      </c>
      <c r="BA64" s="802">
        <f t="shared" si="0"/>
        <v>8035310.8400000017</v>
      </c>
      <c r="BB64" s="1309"/>
    </row>
    <row r="65" spans="1:54">
      <c r="A65" s="1310" t="s">
        <v>1062</v>
      </c>
      <c r="B65" s="1218"/>
      <c r="C65" s="1385" t="s">
        <v>820</v>
      </c>
      <c r="D65" s="1219">
        <v>0</v>
      </c>
      <c r="E65" s="1219">
        <v>0</v>
      </c>
      <c r="F65" s="1219">
        <v>0</v>
      </c>
      <c r="G65" s="1219">
        <v>0</v>
      </c>
      <c r="H65" s="1219">
        <v>0</v>
      </c>
      <c r="I65" s="1219">
        <v>0</v>
      </c>
      <c r="J65" s="1219">
        <v>0</v>
      </c>
      <c r="K65" s="1219">
        <v>0</v>
      </c>
      <c r="L65" s="1219">
        <v>0</v>
      </c>
      <c r="M65" s="1219">
        <v>0</v>
      </c>
      <c r="N65" s="1219">
        <v>0</v>
      </c>
      <c r="O65" s="1219">
        <v>0</v>
      </c>
      <c r="P65" s="1219">
        <v>0</v>
      </c>
      <c r="Q65" s="1219">
        <v>0</v>
      </c>
      <c r="R65" s="1219">
        <v>0</v>
      </c>
      <c r="S65" s="1219">
        <v>0</v>
      </c>
      <c r="T65" s="1219">
        <v>0</v>
      </c>
      <c r="U65" s="1219">
        <v>0</v>
      </c>
      <c r="V65" s="1219">
        <v>0</v>
      </c>
      <c r="W65" s="1219">
        <v>0</v>
      </c>
      <c r="X65" s="1219">
        <v>0</v>
      </c>
      <c r="Y65" s="1219">
        <v>0</v>
      </c>
      <c r="Z65" s="1219">
        <v>0</v>
      </c>
      <c r="AA65" s="1219">
        <v>0</v>
      </c>
      <c r="AB65" s="1219">
        <v>0</v>
      </c>
      <c r="AC65" s="1219">
        <v>0</v>
      </c>
      <c r="AD65" s="1219">
        <v>0</v>
      </c>
      <c r="AE65" s="1219">
        <v>0</v>
      </c>
      <c r="AF65" s="1219">
        <v>0</v>
      </c>
      <c r="AG65" s="1219">
        <v>0</v>
      </c>
      <c r="AH65" s="1219">
        <v>646489.25263206393</v>
      </c>
      <c r="AI65" s="1219">
        <v>0</v>
      </c>
      <c r="AJ65" s="1219">
        <v>0</v>
      </c>
      <c r="AK65" s="1219">
        <v>0</v>
      </c>
      <c r="AL65" s="1219">
        <v>0</v>
      </c>
      <c r="AM65" s="1219">
        <v>0</v>
      </c>
      <c r="AN65" s="1219">
        <v>0</v>
      </c>
      <c r="AO65" s="1219">
        <v>0</v>
      </c>
      <c r="AP65" s="1219">
        <v>0</v>
      </c>
      <c r="AQ65" s="1219">
        <v>0</v>
      </c>
      <c r="AR65" s="1219">
        <v>0</v>
      </c>
      <c r="AS65" s="1219">
        <v>0</v>
      </c>
      <c r="AT65" s="1219">
        <v>0</v>
      </c>
      <c r="AU65" s="1219">
        <v>0</v>
      </c>
      <c r="AV65" s="1219"/>
      <c r="AW65" s="1219">
        <v>0</v>
      </c>
      <c r="AX65" s="1219">
        <v>0</v>
      </c>
      <c r="AY65" s="1219">
        <v>0</v>
      </c>
      <c r="AZ65" s="1219">
        <v>0</v>
      </c>
      <c r="BA65" s="802">
        <f t="shared" si="0"/>
        <v>646489.25263206393</v>
      </c>
      <c r="BB65" s="1309"/>
    </row>
    <row r="66" spans="1:54">
      <c r="A66" s="1310" t="s">
        <v>1063</v>
      </c>
      <c r="B66" s="1218" t="s">
        <v>1064</v>
      </c>
      <c r="C66" s="1385" t="s">
        <v>822</v>
      </c>
      <c r="D66" s="1219">
        <v>0</v>
      </c>
      <c r="E66" s="1219">
        <v>0</v>
      </c>
      <c r="F66" s="1219">
        <v>0</v>
      </c>
      <c r="G66" s="1219">
        <v>0</v>
      </c>
      <c r="H66" s="1219">
        <v>0</v>
      </c>
      <c r="I66" s="1219">
        <v>0</v>
      </c>
      <c r="J66" s="1219">
        <v>0</v>
      </c>
      <c r="K66" s="1219">
        <v>0</v>
      </c>
      <c r="L66" s="1219">
        <v>0</v>
      </c>
      <c r="M66" s="1219">
        <v>0</v>
      </c>
      <c r="N66" s="1219">
        <v>0</v>
      </c>
      <c r="O66" s="1219">
        <v>0</v>
      </c>
      <c r="P66" s="1219">
        <v>0</v>
      </c>
      <c r="Q66" s="1219">
        <v>0</v>
      </c>
      <c r="R66" s="1219">
        <v>0</v>
      </c>
      <c r="S66" s="1219">
        <v>0</v>
      </c>
      <c r="T66" s="1219">
        <v>0</v>
      </c>
      <c r="U66" s="1219">
        <v>0</v>
      </c>
      <c r="V66" s="1219">
        <v>0</v>
      </c>
      <c r="W66" s="1219">
        <v>0</v>
      </c>
      <c r="X66" s="1219">
        <v>0</v>
      </c>
      <c r="Y66" s="1219">
        <v>0</v>
      </c>
      <c r="Z66" s="1219">
        <v>0</v>
      </c>
      <c r="AA66" s="1219">
        <v>0</v>
      </c>
      <c r="AB66" s="1219">
        <v>0</v>
      </c>
      <c r="AC66" s="1219">
        <v>0</v>
      </c>
      <c r="AD66" s="1219">
        <v>0</v>
      </c>
      <c r="AE66" s="1219">
        <v>0</v>
      </c>
      <c r="AF66" s="1219">
        <v>0</v>
      </c>
      <c r="AG66" s="1219">
        <v>0</v>
      </c>
      <c r="AH66" s="1219">
        <v>12457505.882208694</v>
      </c>
      <c r="AI66" s="1219">
        <v>0</v>
      </c>
      <c r="AJ66" s="1219">
        <v>0</v>
      </c>
      <c r="AK66" s="1219">
        <v>0</v>
      </c>
      <c r="AL66" s="1219">
        <v>0</v>
      </c>
      <c r="AM66" s="1219">
        <v>0</v>
      </c>
      <c r="AN66" s="1219">
        <v>0</v>
      </c>
      <c r="AO66" s="1219">
        <v>0</v>
      </c>
      <c r="AP66" s="1219">
        <v>0</v>
      </c>
      <c r="AQ66" s="1219">
        <v>0</v>
      </c>
      <c r="AR66" s="1219">
        <v>0</v>
      </c>
      <c r="AS66" s="1219">
        <v>0</v>
      </c>
      <c r="AT66" s="1219">
        <v>0</v>
      </c>
      <c r="AU66" s="1219">
        <v>0</v>
      </c>
      <c r="AV66" s="1219"/>
      <c r="AW66" s="1219">
        <v>0</v>
      </c>
      <c r="AX66" s="1219">
        <v>0</v>
      </c>
      <c r="AY66" s="1219">
        <v>0</v>
      </c>
      <c r="AZ66" s="1219">
        <v>0</v>
      </c>
      <c r="BA66" s="802">
        <f t="shared" si="0"/>
        <v>12457505.882208694</v>
      </c>
      <c r="BB66" s="1309"/>
    </row>
    <row r="67" spans="1:54">
      <c r="A67" s="1310" t="s">
        <v>1065</v>
      </c>
      <c r="B67" s="1218" t="s">
        <v>1066</v>
      </c>
      <c r="C67" s="1385" t="s">
        <v>828</v>
      </c>
      <c r="D67" s="1219">
        <v>0</v>
      </c>
      <c r="E67" s="1219">
        <v>0</v>
      </c>
      <c r="F67" s="1219">
        <v>0</v>
      </c>
      <c r="G67" s="1219">
        <v>0</v>
      </c>
      <c r="H67" s="1219">
        <v>0</v>
      </c>
      <c r="I67" s="1219">
        <v>0</v>
      </c>
      <c r="J67" s="1219">
        <v>0</v>
      </c>
      <c r="K67" s="1219">
        <v>0</v>
      </c>
      <c r="L67" s="1219">
        <v>0</v>
      </c>
      <c r="M67" s="1219">
        <v>0</v>
      </c>
      <c r="N67" s="1219">
        <v>0</v>
      </c>
      <c r="O67" s="1219">
        <v>0</v>
      </c>
      <c r="P67" s="1219">
        <v>0</v>
      </c>
      <c r="Q67" s="1219">
        <v>0</v>
      </c>
      <c r="R67" s="1219">
        <v>0</v>
      </c>
      <c r="S67" s="1219">
        <v>0</v>
      </c>
      <c r="T67" s="1219">
        <v>0</v>
      </c>
      <c r="U67" s="1219">
        <v>0</v>
      </c>
      <c r="V67" s="1219">
        <v>0</v>
      </c>
      <c r="W67" s="1219">
        <v>0</v>
      </c>
      <c r="X67" s="1219">
        <v>0</v>
      </c>
      <c r="Y67" s="1219">
        <v>0</v>
      </c>
      <c r="Z67" s="1219">
        <v>0</v>
      </c>
      <c r="AA67" s="1219">
        <v>0</v>
      </c>
      <c r="AB67" s="1219">
        <v>0</v>
      </c>
      <c r="AC67" s="1219">
        <v>0</v>
      </c>
      <c r="AD67" s="1219">
        <v>0</v>
      </c>
      <c r="AE67" s="1219">
        <v>0</v>
      </c>
      <c r="AF67" s="1219">
        <v>0</v>
      </c>
      <c r="AG67" s="1219">
        <v>0</v>
      </c>
      <c r="AH67" s="1219">
        <v>5060479.7300000004</v>
      </c>
      <c r="AI67" s="1219">
        <v>0</v>
      </c>
      <c r="AJ67" s="1219">
        <v>0</v>
      </c>
      <c r="AK67" s="1219">
        <v>0</v>
      </c>
      <c r="AL67" s="1219">
        <v>0</v>
      </c>
      <c r="AM67" s="1219">
        <v>0</v>
      </c>
      <c r="AN67" s="1219">
        <v>0</v>
      </c>
      <c r="AO67" s="1219">
        <v>0</v>
      </c>
      <c r="AP67" s="1219">
        <v>0</v>
      </c>
      <c r="AQ67" s="1219">
        <v>0</v>
      </c>
      <c r="AR67" s="1219">
        <v>0</v>
      </c>
      <c r="AS67" s="1219">
        <v>0</v>
      </c>
      <c r="AT67" s="1219">
        <v>0</v>
      </c>
      <c r="AU67" s="1219">
        <v>0</v>
      </c>
      <c r="AV67" s="1219"/>
      <c r="AW67" s="1219">
        <v>0</v>
      </c>
      <c r="AX67" s="1219">
        <v>0</v>
      </c>
      <c r="AY67" s="1219">
        <v>0</v>
      </c>
      <c r="AZ67" s="1219">
        <v>0</v>
      </c>
      <c r="BA67" s="802">
        <f t="shared" si="0"/>
        <v>5060479.7300000004</v>
      </c>
      <c r="BB67" s="1309"/>
    </row>
    <row r="68" spans="1:54">
      <c r="A68" s="1310" t="s">
        <v>1067</v>
      </c>
      <c r="B68" s="1218"/>
      <c r="C68" s="1216" t="s">
        <v>832</v>
      </c>
      <c r="D68" s="1219">
        <v>0</v>
      </c>
      <c r="E68" s="1219">
        <v>0</v>
      </c>
      <c r="F68" s="1219">
        <v>0</v>
      </c>
      <c r="G68" s="1219">
        <v>0</v>
      </c>
      <c r="H68" s="1219">
        <v>0</v>
      </c>
      <c r="I68" s="1219">
        <v>0</v>
      </c>
      <c r="J68" s="1219">
        <v>0</v>
      </c>
      <c r="K68" s="1219">
        <v>0</v>
      </c>
      <c r="L68" s="1219">
        <v>0</v>
      </c>
      <c r="M68" s="1219">
        <v>0</v>
      </c>
      <c r="N68" s="1219">
        <v>0</v>
      </c>
      <c r="O68" s="1219">
        <v>0</v>
      </c>
      <c r="P68" s="1219">
        <v>0</v>
      </c>
      <c r="Q68" s="1219">
        <v>0</v>
      </c>
      <c r="R68" s="1219">
        <v>0</v>
      </c>
      <c r="S68" s="1219">
        <v>0</v>
      </c>
      <c r="T68" s="1219">
        <v>0</v>
      </c>
      <c r="U68" s="1219">
        <v>0</v>
      </c>
      <c r="V68" s="1219">
        <v>0</v>
      </c>
      <c r="W68" s="1219">
        <v>0</v>
      </c>
      <c r="X68" s="1219">
        <v>0</v>
      </c>
      <c r="Y68" s="1219">
        <v>0</v>
      </c>
      <c r="Z68" s="1219">
        <v>0</v>
      </c>
      <c r="AA68" s="1219">
        <v>0</v>
      </c>
      <c r="AB68" s="1219">
        <v>0</v>
      </c>
      <c r="AC68" s="1219">
        <v>0</v>
      </c>
      <c r="AD68" s="1219">
        <v>0</v>
      </c>
      <c r="AE68" s="1219">
        <v>0</v>
      </c>
      <c r="AF68" s="1219">
        <v>0</v>
      </c>
      <c r="AG68" s="1219">
        <v>0</v>
      </c>
      <c r="AH68" s="1219">
        <v>0</v>
      </c>
      <c r="AI68" s="1219">
        <v>0</v>
      </c>
      <c r="AJ68" s="1219">
        <v>0</v>
      </c>
      <c r="AK68" s="1219">
        <v>0</v>
      </c>
      <c r="AL68" s="1219">
        <v>0</v>
      </c>
      <c r="AM68" s="1219">
        <v>0</v>
      </c>
      <c r="AN68" s="1219">
        <v>0</v>
      </c>
      <c r="AO68" s="1219">
        <v>0</v>
      </c>
      <c r="AP68" s="1219">
        <v>0</v>
      </c>
      <c r="AQ68" s="1219">
        <v>0</v>
      </c>
      <c r="AR68" s="1219">
        <v>0</v>
      </c>
      <c r="AS68" s="1219">
        <v>0</v>
      </c>
      <c r="AT68" s="1219">
        <v>0</v>
      </c>
      <c r="AU68" s="1219">
        <v>0</v>
      </c>
      <c r="AV68" s="1219"/>
      <c r="AW68" s="1219">
        <v>0</v>
      </c>
      <c r="AX68" s="1219">
        <v>0</v>
      </c>
      <c r="AY68" s="1219">
        <v>0</v>
      </c>
      <c r="AZ68" s="1219">
        <v>0</v>
      </c>
      <c r="BA68" s="802">
        <f t="shared" si="0"/>
        <v>0</v>
      </c>
      <c r="BB68" s="1309"/>
    </row>
    <row r="69" spans="1:54">
      <c r="A69" s="1310" t="s">
        <v>1068</v>
      </c>
      <c r="B69" s="1218" t="s">
        <v>1069</v>
      </c>
      <c r="C69" s="1216" t="s">
        <v>834</v>
      </c>
      <c r="D69" s="1219">
        <v>0</v>
      </c>
      <c r="E69" s="1219">
        <v>0</v>
      </c>
      <c r="F69" s="1219">
        <v>0</v>
      </c>
      <c r="G69" s="1219">
        <v>0</v>
      </c>
      <c r="H69" s="1219">
        <v>0</v>
      </c>
      <c r="I69" s="1219">
        <v>0</v>
      </c>
      <c r="J69" s="1219">
        <v>0</v>
      </c>
      <c r="K69" s="1219">
        <v>0</v>
      </c>
      <c r="L69" s="1219">
        <v>0</v>
      </c>
      <c r="M69" s="1219">
        <v>0</v>
      </c>
      <c r="N69" s="1219">
        <v>0</v>
      </c>
      <c r="O69" s="1219">
        <v>0</v>
      </c>
      <c r="P69" s="1219">
        <v>0</v>
      </c>
      <c r="Q69" s="1219">
        <v>0</v>
      </c>
      <c r="R69" s="1219">
        <v>0</v>
      </c>
      <c r="S69" s="1219">
        <v>0</v>
      </c>
      <c r="T69" s="1219">
        <v>0</v>
      </c>
      <c r="U69" s="1219">
        <v>0</v>
      </c>
      <c r="V69" s="1219">
        <v>0</v>
      </c>
      <c r="W69" s="1219">
        <v>0</v>
      </c>
      <c r="X69" s="1219">
        <v>0</v>
      </c>
      <c r="Y69" s="1219">
        <v>0</v>
      </c>
      <c r="Z69" s="1219">
        <v>0</v>
      </c>
      <c r="AA69" s="1219">
        <v>0</v>
      </c>
      <c r="AB69" s="1219">
        <v>0</v>
      </c>
      <c r="AC69" s="1219">
        <v>0</v>
      </c>
      <c r="AD69" s="1219">
        <v>0</v>
      </c>
      <c r="AE69" s="1219">
        <v>0</v>
      </c>
      <c r="AF69" s="1219">
        <v>0</v>
      </c>
      <c r="AG69" s="1219">
        <v>0</v>
      </c>
      <c r="AH69" s="1219">
        <v>0</v>
      </c>
      <c r="AI69" s="1219">
        <v>0</v>
      </c>
      <c r="AJ69" s="1219">
        <v>0</v>
      </c>
      <c r="AK69" s="1219">
        <v>0</v>
      </c>
      <c r="AL69" s="1219">
        <v>0</v>
      </c>
      <c r="AM69" s="1219">
        <v>0</v>
      </c>
      <c r="AN69" s="1219">
        <v>0</v>
      </c>
      <c r="AO69" s="1219">
        <v>1833444.3599999999</v>
      </c>
      <c r="AP69" s="1219">
        <v>181746.93</v>
      </c>
      <c r="AQ69" s="1219">
        <v>0</v>
      </c>
      <c r="AR69" s="1219">
        <v>0</v>
      </c>
      <c r="AS69" s="1219">
        <v>0</v>
      </c>
      <c r="AT69" s="1219">
        <v>0</v>
      </c>
      <c r="AU69" s="1219">
        <v>0</v>
      </c>
      <c r="AV69" s="1219"/>
      <c r="AW69" s="1219">
        <v>0</v>
      </c>
      <c r="AX69" s="1219">
        <v>0</v>
      </c>
      <c r="AY69" s="1219">
        <v>0</v>
      </c>
      <c r="AZ69" s="1219">
        <v>1471326.6900000002</v>
      </c>
      <c r="BA69" s="802">
        <f t="shared" si="0"/>
        <v>3486517.98</v>
      </c>
      <c r="BB69" s="1309"/>
    </row>
    <row r="70" spans="1:54">
      <c r="A70" s="1310" t="s">
        <v>1070</v>
      </c>
      <c r="B70" s="1218" t="s">
        <v>1071</v>
      </c>
      <c r="C70" s="1216" t="s">
        <v>830</v>
      </c>
      <c r="D70" s="1219">
        <v>0</v>
      </c>
      <c r="E70" s="1219">
        <v>0</v>
      </c>
      <c r="F70" s="1219">
        <v>0</v>
      </c>
      <c r="G70" s="1219">
        <v>0</v>
      </c>
      <c r="H70" s="1219">
        <v>0</v>
      </c>
      <c r="I70" s="1219">
        <v>0</v>
      </c>
      <c r="J70" s="1219">
        <v>0</v>
      </c>
      <c r="K70" s="1219">
        <v>0</v>
      </c>
      <c r="L70" s="1219">
        <v>0</v>
      </c>
      <c r="M70" s="1219">
        <v>0</v>
      </c>
      <c r="N70" s="1219">
        <v>0</v>
      </c>
      <c r="O70" s="1219">
        <v>0</v>
      </c>
      <c r="P70" s="1219">
        <v>0</v>
      </c>
      <c r="Q70" s="1219">
        <v>0</v>
      </c>
      <c r="R70" s="1219">
        <v>0</v>
      </c>
      <c r="S70" s="1219">
        <v>0</v>
      </c>
      <c r="T70" s="1219">
        <v>0</v>
      </c>
      <c r="U70" s="1219">
        <v>0</v>
      </c>
      <c r="V70" s="1219">
        <v>0</v>
      </c>
      <c r="W70" s="1219">
        <v>0</v>
      </c>
      <c r="X70" s="1219">
        <v>0</v>
      </c>
      <c r="Y70" s="1219">
        <v>0</v>
      </c>
      <c r="Z70" s="1219">
        <v>0</v>
      </c>
      <c r="AA70" s="1219">
        <v>0</v>
      </c>
      <c r="AB70" s="1219">
        <v>0</v>
      </c>
      <c r="AC70" s="1219">
        <v>0</v>
      </c>
      <c r="AD70" s="1219">
        <v>0</v>
      </c>
      <c r="AE70" s="1219">
        <v>0</v>
      </c>
      <c r="AF70" s="1219">
        <v>0</v>
      </c>
      <c r="AG70" s="1219">
        <v>0</v>
      </c>
      <c r="AH70" s="1219">
        <v>-48392.54</v>
      </c>
      <c r="AI70" s="1219">
        <v>0</v>
      </c>
      <c r="AJ70" s="1219">
        <v>0</v>
      </c>
      <c r="AK70" s="1219">
        <v>0</v>
      </c>
      <c r="AL70" s="1219">
        <v>0</v>
      </c>
      <c r="AM70" s="1219">
        <v>19685241.659999996</v>
      </c>
      <c r="AN70" s="1219">
        <v>62185120.890000001</v>
      </c>
      <c r="AO70" s="1219">
        <v>0</v>
      </c>
      <c r="AP70" s="1219">
        <v>0</v>
      </c>
      <c r="AQ70" s="1219">
        <v>0</v>
      </c>
      <c r="AR70" s="1219">
        <v>0</v>
      </c>
      <c r="AS70" s="1219">
        <v>0</v>
      </c>
      <c r="AT70" s="1219">
        <v>0</v>
      </c>
      <c r="AU70" s="1219">
        <v>1623140.4500000007</v>
      </c>
      <c r="AV70" s="1219"/>
      <c r="AW70" s="1219">
        <v>0</v>
      </c>
      <c r="AX70" s="1219">
        <v>0</v>
      </c>
      <c r="AY70" s="1219">
        <v>6847176.1500000004</v>
      </c>
      <c r="AZ70" s="1219">
        <v>0</v>
      </c>
      <c r="BA70" s="802">
        <f t="shared" si="0"/>
        <v>90292286.609999999</v>
      </c>
      <c r="BB70" s="1309"/>
    </row>
    <row r="71" spans="1:54">
      <c r="A71" s="1310" t="s">
        <v>1072</v>
      </c>
      <c r="B71" s="1218" t="s">
        <v>1071</v>
      </c>
      <c r="C71" s="1216" t="s">
        <v>1073</v>
      </c>
      <c r="D71" s="1219">
        <v>0</v>
      </c>
      <c r="E71" s="1219">
        <v>0</v>
      </c>
      <c r="F71" s="1219">
        <v>0</v>
      </c>
      <c r="G71" s="1219">
        <v>0</v>
      </c>
      <c r="H71" s="1219">
        <v>0</v>
      </c>
      <c r="I71" s="1219">
        <v>0</v>
      </c>
      <c r="J71" s="1219">
        <v>0</v>
      </c>
      <c r="K71" s="1219">
        <v>0</v>
      </c>
      <c r="L71" s="1219">
        <v>0</v>
      </c>
      <c r="M71" s="1219">
        <v>0</v>
      </c>
      <c r="N71" s="1219">
        <v>0</v>
      </c>
      <c r="O71" s="1219">
        <v>0</v>
      </c>
      <c r="P71" s="1219">
        <v>0</v>
      </c>
      <c r="Q71" s="1219">
        <v>0</v>
      </c>
      <c r="R71" s="1219">
        <v>0</v>
      </c>
      <c r="S71" s="1219">
        <v>0</v>
      </c>
      <c r="T71" s="1219">
        <v>0</v>
      </c>
      <c r="U71" s="1219">
        <v>0</v>
      </c>
      <c r="V71" s="1219">
        <v>0</v>
      </c>
      <c r="W71" s="1219">
        <v>0</v>
      </c>
      <c r="X71" s="1219">
        <v>0</v>
      </c>
      <c r="Y71" s="1219">
        <v>0</v>
      </c>
      <c r="Z71" s="1219">
        <v>0</v>
      </c>
      <c r="AA71" s="1219">
        <v>0</v>
      </c>
      <c r="AB71" s="1219">
        <v>0</v>
      </c>
      <c r="AC71" s="1219">
        <v>0</v>
      </c>
      <c r="AD71" s="1219">
        <v>0</v>
      </c>
      <c r="AE71" s="1219">
        <v>0</v>
      </c>
      <c r="AF71" s="1219">
        <v>0</v>
      </c>
      <c r="AG71" s="1219">
        <v>0</v>
      </c>
      <c r="AH71" s="1219">
        <v>0</v>
      </c>
      <c r="AI71" s="1219">
        <v>0</v>
      </c>
      <c r="AJ71" s="1219">
        <v>0</v>
      </c>
      <c r="AK71" s="1219">
        <v>0</v>
      </c>
      <c r="AL71" s="1219">
        <v>0</v>
      </c>
      <c r="AM71" s="1219">
        <v>0</v>
      </c>
      <c r="AN71" s="1219">
        <v>37958511.670000002</v>
      </c>
      <c r="AO71" s="1219">
        <v>1943750.97</v>
      </c>
      <c r="AP71" s="1219">
        <v>0</v>
      </c>
      <c r="AQ71" s="1219">
        <v>0</v>
      </c>
      <c r="AR71" s="1219">
        <v>0</v>
      </c>
      <c r="AS71" s="1219">
        <v>147224</v>
      </c>
      <c r="AT71" s="1219">
        <v>0</v>
      </c>
      <c r="AU71" s="1219">
        <v>110284.2</v>
      </c>
      <c r="AV71" s="1219"/>
      <c r="AW71" s="1219">
        <v>0</v>
      </c>
      <c r="AX71" s="1219">
        <v>0</v>
      </c>
      <c r="AY71" s="1219">
        <v>0</v>
      </c>
      <c r="AZ71" s="1219">
        <v>0</v>
      </c>
      <c r="BA71" s="802">
        <f t="shared" si="0"/>
        <v>40159770.840000004</v>
      </c>
      <c r="BB71" s="1309"/>
    </row>
    <row r="72" spans="1:54" ht="15" thickBot="1">
      <c r="A72" s="1317" t="s">
        <v>146</v>
      </c>
      <c r="B72" s="803"/>
      <c r="C72" s="803" t="s">
        <v>768</v>
      </c>
      <c r="D72" s="1219">
        <v>0</v>
      </c>
      <c r="E72" s="1219">
        <v>0</v>
      </c>
      <c r="F72" s="1219">
        <v>0</v>
      </c>
      <c r="G72" s="1219">
        <v>0</v>
      </c>
      <c r="H72" s="1219">
        <v>0</v>
      </c>
      <c r="I72" s="1219">
        <v>0</v>
      </c>
      <c r="J72" s="1219">
        <v>0</v>
      </c>
      <c r="K72" s="1219">
        <v>0</v>
      </c>
      <c r="L72" s="1219">
        <v>0</v>
      </c>
      <c r="M72" s="1219">
        <v>0</v>
      </c>
      <c r="N72" s="1219">
        <v>0</v>
      </c>
      <c r="O72" s="1219">
        <v>0</v>
      </c>
      <c r="P72" s="1219">
        <v>0</v>
      </c>
      <c r="Q72" s="1219">
        <v>0</v>
      </c>
      <c r="R72" s="1219">
        <v>0</v>
      </c>
      <c r="S72" s="1219">
        <v>0</v>
      </c>
      <c r="T72" s="1219">
        <v>0</v>
      </c>
      <c r="U72" s="1219">
        <v>0</v>
      </c>
      <c r="V72" s="1219">
        <v>0</v>
      </c>
      <c r="W72" s="1219">
        <v>0</v>
      </c>
      <c r="X72" s="1219">
        <v>0</v>
      </c>
      <c r="Y72" s="1219">
        <v>0</v>
      </c>
      <c r="Z72" s="1219">
        <v>0</v>
      </c>
      <c r="AA72" s="1219">
        <v>0</v>
      </c>
      <c r="AB72" s="1219">
        <v>0</v>
      </c>
      <c r="AC72" s="1219">
        <v>0</v>
      </c>
      <c r="AD72" s="1219">
        <v>0</v>
      </c>
      <c r="AE72" s="1219">
        <v>0</v>
      </c>
      <c r="AF72" s="1219">
        <v>0</v>
      </c>
      <c r="AG72" s="1219">
        <v>0</v>
      </c>
      <c r="AH72" s="1219">
        <v>0</v>
      </c>
      <c r="AI72" s="1219">
        <v>0</v>
      </c>
      <c r="AJ72" s="1219">
        <v>0</v>
      </c>
      <c r="AK72" s="1219">
        <v>0</v>
      </c>
      <c r="AL72" s="1219">
        <v>0</v>
      </c>
      <c r="AM72" s="1219">
        <v>0</v>
      </c>
      <c r="AN72" s="1219">
        <v>0</v>
      </c>
      <c r="AO72" s="1219">
        <v>0</v>
      </c>
      <c r="AP72" s="1219">
        <v>0</v>
      </c>
      <c r="AQ72" s="1219">
        <v>0</v>
      </c>
      <c r="AR72" s="1219">
        <v>0</v>
      </c>
      <c r="AS72" s="1219">
        <v>0</v>
      </c>
      <c r="AT72" s="1219">
        <v>0</v>
      </c>
      <c r="AU72" s="1219">
        <v>0</v>
      </c>
      <c r="AV72" s="1219"/>
      <c r="AW72" s="1219">
        <v>0</v>
      </c>
      <c r="AX72" s="1219">
        <v>0</v>
      </c>
      <c r="AY72" s="1219">
        <v>0</v>
      </c>
      <c r="AZ72" s="1219">
        <v>0</v>
      </c>
      <c r="BA72" s="802">
        <f t="shared" si="0"/>
        <v>0</v>
      </c>
      <c r="BB72" s="1309"/>
    </row>
    <row r="73" spans="1:54" ht="15" thickBot="1">
      <c r="A73" s="1310">
        <v>2</v>
      </c>
      <c r="B73" s="805"/>
      <c r="C73" s="1386" t="s">
        <v>796</v>
      </c>
      <c r="D73" s="804"/>
      <c r="E73" s="804"/>
      <c r="F73" s="804"/>
      <c r="G73" s="804"/>
      <c r="H73" s="804"/>
      <c r="I73" s="804"/>
      <c r="J73" s="804"/>
      <c r="K73" s="804"/>
      <c r="L73" s="804"/>
      <c r="M73" s="804"/>
      <c r="N73" s="804"/>
      <c r="O73" s="804"/>
      <c r="P73" s="804"/>
      <c r="Q73" s="804"/>
      <c r="R73" s="804"/>
      <c r="S73" s="804"/>
      <c r="T73" s="804"/>
      <c r="U73" s="804"/>
      <c r="V73" s="804"/>
      <c r="W73" s="804"/>
      <c r="X73" s="804"/>
      <c r="Y73" s="804"/>
      <c r="Z73" s="804"/>
      <c r="AA73" s="804"/>
      <c r="AB73" s="804"/>
      <c r="AC73" s="804"/>
      <c r="AD73" s="804"/>
      <c r="AE73" s="804"/>
      <c r="AF73" s="804"/>
      <c r="AG73" s="804"/>
      <c r="AH73" s="31">
        <v>0</v>
      </c>
      <c r="AI73" s="804"/>
      <c r="AJ73" s="804"/>
      <c r="AK73" s="804"/>
      <c r="AL73" s="804"/>
      <c r="AM73" s="31">
        <v>0</v>
      </c>
      <c r="AN73" s="804"/>
      <c r="AO73" s="804"/>
      <c r="AP73" s="804"/>
      <c r="AQ73" s="804"/>
      <c r="AR73" s="804"/>
      <c r="AS73" s="804"/>
      <c r="AT73" s="804"/>
      <c r="AU73" s="804"/>
      <c r="AV73" s="804"/>
      <c r="AW73" s="1219">
        <v>0</v>
      </c>
      <c r="AX73" s="1219">
        <v>0</v>
      </c>
      <c r="AY73" s="804"/>
      <c r="AZ73" s="804"/>
      <c r="BA73" s="802">
        <f>SUM(D73:AZ73)</f>
        <v>0</v>
      </c>
      <c r="BB73" s="1309"/>
    </row>
    <row r="74" spans="1:54">
      <c r="A74" s="1310"/>
      <c r="B74" s="805"/>
      <c r="C74" s="805"/>
      <c r="D74" s="806"/>
      <c r="E74" s="806"/>
      <c r="F74" s="806"/>
      <c r="G74" s="807"/>
      <c r="H74" s="807"/>
      <c r="I74" s="807"/>
      <c r="J74" s="807"/>
      <c r="K74" s="807"/>
      <c r="L74" s="807"/>
      <c r="M74" s="807"/>
      <c r="N74" s="807"/>
      <c r="O74" s="807"/>
      <c r="P74" s="807"/>
      <c r="Q74" s="807"/>
      <c r="R74" s="807"/>
      <c r="S74" s="807"/>
      <c r="T74" s="807"/>
      <c r="U74" s="807"/>
      <c r="V74" s="807"/>
      <c r="W74" s="807"/>
      <c r="X74" s="807"/>
      <c r="Y74" s="807"/>
      <c r="Z74" s="807"/>
      <c r="AA74" s="807"/>
      <c r="AB74" s="807"/>
      <c r="AC74" s="807"/>
      <c r="AD74" s="807"/>
      <c r="AE74" s="807"/>
      <c r="AF74" s="807"/>
      <c r="AG74" s="807"/>
      <c r="AH74" s="807"/>
      <c r="AI74" s="807"/>
      <c r="AJ74" s="807"/>
      <c r="AK74" s="807"/>
      <c r="AL74" s="807"/>
      <c r="AM74" s="807"/>
      <c r="AN74" s="807"/>
      <c r="AO74" s="807"/>
      <c r="AP74" s="807"/>
      <c r="AQ74" s="807"/>
      <c r="AR74" s="807"/>
      <c r="AS74" s="807"/>
      <c r="AT74" s="807"/>
      <c r="AU74" s="807"/>
      <c r="AV74" s="807"/>
      <c r="AW74" s="807"/>
      <c r="AX74" s="807"/>
      <c r="AY74" s="807"/>
      <c r="AZ74" s="807"/>
      <c r="BA74" s="802"/>
      <c r="BB74" s="1309"/>
    </row>
    <row r="75" spans="1:54">
      <c r="A75" s="1310">
        <v>3</v>
      </c>
      <c r="B75" s="808" t="s">
        <v>948</v>
      </c>
      <c r="C75" s="809"/>
      <c r="D75" s="810">
        <f t="shared" ref="D75:AQ75" si="1">SUM(D18:D73)</f>
        <v>86276549.520000011</v>
      </c>
      <c r="E75" s="810">
        <f t="shared" si="1"/>
        <v>108936273.66000001</v>
      </c>
      <c r="F75" s="810">
        <f t="shared" si="1"/>
        <v>284956434.14999998</v>
      </c>
      <c r="G75" s="810">
        <f t="shared" si="1"/>
        <v>124793.90000000001</v>
      </c>
      <c r="H75" s="810">
        <f t="shared" si="1"/>
        <v>396559674.72999996</v>
      </c>
      <c r="I75" s="810">
        <f t="shared" si="1"/>
        <v>49168491</v>
      </c>
      <c r="J75" s="810">
        <f t="shared" si="1"/>
        <v>2332637.66</v>
      </c>
      <c r="K75" s="810">
        <f t="shared" si="1"/>
        <v>3184239.7500000005</v>
      </c>
      <c r="L75" s="810">
        <f t="shared" si="1"/>
        <v>4040266.42</v>
      </c>
      <c r="M75" s="810">
        <f t="shared" si="1"/>
        <v>508664.47</v>
      </c>
      <c r="N75" s="810">
        <f t="shared" si="1"/>
        <v>51025</v>
      </c>
      <c r="O75" s="810">
        <f t="shared" si="1"/>
        <v>22993797.230000004</v>
      </c>
      <c r="P75" s="810">
        <f t="shared" si="1"/>
        <v>17613104.260000002</v>
      </c>
      <c r="Q75" s="810">
        <f t="shared" si="1"/>
        <v>16382886.01</v>
      </c>
      <c r="R75" s="810">
        <f t="shared" si="1"/>
        <v>17475658.75</v>
      </c>
      <c r="S75" s="810">
        <f t="shared" si="1"/>
        <v>10198106.299999999</v>
      </c>
      <c r="T75" s="810">
        <f t="shared" si="1"/>
        <v>9129925.2799999993</v>
      </c>
      <c r="U75" s="810">
        <f t="shared" si="1"/>
        <v>10119305.33</v>
      </c>
      <c r="V75" s="810">
        <f t="shared" si="1"/>
        <v>240319650.77000001</v>
      </c>
      <c r="W75" s="810">
        <f t="shared" si="1"/>
        <v>4898933.07</v>
      </c>
      <c r="X75" s="810">
        <f t="shared" si="1"/>
        <v>1114189.2</v>
      </c>
      <c r="Y75" s="810">
        <f t="shared" si="1"/>
        <v>2435458.83</v>
      </c>
      <c r="Z75" s="810">
        <f t="shared" si="1"/>
        <v>268402325.27000007</v>
      </c>
      <c r="AA75" s="810">
        <f t="shared" si="1"/>
        <v>14745445.219999999</v>
      </c>
      <c r="AB75" s="810">
        <f t="shared" si="1"/>
        <v>16090165.130000001</v>
      </c>
      <c r="AC75" s="810">
        <f t="shared" si="1"/>
        <v>7318240.6200000001</v>
      </c>
      <c r="AD75" s="810">
        <f t="shared" si="1"/>
        <v>22750949.500000004</v>
      </c>
      <c r="AE75" s="810">
        <f t="shared" si="1"/>
        <v>7225404.419999999</v>
      </c>
      <c r="AF75" s="810">
        <f t="shared" si="1"/>
        <v>107137195.62</v>
      </c>
      <c r="AG75" s="810">
        <f t="shared" si="1"/>
        <v>1071963.42</v>
      </c>
      <c r="AH75" s="810">
        <f t="shared" si="1"/>
        <v>-32490716.481806602</v>
      </c>
      <c r="AI75" s="810">
        <f t="shared" si="1"/>
        <v>0</v>
      </c>
      <c r="AJ75" s="810">
        <f t="shared" si="1"/>
        <v>98509235.200000003</v>
      </c>
      <c r="AK75" s="810">
        <f t="shared" si="1"/>
        <v>203993063.64000002</v>
      </c>
      <c r="AL75" s="810">
        <f t="shared" si="1"/>
        <v>1632433281.5500002</v>
      </c>
      <c r="AM75" s="810">
        <f t="shared" si="1"/>
        <v>19685241.659999996</v>
      </c>
      <c r="AN75" s="810">
        <f t="shared" si="1"/>
        <v>100143632.56</v>
      </c>
      <c r="AO75" s="810">
        <f t="shared" si="1"/>
        <v>3777195.33</v>
      </c>
      <c r="AP75" s="810">
        <f t="shared" si="1"/>
        <v>181746.93</v>
      </c>
      <c r="AQ75" s="810">
        <f t="shared" si="1"/>
        <v>0</v>
      </c>
      <c r="AR75" s="810">
        <f t="shared" ref="AR75:AY75" si="2">SUM(AR18:AR73)</f>
        <v>3518721.2700000005</v>
      </c>
      <c r="AS75" s="810">
        <f t="shared" si="2"/>
        <v>147224</v>
      </c>
      <c r="AT75" s="810">
        <f t="shared" si="2"/>
        <v>0</v>
      </c>
      <c r="AU75" s="810">
        <f t="shared" si="2"/>
        <v>1733424.6500000006</v>
      </c>
      <c r="AV75" s="810"/>
      <c r="AW75" s="810">
        <f t="shared" ref="AW75:AX75" si="3">SUM(AW18:AW73)</f>
        <v>7268643.4000000004</v>
      </c>
      <c r="AX75" s="810">
        <f t="shared" si="3"/>
        <v>42745.74</v>
      </c>
      <c r="AY75" s="810">
        <f t="shared" si="2"/>
        <v>6847176.1500000004</v>
      </c>
      <c r="AZ75" s="810">
        <f>SUM(AZ18:AZ73)</f>
        <v>1471326.6900000002</v>
      </c>
      <c r="BA75" s="802">
        <f>SUM(BA18:BA74)</f>
        <v>3780823696.7781944</v>
      </c>
      <c r="BB75" s="1318"/>
    </row>
    <row r="76" spans="1:54">
      <c r="A76" s="1298"/>
      <c r="B76" s="1316"/>
      <c r="C76" s="1316"/>
      <c r="D76" s="1307"/>
      <c r="E76" s="1307"/>
      <c r="F76" s="1307"/>
      <c r="G76" s="1308"/>
      <c r="H76" s="1308"/>
      <c r="I76" s="1308"/>
      <c r="J76" s="1308"/>
      <c r="K76" s="1308"/>
      <c r="L76" s="1308"/>
      <c r="M76" s="1308"/>
      <c r="N76" s="1308"/>
      <c r="O76" s="1308"/>
      <c r="P76" s="1308"/>
      <c r="Q76" s="1308"/>
      <c r="R76" s="1308"/>
      <c r="S76" s="1308"/>
      <c r="T76" s="1308"/>
      <c r="U76" s="1308"/>
      <c r="V76" s="1308"/>
      <c r="W76" s="1308"/>
      <c r="X76" s="1308"/>
      <c r="Y76" s="1308"/>
      <c r="Z76" s="1308"/>
      <c r="AA76" s="1308"/>
      <c r="AB76" s="1308"/>
      <c r="AC76" s="1308"/>
      <c r="AD76" s="1308"/>
      <c r="AE76" s="1308"/>
      <c r="AF76" s="1308"/>
      <c r="AG76" s="1308"/>
      <c r="AH76" s="1308"/>
      <c r="AI76" s="1308"/>
      <c r="AJ76" s="1308"/>
      <c r="AK76" s="1308"/>
      <c r="AL76" s="1308"/>
      <c r="AM76" s="1308"/>
      <c r="AN76" s="1308"/>
      <c r="AO76" s="1309"/>
      <c r="AP76" s="1309"/>
      <c r="AQ76" s="1309"/>
      <c r="AR76" s="1308"/>
      <c r="AS76" s="1309"/>
      <c r="AT76" s="1309"/>
      <c r="AU76" s="1309"/>
      <c r="AV76" s="1309"/>
      <c r="AW76" s="1309"/>
      <c r="AX76" s="1309"/>
      <c r="AY76" s="1309"/>
      <c r="AZ76" s="1309"/>
      <c r="BA76" s="1298"/>
      <c r="BB76" s="1298"/>
    </row>
    <row r="77" spans="1:54">
      <c r="A77" s="1298"/>
      <c r="B77" s="1316"/>
      <c r="C77" s="1316"/>
      <c r="D77" s="1307"/>
      <c r="E77" s="1307"/>
      <c r="F77" s="1307"/>
      <c r="G77" s="1308"/>
      <c r="H77" s="1308"/>
      <c r="I77" s="1308"/>
      <c r="J77" s="1308"/>
      <c r="K77" s="1308"/>
      <c r="L77" s="1308"/>
      <c r="M77" s="1308"/>
      <c r="N77" s="1308"/>
      <c r="O77" s="1308"/>
      <c r="P77" s="1308"/>
      <c r="Q77" s="1308"/>
      <c r="R77" s="1308"/>
      <c r="S77" s="1308"/>
      <c r="T77" s="1308"/>
      <c r="U77" s="1308"/>
      <c r="V77" s="1308"/>
      <c r="W77" s="1308"/>
      <c r="X77" s="1308"/>
      <c r="Y77" s="1308"/>
      <c r="Z77" s="1308"/>
      <c r="AA77" s="1308"/>
      <c r="AB77" s="1308"/>
      <c r="AC77" s="1308"/>
      <c r="AD77" s="1308"/>
      <c r="AE77" s="1308"/>
      <c r="AF77" s="1308"/>
      <c r="AG77" s="1308"/>
      <c r="AH77" s="1308"/>
      <c r="AI77" s="1308"/>
      <c r="AJ77" s="1308"/>
      <c r="AK77" s="1308"/>
      <c r="AL77" s="1308"/>
      <c r="AM77" s="1308"/>
      <c r="AN77" s="1308"/>
      <c r="AO77" s="1309"/>
      <c r="AP77" s="1309"/>
      <c r="AQ77" s="1309"/>
      <c r="AR77" s="1308"/>
      <c r="AS77" s="1309"/>
      <c r="AT77" s="1309"/>
      <c r="AU77" s="1309"/>
      <c r="AV77" s="1309"/>
      <c r="AW77" s="1309"/>
      <c r="AX77" s="1309"/>
      <c r="AY77" s="1309"/>
      <c r="AZ77" s="1309"/>
      <c r="BA77" s="1298"/>
      <c r="BB77" s="1298"/>
    </row>
    <row r="78" spans="1:54">
      <c r="A78" s="1298"/>
      <c r="B78" s="1316"/>
      <c r="C78" s="1316"/>
      <c r="D78" s="1307"/>
      <c r="E78" s="1307"/>
      <c r="F78" s="1307"/>
      <c r="G78" s="1308"/>
      <c r="H78" s="1308"/>
      <c r="I78" s="1308"/>
      <c r="J78" s="1308"/>
      <c r="K78" s="1308"/>
      <c r="L78" s="1308"/>
      <c r="M78" s="1308"/>
      <c r="N78" s="1308"/>
      <c r="O78" s="1308"/>
      <c r="P78" s="1308"/>
      <c r="Q78" s="1308"/>
      <c r="R78" s="1308"/>
      <c r="S78" s="1308"/>
      <c r="T78" s="1308"/>
      <c r="U78" s="1308"/>
      <c r="V78" s="1308"/>
      <c r="W78" s="1308"/>
      <c r="X78" s="1308"/>
      <c r="Y78" s="1308"/>
      <c r="Z78" s="1308"/>
      <c r="AA78" s="1308"/>
      <c r="AB78" s="1308"/>
      <c r="AC78" s="1308"/>
      <c r="AD78" s="1308"/>
      <c r="AE78" s="1308"/>
      <c r="AF78" s="1319"/>
      <c r="AG78" s="1319"/>
      <c r="AH78" s="1308"/>
      <c r="AI78" s="1308"/>
      <c r="AJ78" s="1308"/>
      <c r="AK78" s="1308"/>
      <c r="AL78" s="1308"/>
      <c r="AM78" s="1308"/>
      <c r="AN78" s="1308"/>
      <c r="AO78" s="1309"/>
      <c r="AP78" s="1309"/>
      <c r="AQ78" s="1309"/>
      <c r="AR78" s="1308"/>
      <c r="AS78" s="1309"/>
      <c r="AT78" s="1309"/>
      <c r="AU78" s="1309"/>
      <c r="AV78" s="1309"/>
      <c r="AW78" s="1309"/>
      <c r="AX78" s="1309"/>
      <c r="AY78" s="1309"/>
      <c r="AZ78" s="1309"/>
      <c r="BA78" s="1298"/>
      <c r="BB78" s="1298"/>
    </row>
    <row r="79" spans="1:54">
      <c r="A79" s="1298"/>
      <c r="B79" s="1316"/>
      <c r="C79" s="1316"/>
      <c r="D79" s="1307"/>
      <c r="E79" s="1307"/>
      <c r="F79" s="1307"/>
      <c r="G79" s="1308"/>
      <c r="H79" s="1308"/>
      <c r="I79" s="1308"/>
      <c r="J79" s="1308"/>
      <c r="K79" s="1308"/>
      <c r="L79" s="1308"/>
      <c r="M79" s="1308"/>
      <c r="N79" s="1308"/>
      <c r="O79" s="1308"/>
      <c r="P79" s="1308"/>
      <c r="Q79" s="1308"/>
      <c r="R79" s="1308"/>
      <c r="S79" s="1308"/>
      <c r="T79" s="1308"/>
      <c r="U79" s="1308"/>
      <c r="V79" s="1308"/>
      <c r="W79" s="1308"/>
      <c r="X79" s="1308"/>
      <c r="Y79" s="1308"/>
      <c r="Z79" s="1308"/>
      <c r="AA79" s="1308"/>
      <c r="AB79" s="1308"/>
      <c r="AC79" s="1308"/>
      <c r="AD79" s="1308"/>
      <c r="AE79" s="1308"/>
      <c r="AF79" s="1319"/>
      <c r="AG79" s="1319"/>
      <c r="AH79" s="1308"/>
      <c r="AI79" s="1308"/>
      <c r="AJ79" s="1308"/>
      <c r="AK79" s="1308"/>
      <c r="AL79" s="1308"/>
      <c r="AM79" s="1308"/>
      <c r="AN79" s="1308"/>
      <c r="AO79" s="1309"/>
      <c r="AP79" s="1309"/>
      <c r="AQ79" s="1309"/>
      <c r="AR79" s="1308"/>
      <c r="AS79" s="1309"/>
      <c r="AT79" s="1309"/>
      <c r="AU79" s="1309"/>
      <c r="AV79" s="1309"/>
      <c r="AW79" s="1309"/>
      <c r="AX79" s="1309"/>
      <c r="AY79" s="1309"/>
      <c r="AZ79" s="1309"/>
      <c r="BA79" s="1298"/>
      <c r="BB79" s="1298"/>
    </row>
    <row r="80" spans="1:54">
      <c r="A80" s="1298"/>
      <c r="B80" s="1316"/>
      <c r="C80" s="1316"/>
      <c r="D80" s="1307"/>
      <c r="E80" s="1307"/>
      <c r="F80" s="1307"/>
      <c r="G80" s="1308"/>
      <c r="H80" s="1308"/>
      <c r="I80" s="1308"/>
      <c r="J80" s="1308"/>
      <c r="K80" s="1308"/>
      <c r="L80" s="1308"/>
      <c r="M80" s="1308"/>
      <c r="N80" s="1308"/>
      <c r="O80" s="1308"/>
      <c r="P80" s="1308"/>
      <c r="Q80" s="1308"/>
      <c r="R80" s="1308"/>
      <c r="S80" s="1308"/>
      <c r="T80" s="1308"/>
      <c r="U80" s="1308"/>
      <c r="V80" s="1308"/>
      <c r="W80" s="1308"/>
      <c r="X80" s="1308"/>
      <c r="Y80" s="1308"/>
      <c r="Z80" s="1308"/>
      <c r="AA80" s="1308"/>
      <c r="AB80" s="1308"/>
      <c r="AC80" s="1308"/>
      <c r="AD80" s="1308"/>
      <c r="AE80" s="1308"/>
      <c r="AF80" s="1319"/>
      <c r="AG80" s="1319"/>
      <c r="AH80" s="1308"/>
      <c r="AI80" s="1308"/>
      <c r="AJ80" s="1308"/>
      <c r="AK80" s="1308"/>
      <c r="AL80" s="1308"/>
      <c r="AM80" s="1308"/>
      <c r="AN80" s="1308"/>
      <c r="AO80" s="1309"/>
      <c r="AP80" s="1309"/>
      <c r="AQ80" s="1309"/>
      <c r="AR80" s="1308"/>
      <c r="AS80" s="1309"/>
      <c r="AT80" s="1309"/>
      <c r="AU80" s="1309"/>
      <c r="AV80" s="1309"/>
      <c r="AW80" s="1309"/>
      <c r="AX80" s="1309"/>
      <c r="AY80" s="1309"/>
      <c r="AZ80" s="1309"/>
      <c r="BA80" s="1298"/>
      <c r="BB80" s="1298"/>
    </row>
    <row r="81" spans="1:54">
      <c r="A81" s="1298"/>
      <c r="B81" s="1316"/>
      <c r="C81" s="1316"/>
      <c r="D81" s="1307"/>
      <c r="E81" s="1307"/>
      <c r="F81" s="1307"/>
      <c r="G81" s="1308"/>
      <c r="H81" s="1308"/>
      <c r="I81" s="1308"/>
      <c r="J81" s="1308"/>
      <c r="K81" s="1308"/>
      <c r="L81" s="1308"/>
      <c r="M81" s="1308"/>
      <c r="N81" s="1308"/>
      <c r="O81" s="1308"/>
      <c r="P81" s="1308"/>
      <c r="Q81" s="1308"/>
      <c r="R81" s="1308"/>
      <c r="S81" s="1308"/>
      <c r="T81" s="1308"/>
      <c r="U81" s="1308"/>
      <c r="V81" s="1308"/>
      <c r="W81" s="1308"/>
      <c r="X81" s="1308"/>
      <c r="Y81" s="1308"/>
      <c r="Z81" s="1308"/>
      <c r="AA81" s="1308"/>
      <c r="AB81" s="1308"/>
      <c r="AC81" s="1308"/>
      <c r="AD81" s="1308"/>
      <c r="AE81" s="1308"/>
      <c r="AF81" s="1319"/>
      <c r="AG81" s="1319"/>
      <c r="AH81" s="1308"/>
      <c r="AI81" s="1308"/>
      <c r="AJ81" s="1308"/>
      <c r="AK81" s="1308"/>
      <c r="AL81" s="1308"/>
      <c r="AM81" s="1308"/>
      <c r="AN81" s="1308"/>
      <c r="AO81" s="1309"/>
      <c r="AP81" s="1309"/>
      <c r="AQ81" s="1309"/>
      <c r="AR81" s="1308"/>
      <c r="AS81" s="1309"/>
      <c r="AT81" s="1309"/>
      <c r="AU81" s="1309"/>
      <c r="AV81" s="1309"/>
      <c r="AW81" s="1309"/>
      <c r="AX81" s="1309"/>
      <c r="AY81" s="1309"/>
      <c r="AZ81" s="1309"/>
      <c r="BA81" s="1298"/>
      <c r="BB81" s="1298"/>
    </row>
    <row r="82" spans="1:54">
      <c r="A82" s="1298"/>
      <c r="B82" s="1316"/>
      <c r="C82" s="1316"/>
      <c r="D82" s="1307"/>
      <c r="E82" s="1307"/>
      <c r="F82" s="1307"/>
      <c r="G82" s="1308"/>
      <c r="H82" s="1308"/>
      <c r="I82" s="1308"/>
      <c r="J82" s="1308"/>
      <c r="K82" s="1308"/>
      <c r="L82" s="1308"/>
      <c r="M82" s="1308"/>
      <c r="N82" s="1308"/>
      <c r="O82" s="1308"/>
      <c r="P82" s="1308"/>
      <c r="Q82" s="1308"/>
      <c r="R82" s="1308"/>
      <c r="S82" s="1308"/>
      <c r="T82" s="1308"/>
      <c r="U82" s="1308"/>
      <c r="V82" s="1308"/>
      <c r="W82" s="1308"/>
      <c r="X82" s="1308"/>
      <c r="Y82" s="1308"/>
      <c r="Z82" s="1308"/>
      <c r="AA82" s="1308"/>
      <c r="AB82" s="1308"/>
      <c r="AC82" s="1308"/>
      <c r="AD82" s="1308"/>
      <c r="AE82" s="1308"/>
      <c r="AF82" s="1319"/>
      <c r="AG82" s="1319"/>
      <c r="AH82" s="1308"/>
      <c r="AI82" s="1308"/>
      <c r="AJ82" s="1308"/>
      <c r="AK82" s="1308"/>
      <c r="AL82" s="1308"/>
      <c r="AM82" s="1308"/>
      <c r="AN82" s="1308"/>
      <c r="AO82" s="1309"/>
      <c r="AP82" s="1309"/>
      <c r="AQ82" s="1309"/>
      <c r="AR82" s="1308"/>
      <c r="AS82" s="1309"/>
      <c r="AT82" s="1309"/>
      <c r="AU82" s="1309"/>
      <c r="AV82" s="1309"/>
      <c r="AW82" s="1309"/>
      <c r="AX82" s="1309"/>
      <c r="AY82" s="1309"/>
      <c r="AZ82" s="1309"/>
      <c r="BA82" s="1298"/>
      <c r="BB82" s="1298"/>
    </row>
    <row r="83" spans="1:54">
      <c r="A83" s="1298"/>
      <c r="B83" s="1316"/>
      <c r="C83" s="1316"/>
      <c r="D83" s="1307"/>
      <c r="E83" s="1307"/>
      <c r="F83" s="1307"/>
      <c r="G83" s="1308"/>
      <c r="H83" s="1308"/>
      <c r="I83" s="1308"/>
      <c r="J83" s="1308"/>
      <c r="K83" s="1308"/>
      <c r="L83" s="1308"/>
      <c r="M83" s="1308"/>
      <c r="N83" s="1308"/>
      <c r="O83" s="1308"/>
      <c r="P83" s="1308"/>
      <c r="Q83" s="1308"/>
      <c r="R83" s="1308"/>
      <c r="S83" s="1308"/>
      <c r="T83" s="1308"/>
      <c r="U83" s="1308"/>
      <c r="V83" s="1308"/>
      <c r="W83" s="1308"/>
      <c r="X83" s="1308"/>
      <c r="Y83" s="1308"/>
      <c r="Z83" s="1308"/>
      <c r="AA83" s="1308"/>
      <c r="AB83" s="1308"/>
      <c r="AC83" s="1308"/>
      <c r="AD83" s="1308"/>
      <c r="AE83" s="1308"/>
      <c r="AF83" s="1319"/>
      <c r="AG83" s="1319"/>
      <c r="AH83" s="1308"/>
      <c r="AI83" s="1308"/>
      <c r="AJ83" s="1308"/>
      <c r="AK83" s="1308"/>
      <c r="AL83" s="1308"/>
      <c r="AM83" s="1308"/>
      <c r="AN83" s="1308"/>
      <c r="AO83" s="1309"/>
      <c r="AP83" s="1309"/>
      <c r="AQ83" s="1309"/>
      <c r="AR83" s="1308"/>
      <c r="AS83" s="1309"/>
      <c r="AT83" s="1309"/>
      <c r="AU83" s="1309"/>
      <c r="AV83" s="1309"/>
      <c r="AW83" s="1309"/>
      <c r="AX83" s="1309"/>
      <c r="AY83" s="1309"/>
      <c r="AZ83" s="1309"/>
      <c r="BA83" s="1298"/>
      <c r="BB83" s="1298"/>
    </row>
    <row r="84" spans="1:54">
      <c r="A84" s="1298"/>
      <c r="B84" s="1316"/>
      <c r="C84" s="1316"/>
      <c r="D84" s="1307"/>
      <c r="E84" s="1307"/>
      <c r="F84" s="1307"/>
      <c r="G84" s="1308"/>
      <c r="H84" s="1308"/>
      <c r="I84" s="1308"/>
      <c r="J84" s="1308"/>
      <c r="K84" s="1308"/>
      <c r="L84" s="1308"/>
      <c r="M84" s="1308"/>
      <c r="N84" s="1308"/>
      <c r="O84" s="1308"/>
      <c r="P84" s="1308"/>
      <c r="Q84" s="1308"/>
      <c r="R84" s="1308"/>
      <c r="S84" s="1308"/>
      <c r="T84" s="1308"/>
      <c r="U84" s="1308"/>
      <c r="V84" s="1308"/>
      <c r="W84" s="1308"/>
      <c r="X84" s="1308"/>
      <c r="Y84" s="1308"/>
      <c r="Z84" s="1308"/>
      <c r="AA84" s="1308"/>
      <c r="AB84" s="1308"/>
      <c r="AC84" s="1308"/>
      <c r="AD84" s="1308"/>
      <c r="AE84" s="1308"/>
      <c r="AF84" s="1319"/>
      <c r="AG84" s="1319"/>
      <c r="AH84" s="1308"/>
      <c r="AI84" s="1308"/>
      <c r="AJ84" s="1308"/>
      <c r="AK84" s="1308"/>
      <c r="AL84" s="1308"/>
      <c r="AM84" s="1308"/>
      <c r="AN84" s="1308"/>
      <c r="AO84" s="1309"/>
      <c r="AP84" s="1309"/>
      <c r="AQ84" s="1309"/>
      <c r="AR84" s="1308"/>
      <c r="AS84" s="1309"/>
      <c r="AT84" s="1309"/>
      <c r="AU84" s="1309"/>
      <c r="AV84" s="1309"/>
      <c r="AW84" s="1309"/>
      <c r="AX84" s="1309"/>
      <c r="AY84" s="1309"/>
      <c r="AZ84" s="1309"/>
      <c r="BA84" s="1298"/>
      <c r="BB84" s="1298"/>
    </row>
    <row r="85" spans="1:54">
      <c r="A85" s="1298"/>
      <c r="B85" s="1316"/>
      <c r="C85" s="1316"/>
      <c r="D85" s="1307"/>
      <c r="E85" s="1307"/>
      <c r="F85" s="1307"/>
      <c r="G85" s="1308"/>
      <c r="H85" s="1308"/>
      <c r="I85" s="1308"/>
      <c r="J85" s="1308"/>
      <c r="K85" s="1308"/>
      <c r="L85" s="1308"/>
      <c r="M85" s="1308"/>
      <c r="N85" s="1308"/>
      <c r="O85" s="1308"/>
      <c r="P85" s="1308"/>
      <c r="Q85" s="1308"/>
      <c r="R85" s="1308"/>
      <c r="S85" s="1308"/>
      <c r="T85" s="1308"/>
      <c r="U85" s="1308"/>
      <c r="V85" s="1308"/>
      <c r="W85" s="1308"/>
      <c r="X85" s="1308"/>
      <c r="Y85" s="1308"/>
      <c r="Z85" s="1308"/>
      <c r="AA85" s="1308"/>
      <c r="AB85" s="1308"/>
      <c r="AC85" s="1308"/>
      <c r="AD85" s="1308"/>
      <c r="AE85" s="1308"/>
      <c r="AF85" s="1319"/>
      <c r="AG85" s="1319"/>
      <c r="AH85" s="1308"/>
      <c r="AI85" s="1308"/>
      <c r="AJ85" s="1308"/>
      <c r="AK85" s="1308"/>
      <c r="AL85" s="1308"/>
      <c r="AM85" s="1308"/>
      <c r="AN85" s="1308"/>
      <c r="AO85" s="1309"/>
      <c r="AP85" s="1309"/>
      <c r="AQ85" s="1309"/>
      <c r="AR85" s="1308"/>
      <c r="AS85" s="1309"/>
      <c r="AT85" s="1309"/>
      <c r="AU85" s="1309"/>
      <c r="AV85" s="1309"/>
      <c r="AW85" s="1309"/>
      <c r="AX85" s="1309"/>
      <c r="AY85" s="1309"/>
      <c r="AZ85" s="1309"/>
      <c r="BA85" s="1298"/>
      <c r="BB85" s="1298"/>
    </row>
    <row r="86" spans="1:54">
      <c r="A86" s="1298"/>
      <c r="B86" s="1316"/>
      <c r="C86" s="1316"/>
      <c r="D86" s="1307"/>
      <c r="E86" s="1307"/>
      <c r="F86" s="1307"/>
      <c r="G86" s="1308"/>
      <c r="H86" s="1308"/>
      <c r="I86" s="1308"/>
      <c r="J86" s="1308"/>
      <c r="K86" s="1308"/>
      <c r="L86" s="1308"/>
      <c r="M86" s="1308"/>
      <c r="N86" s="1308"/>
      <c r="O86" s="1308"/>
      <c r="P86" s="1308"/>
      <c r="Q86" s="1308"/>
      <c r="R86" s="1308"/>
      <c r="S86" s="1308"/>
      <c r="T86" s="1308"/>
      <c r="U86" s="1308"/>
      <c r="V86" s="1308"/>
      <c r="W86" s="1308"/>
      <c r="X86" s="1308"/>
      <c r="Y86" s="1308"/>
      <c r="Z86" s="1308"/>
      <c r="AA86" s="1308"/>
      <c r="AB86" s="1308"/>
      <c r="AC86" s="1308"/>
      <c r="AD86" s="1308"/>
      <c r="AE86" s="1308"/>
      <c r="AF86" s="1308"/>
      <c r="AG86" s="1308"/>
      <c r="AH86" s="1308"/>
      <c r="AI86" s="1308"/>
      <c r="AJ86" s="1308"/>
      <c r="AK86" s="1308"/>
      <c r="AL86" s="1308"/>
      <c r="AM86" s="1308"/>
      <c r="AN86" s="1308"/>
      <c r="AO86" s="1309"/>
      <c r="AP86" s="1309"/>
      <c r="AQ86" s="1309"/>
      <c r="AR86" s="1308"/>
      <c r="AS86" s="1309"/>
      <c r="AT86" s="1309"/>
      <c r="AU86" s="1309"/>
      <c r="AV86" s="1309"/>
      <c r="AW86" s="1309"/>
      <c r="AX86" s="1309"/>
      <c r="AY86" s="1309"/>
      <c r="AZ86" s="1309"/>
      <c r="BA86" s="1298"/>
      <c r="BB86" s="1298"/>
    </row>
    <row r="87" spans="1:54">
      <c r="A87" s="1298"/>
      <c r="B87" s="1316"/>
      <c r="C87" s="1316"/>
      <c r="D87" s="1307"/>
      <c r="E87" s="1307"/>
      <c r="F87" s="1307"/>
      <c r="G87" s="1308"/>
      <c r="H87" s="1308"/>
      <c r="I87" s="1308"/>
      <c r="J87" s="1308"/>
      <c r="K87" s="1308"/>
      <c r="L87" s="1308"/>
      <c r="M87" s="1308"/>
      <c r="N87" s="1308"/>
      <c r="O87" s="1308"/>
      <c r="P87" s="1308"/>
      <c r="Q87" s="1308"/>
      <c r="R87" s="1308"/>
      <c r="S87" s="1308"/>
      <c r="T87" s="1308"/>
      <c r="U87" s="1308"/>
      <c r="V87" s="1308"/>
      <c r="W87" s="1308"/>
      <c r="X87" s="1308"/>
      <c r="Y87" s="1308"/>
      <c r="Z87" s="1308"/>
      <c r="AA87" s="1308"/>
      <c r="AB87" s="1308"/>
      <c r="AC87" s="1308"/>
      <c r="AD87" s="1308"/>
      <c r="AE87" s="1308"/>
      <c r="AF87" s="1308"/>
      <c r="AG87" s="1308"/>
      <c r="AH87" s="1308"/>
      <c r="AI87" s="1308"/>
      <c r="AJ87" s="1308"/>
      <c r="AK87" s="1308"/>
      <c r="AL87" s="1308"/>
      <c r="AM87" s="1308"/>
      <c r="AN87" s="1308"/>
      <c r="AO87" s="1309"/>
      <c r="AP87" s="1309"/>
      <c r="AQ87" s="1309"/>
      <c r="AR87" s="1308"/>
      <c r="AS87" s="1309"/>
      <c r="AT87" s="1309"/>
      <c r="AU87" s="1309"/>
      <c r="AV87" s="1309"/>
      <c r="AW87" s="1309"/>
      <c r="AX87" s="1309"/>
      <c r="AY87" s="1309"/>
      <c r="AZ87" s="1309"/>
      <c r="BA87" s="1298"/>
      <c r="BB87" s="1298"/>
    </row>
    <row r="88" spans="1:54">
      <c r="A88" s="1298"/>
      <c r="B88" s="1316"/>
      <c r="C88" s="1316"/>
      <c r="D88" s="1307"/>
      <c r="E88" s="1307"/>
      <c r="F88" s="1307"/>
      <c r="G88" s="1308"/>
      <c r="H88" s="1308"/>
      <c r="I88" s="1308"/>
      <c r="J88" s="1308"/>
      <c r="K88" s="1308"/>
      <c r="L88" s="1308"/>
      <c r="M88" s="1308"/>
      <c r="N88" s="1308"/>
      <c r="O88" s="1308"/>
      <c r="P88" s="1308"/>
      <c r="Q88" s="1308"/>
      <c r="R88" s="1308"/>
      <c r="S88" s="1308"/>
      <c r="T88" s="1308"/>
      <c r="U88" s="1308"/>
      <c r="V88" s="1308"/>
      <c r="W88" s="1308"/>
      <c r="X88" s="1308"/>
      <c r="Y88" s="1308"/>
      <c r="Z88" s="1308"/>
      <c r="AA88" s="1308"/>
      <c r="AB88" s="1308"/>
      <c r="AC88" s="1308"/>
      <c r="AD88" s="1308"/>
      <c r="AE88" s="1308"/>
      <c r="AF88" s="1308"/>
      <c r="AG88" s="1308"/>
      <c r="AH88" s="1308"/>
      <c r="AI88" s="1308"/>
      <c r="AJ88" s="1308"/>
      <c r="AK88" s="1308"/>
      <c r="AL88" s="1308"/>
      <c r="AM88" s="1308"/>
      <c r="AN88" s="1308"/>
      <c r="AO88" s="1309"/>
      <c r="AP88" s="1309"/>
      <c r="AQ88" s="1309"/>
      <c r="AR88" s="1308"/>
      <c r="AS88" s="1309"/>
      <c r="AT88" s="1309"/>
      <c r="AU88" s="1309"/>
      <c r="AV88" s="1309"/>
      <c r="AW88" s="1309"/>
      <c r="AX88" s="1309"/>
      <c r="AY88" s="1309"/>
      <c r="AZ88" s="1309"/>
      <c r="BA88" s="1298"/>
      <c r="BB88" s="1298"/>
    </row>
    <row r="89" spans="1:54">
      <c r="A89" s="1298"/>
      <c r="B89" s="1316"/>
      <c r="C89" s="1316"/>
      <c r="D89" s="1307"/>
      <c r="E89" s="1307"/>
      <c r="F89" s="1307"/>
      <c r="G89" s="1308"/>
      <c r="H89" s="1308"/>
      <c r="I89" s="1308"/>
      <c r="J89" s="1308"/>
      <c r="K89" s="1308"/>
      <c r="L89" s="1308"/>
      <c r="M89" s="1308"/>
      <c r="N89" s="1308"/>
      <c r="O89" s="1308"/>
      <c r="P89" s="1308"/>
      <c r="Q89" s="1308"/>
      <c r="R89" s="1308"/>
      <c r="S89" s="1308"/>
      <c r="T89" s="1308"/>
      <c r="U89" s="1308"/>
      <c r="V89" s="1308"/>
      <c r="W89" s="1308"/>
      <c r="X89" s="1308"/>
      <c r="Y89" s="1308"/>
      <c r="Z89" s="1308"/>
      <c r="AA89" s="1308"/>
      <c r="AB89" s="1308"/>
      <c r="AC89" s="1308"/>
      <c r="AD89" s="1308"/>
      <c r="AE89" s="1308"/>
      <c r="AF89" s="1308"/>
      <c r="AG89" s="1308"/>
      <c r="AH89" s="1308"/>
      <c r="AI89" s="1308"/>
      <c r="AJ89" s="1308"/>
      <c r="AK89" s="1308"/>
      <c r="AL89" s="1308"/>
      <c r="AM89" s="1308"/>
      <c r="AN89" s="1308"/>
      <c r="AO89" s="1309"/>
      <c r="AP89" s="1309"/>
      <c r="AQ89" s="1309"/>
      <c r="AR89" s="1308"/>
      <c r="AS89" s="1309"/>
      <c r="AT89" s="1309"/>
      <c r="AU89" s="1309"/>
      <c r="AV89" s="1309"/>
      <c r="AW89" s="1309"/>
      <c r="AX89" s="1309"/>
      <c r="AY89" s="1309"/>
      <c r="AZ89" s="1309"/>
      <c r="BA89" s="1298"/>
      <c r="BB89" s="1298"/>
    </row>
    <row r="90" spans="1:54">
      <c r="A90" s="1298"/>
      <c r="B90" s="1316"/>
      <c r="C90" s="1316"/>
      <c r="D90" s="1307"/>
      <c r="E90" s="1307"/>
      <c r="F90" s="1307"/>
      <c r="G90" s="1308"/>
      <c r="H90" s="1308"/>
      <c r="I90" s="1308"/>
      <c r="J90" s="1308"/>
      <c r="K90" s="1308"/>
      <c r="L90" s="1308"/>
      <c r="M90" s="1308"/>
      <c r="N90" s="1308"/>
      <c r="O90" s="1308"/>
      <c r="P90" s="1308"/>
      <c r="Q90" s="1308"/>
      <c r="R90" s="1308"/>
      <c r="S90" s="1308"/>
      <c r="T90" s="1308"/>
      <c r="U90" s="1308"/>
      <c r="V90" s="1308"/>
      <c r="W90" s="1308"/>
      <c r="X90" s="1308"/>
      <c r="Y90" s="1308"/>
      <c r="Z90" s="1308"/>
      <c r="AA90" s="1308"/>
      <c r="AB90" s="1308"/>
      <c r="AC90" s="1308"/>
      <c r="AD90" s="1308"/>
      <c r="AE90" s="1308"/>
      <c r="AF90" s="1308"/>
      <c r="AG90" s="1308"/>
      <c r="AH90" s="1308"/>
      <c r="AI90" s="1308"/>
      <c r="AJ90" s="1308"/>
      <c r="AK90" s="1308"/>
      <c r="AL90" s="1308"/>
      <c r="AM90" s="1308"/>
      <c r="AN90" s="1308"/>
      <c r="AO90" s="1309"/>
      <c r="AP90" s="1309"/>
      <c r="AQ90" s="1309"/>
      <c r="AR90" s="1308"/>
      <c r="AS90" s="1309"/>
      <c r="AT90" s="1309"/>
      <c r="AU90" s="1309"/>
      <c r="AV90" s="1309"/>
      <c r="AW90" s="1309"/>
      <c r="AX90" s="1309"/>
      <c r="AY90" s="1309"/>
      <c r="AZ90" s="1309"/>
      <c r="BA90" s="1298"/>
      <c r="BB90" s="1298"/>
    </row>
    <row r="91" spans="1:54">
      <c r="A91" s="1298"/>
      <c r="B91" s="1316"/>
      <c r="C91" s="1316"/>
      <c r="D91" s="1307"/>
      <c r="E91" s="1307"/>
      <c r="F91" s="1307"/>
      <c r="G91" s="1308"/>
      <c r="H91" s="1308"/>
      <c r="I91" s="1308"/>
      <c r="J91" s="1308"/>
      <c r="K91" s="1308"/>
      <c r="L91" s="1308"/>
      <c r="M91" s="1308"/>
      <c r="N91" s="1308"/>
      <c r="O91" s="1308"/>
      <c r="P91" s="1308"/>
      <c r="Q91" s="1308"/>
      <c r="R91" s="1308"/>
      <c r="S91" s="1308"/>
      <c r="T91" s="1308"/>
      <c r="U91" s="1308"/>
      <c r="V91" s="1308"/>
      <c r="W91" s="1308"/>
      <c r="X91" s="1308"/>
      <c r="Y91" s="1308"/>
      <c r="Z91" s="1308"/>
      <c r="AA91" s="1308"/>
      <c r="AB91" s="1308"/>
      <c r="AC91" s="1308"/>
      <c r="AD91" s="1308"/>
      <c r="AE91" s="1308"/>
      <c r="AF91" s="1308"/>
      <c r="AG91" s="1308"/>
      <c r="AH91" s="1308"/>
      <c r="AI91" s="1308"/>
      <c r="AJ91" s="1308"/>
      <c r="AK91" s="1308"/>
      <c r="AL91" s="1308"/>
      <c r="AM91" s="1308"/>
      <c r="AN91" s="1308"/>
      <c r="AO91" s="1309"/>
      <c r="AP91" s="1309"/>
      <c r="AQ91" s="1309"/>
      <c r="AR91" s="1308"/>
      <c r="AS91" s="1309"/>
      <c r="AT91" s="1309"/>
      <c r="AU91" s="1309"/>
      <c r="AV91" s="1309"/>
      <c r="AW91" s="1309"/>
      <c r="AX91" s="1309"/>
      <c r="AY91" s="1309"/>
      <c r="AZ91" s="1309"/>
      <c r="BA91" s="1298"/>
      <c r="BB91" s="1298"/>
    </row>
    <row r="92" spans="1:54">
      <c r="A92" s="1298"/>
      <c r="B92" s="1316"/>
      <c r="C92" s="1316"/>
      <c r="D92" s="1307"/>
      <c r="E92" s="1307"/>
      <c r="F92" s="1307"/>
      <c r="G92" s="1308"/>
      <c r="H92" s="1308"/>
      <c r="I92" s="1308"/>
      <c r="J92" s="1308"/>
      <c r="K92" s="1308"/>
      <c r="L92" s="1308"/>
      <c r="M92" s="1308"/>
      <c r="N92" s="1308"/>
      <c r="O92" s="1308"/>
      <c r="P92" s="1308"/>
      <c r="Q92" s="1308"/>
      <c r="R92" s="1308"/>
      <c r="S92" s="1308"/>
      <c r="T92" s="1308"/>
      <c r="U92" s="1308"/>
      <c r="V92" s="1308"/>
      <c r="W92" s="1308"/>
      <c r="X92" s="1308"/>
      <c r="Y92" s="1308"/>
      <c r="Z92" s="1308"/>
      <c r="AA92" s="1308"/>
      <c r="AB92" s="1308"/>
      <c r="AC92" s="1308"/>
      <c r="AD92" s="1308"/>
      <c r="AE92" s="1308"/>
      <c r="AF92" s="1308"/>
      <c r="AG92" s="1308"/>
      <c r="AH92" s="1308"/>
      <c r="AI92" s="1308"/>
      <c r="AJ92" s="1308"/>
      <c r="AK92" s="1308"/>
      <c r="AL92" s="1308"/>
      <c r="AM92" s="1308"/>
      <c r="AN92" s="1308"/>
      <c r="AO92" s="1309"/>
      <c r="AP92" s="1309"/>
      <c r="AQ92" s="1309"/>
      <c r="AR92" s="1308"/>
      <c r="AS92" s="1309"/>
      <c r="AT92" s="1309"/>
      <c r="AU92" s="1309"/>
      <c r="AV92" s="1309"/>
      <c r="AW92" s="1309"/>
      <c r="AX92" s="1309"/>
      <c r="AY92" s="1309"/>
      <c r="AZ92" s="1309"/>
      <c r="BA92" s="1298"/>
      <c r="BB92" s="1298"/>
    </row>
    <row r="93" spans="1:54">
      <c r="A93" s="1298"/>
      <c r="B93" s="1316"/>
      <c r="C93" s="1316"/>
      <c r="D93" s="1307"/>
      <c r="E93" s="1307"/>
      <c r="F93" s="1307"/>
      <c r="G93" s="1308"/>
      <c r="H93" s="1308"/>
      <c r="I93" s="1308"/>
      <c r="J93" s="1308"/>
      <c r="K93" s="1308"/>
      <c r="L93" s="1308"/>
      <c r="M93" s="1308"/>
      <c r="N93" s="1308"/>
      <c r="O93" s="1308"/>
      <c r="P93" s="1308"/>
      <c r="Q93" s="1308"/>
      <c r="R93" s="1308"/>
      <c r="S93" s="1308"/>
      <c r="T93" s="1308"/>
      <c r="U93" s="1308"/>
      <c r="V93" s="1308"/>
      <c r="W93" s="1308"/>
      <c r="X93" s="1308"/>
      <c r="Y93" s="1308"/>
      <c r="Z93" s="1308"/>
      <c r="AA93" s="1308"/>
      <c r="AB93" s="1308"/>
      <c r="AC93" s="1308"/>
      <c r="AD93" s="1308"/>
      <c r="AE93" s="1308"/>
      <c r="AF93" s="1308"/>
      <c r="AG93" s="1308"/>
      <c r="AH93" s="1308"/>
      <c r="AI93" s="1308"/>
      <c r="AJ93" s="1308"/>
      <c r="AK93" s="1308"/>
      <c r="AL93" s="1308"/>
      <c r="AM93" s="1308"/>
      <c r="AN93" s="1308"/>
      <c r="AO93" s="1309"/>
      <c r="AP93" s="1309"/>
      <c r="AQ93" s="1309"/>
      <c r="AR93" s="1308"/>
      <c r="AS93" s="1309"/>
      <c r="AT93" s="1309"/>
      <c r="AU93" s="1309"/>
      <c r="AV93" s="1309"/>
      <c r="AW93" s="1309"/>
      <c r="AX93" s="1309"/>
      <c r="AY93" s="1309"/>
      <c r="AZ93" s="1309"/>
      <c r="BA93" s="1298"/>
      <c r="BB93" s="1298"/>
    </row>
    <row r="94" spans="1:54">
      <c r="A94" s="1298"/>
      <c r="B94" s="1316"/>
      <c r="C94" s="1316"/>
      <c r="D94" s="1307"/>
      <c r="E94" s="1307"/>
      <c r="F94" s="1307"/>
      <c r="G94" s="1308"/>
      <c r="H94" s="1308"/>
      <c r="I94" s="1308"/>
      <c r="J94" s="1308"/>
      <c r="K94" s="1308"/>
      <c r="L94" s="1308"/>
      <c r="M94" s="1308"/>
      <c r="N94" s="1308"/>
      <c r="O94" s="1308"/>
      <c r="P94" s="1308"/>
      <c r="Q94" s="1308"/>
      <c r="R94" s="1308"/>
      <c r="S94" s="1308"/>
      <c r="T94" s="1308"/>
      <c r="U94" s="1308"/>
      <c r="V94" s="1308"/>
      <c r="W94" s="1308"/>
      <c r="X94" s="1308"/>
      <c r="Y94" s="1308"/>
      <c r="Z94" s="1308"/>
      <c r="AA94" s="1308"/>
      <c r="AB94" s="1308"/>
      <c r="AC94" s="1308"/>
      <c r="AD94" s="1308"/>
      <c r="AE94" s="1308"/>
      <c r="AF94" s="1308"/>
      <c r="AG94" s="1308"/>
      <c r="AH94" s="1308"/>
      <c r="AI94" s="1308"/>
      <c r="AJ94" s="1308"/>
      <c r="AK94" s="1308"/>
      <c r="AL94" s="1308"/>
      <c r="AM94" s="1308"/>
      <c r="AN94" s="1308"/>
      <c r="AO94" s="1309"/>
      <c r="AP94" s="1309"/>
      <c r="AQ94" s="1309"/>
      <c r="AR94" s="1308"/>
      <c r="AS94" s="1309"/>
      <c r="AT94" s="1309"/>
      <c r="AU94" s="1309"/>
      <c r="AV94" s="1309"/>
      <c r="AW94" s="1309"/>
      <c r="AX94" s="1309"/>
      <c r="AY94" s="1309"/>
      <c r="AZ94" s="1309"/>
      <c r="BA94" s="1298"/>
      <c r="BB94" s="1298"/>
    </row>
    <row r="95" spans="1:54">
      <c r="A95" s="1298"/>
      <c r="B95" s="1316"/>
      <c r="C95" s="1316"/>
      <c r="D95" s="1307"/>
      <c r="E95" s="1307"/>
      <c r="F95" s="1307"/>
      <c r="G95" s="1308"/>
      <c r="H95" s="1308"/>
      <c r="I95" s="1308"/>
      <c r="J95" s="1308"/>
      <c r="K95" s="1308"/>
      <c r="L95" s="1308"/>
      <c r="M95" s="1308"/>
      <c r="N95" s="1308"/>
      <c r="O95" s="1308"/>
      <c r="P95" s="1308"/>
      <c r="Q95" s="1308"/>
      <c r="R95" s="1308"/>
      <c r="S95" s="1308"/>
      <c r="T95" s="1308"/>
      <c r="U95" s="1308"/>
      <c r="V95" s="1308"/>
      <c r="W95" s="1308"/>
      <c r="X95" s="1308"/>
      <c r="Y95" s="1308"/>
      <c r="Z95" s="1308"/>
      <c r="AA95" s="1308"/>
      <c r="AB95" s="1308"/>
      <c r="AC95" s="1308"/>
      <c r="AD95" s="1308"/>
      <c r="AE95" s="1308"/>
      <c r="AF95" s="1308"/>
      <c r="AG95" s="1308"/>
      <c r="AH95" s="1308"/>
      <c r="AI95" s="1308"/>
      <c r="AJ95" s="1308"/>
      <c r="AK95" s="1308"/>
      <c r="AL95" s="1308"/>
      <c r="AM95" s="1308"/>
      <c r="AN95" s="1308"/>
      <c r="AO95" s="1309"/>
      <c r="AP95" s="1309"/>
      <c r="AQ95" s="1309"/>
      <c r="AR95" s="1308"/>
      <c r="AS95" s="1309"/>
      <c r="AT95" s="1309"/>
      <c r="AU95" s="1309"/>
      <c r="AV95" s="1309"/>
      <c r="AW95" s="1309"/>
      <c r="AX95" s="1309"/>
      <c r="AY95" s="1309"/>
      <c r="AZ95" s="1309"/>
      <c r="BA95" s="1298"/>
      <c r="BB95" s="1298"/>
    </row>
    <row r="96" spans="1:54">
      <c r="A96" s="1298"/>
      <c r="B96" s="1316"/>
      <c r="C96" s="1316"/>
      <c r="D96" s="1307"/>
      <c r="E96" s="1307"/>
      <c r="F96" s="1307"/>
      <c r="G96" s="1308"/>
      <c r="H96" s="1308"/>
      <c r="I96" s="1308"/>
      <c r="J96" s="1308"/>
      <c r="K96" s="1308"/>
      <c r="L96" s="1308"/>
      <c r="M96" s="1308"/>
      <c r="N96" s="1308"/>
      <c r="O96" s="1308"/>
      <c r="P96" s="1308"/>
      <c r="Q96" s="1308"/>
      <c r="R96" s="1308"/>
      <c r="S96" s="1308"/>
      <c r="T96" s="1308"/>
      <c r="U96" s="1308"/>
      <c r="V96" s="1308"/>
      <c r="W96" s="1308"/>
      <c r="X96" s="1308"/>
      <c r="Y96" s="1308"/>
      <c r="Z96" s="1308"/>
      <c r="AA96" s="1308"/>
      <c r="AB96" s="1308"/>
      <c r="AC96" s="1308"/>
      <c r="AD96" s="1308"/>
      <c r="AE96" s="1308"/>
      <c r="AF96" s="1308"/>
      <c r="AG96" s="1308"/>
      <c r="AH96" s="1308"/>
      <c r="AI96" s="1308"/>
      <c r="AJ96" s="1308"/>
      <c r="AK96" s="1308"/>
      <c r="AL96" s="1308"/>
      <c r="AM96" s="1308"/>
      <c r="AN96" s="1308"/>
      <c r="AO96" s="1309"/>
      <c r="AP96" s="1309"/>
      <c r="AQ96" s="1309"/>
      <c r="AR96" s="1308"/>
      <c r="AS96" s="1309"/>
      <c r="AT96" s="1309"/>
      <c r="AU96" s="1309"/>
      <c r="AV96" s="1309"/>
      <c r="AW96" s="1309"/>
      <c r="AX96" s="1309"/>
      <c r="AY96" s="1309"/>
      <c r="AZ96" s="1309"/>
      <c r="BA96" s="1298"/>
      <c r="BB96" s="1298"/>
    </row>
    <row r="97" spans="2:33">
      <c r="B97" s="1316"/>
      <c r="C97" s="1316"/>
      <c r="D97" s="1307"/>
      <c r="E97" s="1307"/>
      <c r="F97" s="1307"/>
      <c r="G97" s="1308"/>
      <c r="H97" s="1308"/>
      <c r="I97" s="1308"/>
      <c r="J97" s="1308"/>
      <c r="K97" s="1308"/>
      <c r="L97" s="1308"/>
      <c r="M97" s="1308"/>
      <c r="N97" s="1308"/>
      <c r="O97" s="1308"/>
      <c r="P97" s="1308"/>
      <c r="Q97" s="1308"/>
      <c r="R97" s="1308"/>
      <c r="S97" s="1308"/>
      <c r="T97" s="1308"/>
      <c r="U97" s="1308"/>
      <c r="V97" s="1308"/>
      <c r="W97" s="1308"/>
      <c r="X97" s="1308"/>
      <c r="Y97" s="1308"/>
      <c r="Z97" s="1308"/>
      <c r="AA97" s="1308"/>
      <c r="AB97" s="1308"/>
      <c r="AC97" s="1308"/>
      <c r="AD97" s="1308"/>
      <c r="AE97" s="1308"/>
      <c r="AF97" s="1308"/>
      <c r="AG97" s="1308"/>
    </row>
    <row r="98" spans="2:33">
      <c r="B98" s="1316"/>
      <c r="C98" s="1316"/>
      <c r="D98" s="1307"/>
      <c r="E98" s="1307"/>
      <c r="F98" s="1307"/>
      <c r="G98" s="1308"/>
      <c r="H98" s="1308"/>
      <c r="I98" s="1308"/>
      <c r="J98" s="1308"/>
      <c r="K98" s="1308"/>
      <c r="L98" s="1308"/>
      <c r="M98" s="1308"/>
      <c r="N98" s="1308"/>
      <c r="O98" s="1308"/>
      <c r="P98" s="1308"/>
      <c r="Q98" s="1308"/>
      <c r="R98" s="1308"/>
      <c r="S98" s="1308"/>
      <c r="T98" s="1308"/>
      <c r="U98" s="1308"/>
      <c r="V98" s="1308"/>
      <c r="W98" s="1308"/>
      <c r="X98" s="1308"/>
      <c r="Y98" s="1308"/>
      <c r="Z98" s="1308"/>
      <c r="AA98" s="1308"/>
      <c r="AB98" s="1308"/>
      <c r="AC98" s="1308"/>
      <c r="AD98" s="1308"/>
      <c r="AE98" s="1308"/>
      <c r="AF98" s="1308"/>
      <c r="AG98" s="1308"/>
    </row>
    <row r="99" spans="2:33">
      <c r="B99" s="1316"/>
      <c r="C99" s="1316"/>
      <c r="D99" s="1307"/>
      <c r="E99" s="1307"/>
      <c r="F99" s="1307"/>
      <c r="G99" s="1308"/>
      <c r="H99" s="1308"/>
      <c r="I99" s="1308"/>
      <c r="J99" s="1308"/>
      <c r="K99" s="1308"/>
      <c r="L99" s="1308"/>
      <c r="M99" s="1308"/>
      <c r="N99" s="1308"/>
      <c r="O99" s="1308"/>
      <c r="P99" s="1308"/>
      <c r="Q99" s="1308"/>
      <c r="R99" s="1308"/>
      <c r="S99" s="1308"/>
      <c r="T99" s="1308"/>
      <c r="U99" s="1308"/>
      <c r="V99" s="1308"/>
      <c r="W99" s="1308"/>
      <c r="X99" s="1308"/>
      <c r="Y99" s="1308"/>
      <c r="Z99" s="1308"/>
      <c r="AA99" s="1308"/>
      <c r="AB99" s="1308"/>
      <c r="AC99" s="1308"/>
      <c r="AD99" s="1308"/>
      <c r="AE99" s="1308"/>
      <c r="AF99" s="1308"/>
      <c r="AG99" s="1308"/>
    </row>
    <row r="100" spans="2:33">
      <c r="B100" s="1316"/>
      <c r="C100" s="1316"/>
      <c r="D100" s="1307"/>
      <c r="E100" s="1307"/>
      <c r="F100" s="1307"/>
      <c r="G100" s="1308"/>
      <c r="H100" s="1308"/>
      <c r="I100" s="1308"/>
      <c r="J100" s="1308"/>
      <c r="K100" s="1308"/>
      <c r="L100" s="1308"/>
      <c r="M100" s="1308"/>
      <c r="N100" s="1308"/>
      <c r="O100" s="1308"/>
      <c r="P100" s="1308"/>
      <c r="Q100" s="1308"/>
      <c r="R100" s="1308"/>
      <c r="S100" s="1308"/>
      <c r="T100" s="1308"/>
      <c r="U100" s="1308"/>
      <c r="V100" s="1308"/>
      <c r="W100" s="1308"/>
      <c r="X100" s="1308"/>
      <c r="Y100" s="1308"/>
      <c r="Z100" s="1308"/>
      <c r="AA100" s="1308"/>
      <c r="AB100" s="1308"/>
      <c r="AC100" s="1308"/>
      <c r="AD100" s="1308"/>
      <c r="AE100" s="1308"/>
      <c r="AF100" s="1308"/>
      <c r="AG100" s="1308"/>
    </row>
    <row r="101" spans="2:33">
      <c r="B101" s="1316"/>
      <c r="C101" s="1316"/>
      <c r="D101" s="1307"/>
      <c r="E101" s="1307"/>
      <c r="F101" s="1307"/>
      <c r="G101" s="1308"/>
      <c r="H101" s="1308"/>
      <c r="I101" s="1308"/>
      <c r="J101" s="1308"/>
      <c r="K101" s="1308"/>
      <c r="L101" s="1308"/>
      <c r="M101" s="1308"/>
      <c r="N101" s="1308"/>
      <c r="O101" s="1308"/>
      <c r="P101" s="1308"/>
      <c r="Q101" s="1308"/>
      <c r="R101" s="1308"/>
      <c r="S101" s="1308"/>
      <c r="T101" s="1308"/>
      <c r="U101" s="1308"/>
      <c r="V101" s="1308"/>
      <c r="W101" s="1308"/>
      <c r="X101" s="1308"/>
      <c r="Y101" s="1308"/>
      <c r="Z101" s="1308"/>
      <c r="AA101" s="1308"/>
      <c r="AB101" s="1308"/>
      <c r="AC101" s="1308"/>
      <c r="AD101" s="1308"/>
      <c r="AE101" s="1308"/>
      <c r="AF101" s="1308"/>
      <c r="AG101" s="1308"/>
    </row>
    <row r="102" spans="2:33">
      <c r="B102" s="1316"/>
      <c r="C102" s="1316"/>
      <c r="D102" s="1307"/>
      <c r="E102" s="1307"/>
      <c r="F102" s="1307"/>
      <c r="G102" s="1308"/>
      <c r="H102" s="1308"/>
      <c r="I102" s="1308"/>
      <c r="J102" s="1308"/>
      <c r="K102" s="1308"/>
      <c r="L102" s="1308"/>
      <c r="M102" s="1308"/>
      <c r="N102" s="1308"/>
      <c r="O102" s="1308"/>
      <c r="P102" s="1308"/>
      <c r="Q102" s="1308"/>
      <c r="R102" s="1308"/>
      <c r="S102" s="1308"/>
      <c r="T102" s="1308"/>
      <c r="U102" s="1308"/>
      <c r="V102" s="1308"/>
      <c r="W102" s="1308"/>
      <c r="X102" s="1308"/>
      <c r="Y102" s="1308"/>
      <c r="Z102" s="1308"/>
      <c r="AA102" s="1308"/>
      <c r="AB102" s="1308"/>
      <c r="AC102" s="1308"/>
      <c r="AD102" s="1308"/>
      <c r="AE102" s="1308"/>
      <c r="AF102" s="1308"/>
      <c r="AG102" s="1308"/>
    </row>
    <row r="103" spans="2:33">
      <c r="B103" s="1316"/>
      <c r="C103" s="1316"/>
      <c r="D103" s="1307"/>
      <c r="E103" s="1307"/>
      <c r="F103" s="1307"/>
      <c r="G103" s="1308"/>
      <c r="H103" s="1308"/>
      <c r="I103" s="1308"/>
      <c r="J103" s="1308"/>
      <c r="K103" s="1308"/>
      <c r="L103" s="1308"/>
      <c r="M103" s="1308"/>
      <c r="N103" s="1308"/>
      <c r="O103" s="1308"/>
      <c r="P103" s="1308"/>
      <c r="Q103" s="1308"/>
      <c r="R103" s="1308"/>
      <c r="S103" s="1308"/>
      <c r="T103" s="1308"/>
      <c r="U103" s="1308"/>
      <c r="V103" s="1308"/>
      <c r="W103" s="1308"/>
      <c r="X103" s="1308"/>
      <c r="Y103" s="1308"/>
      <c r="Z103" s="1308"/>
      <c r="AA103" s="1308"/>
      <c r="AB103" s="1308"/>
      <c r="AC103" s="1308"/>
      <c r="AD103" s="1308"/>
      <c r="AE103" s="1308"/>
      <c r="AF103" s="1308"/>
      <c r="AG103" s="1308"/>
    </row>
  </sheetData>
  <customSheetViews>
    <customSheetView guid="{343BF296-013A-41F5-BDAB-AD6220EA7F78}" scale="115" showPageBreaks="1" printArea="1" view="pageBreakPreview" topLeftCell="A10">
      <selection activeCell="D33" sqref="D33"/>
      <colBreaks count="1" manualBreakCount="1">
        <brk id="21" max="71" man="1"/>
      </colBreaks>
      <pageMargins left="0" right="0" top="0" bottom="0" header="0" footer="0"/>
      <printOptions horizontalCentered="1"/>
      <pageSetup scale="35" fitToWidth="2" orientation="landscape" r:id="rId1"/>
    </customSheetView>
    <customSheetView guid="{B321D76C-CDE5-48BB-9CDE-80FF97D58FCF}" scale="115" showPageBreaks="1" printArea="1" view="pageBreakPreview" topLeftCell="A10">
      <selection activeCell="D33" sqref="D33"/>
      <colBreaks count="1" manualBreakCount="1">
        <brk id="21" max="71" man="1"/>
      </colBreaks>
      <pageMargins left="0" right="0" top="0" bottom="0" header="0" footer="0"/>
      <printOptions horizontalCentered="1"/>
      <pageSetup scale="35" fitToWidth="2" orientation="landscape" r:id="rId2"/>
    </customSheetView>
  </customSheetViews>
  <mergeCells count="6">
    <mergeCell ref="B10:H10"/>
    <mergeCell ref="D4:G4"/>
    <mergeCell ref="D5:G5"/>
    <mergeCell ref="D6:G6"/>
    <mergeCell ref="D8:G8"/>
    <mergeCell ref="D9:G9"/>
  </mergeCells>
  <printOptions horizontalCentered="1"/>
  <pageMargins left="0.4" right="0.4" top="0.5" bottom="0.5" header="0.3" footer="0.3"/>
  <pageSetup scale="38" fitToWidth="3" fitToHeight="0" orientation="landscape" r:id="rId3"/>
  <colBreaks count="2" manualBreakCount="2">
    <brk id="19" max="71" man="1"/>
    <brk id="36" max="74" man="1"/>
  </colBreaks>
  <ignoredErrors>
    <ignoredError sqref="B12:BA12" numberStoredAsText="1"/>
  </ignoredError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rgb="FF92D050"/>
    <pageSetUpPr fitToPage="1"/>
  </sheetPr>
  <dimension ref="A1:L29"/>
  <sheetViews>
    <sheetView view="pageBreakPreview" zoomScale="90" zoomScaleNormal="100" zoomScaleSheetLayoutView="90" workbookViewId="0">
      <selection activeCell="L26" sqref="L26"/>
    </sheetView>
  </sheetViews>
  <sheetFormatPr defaultColWidth="9" defaultRowHeight="13.2"/>
  <cols>
    <col min="1" max="1" width="7.77734375" style="73" bestFit="1" customWidth="1"/>
    <col min="2" max="2" width="9" style="73" bestFit="1" customWidth="1"/>
    <col min="3" max="3" width="41.21875" style="73" bestFit="1" customWidth="1"/>
    <col min="4" max="4" width="16.77734375" style="73" bestFit="1" customWidth="1"/>
    <col min="5" max="5" width="2.77734375" style="73" customWidth="1"/>
    <col min="6" max="6" width="10.109375" style="73" customWidth="1"/>
    <col min="7" max="7" width="1.77734375" style="73" customWidth="1"/>
    <col min="8" max="8" width="34.109375" style="73" customWidth="1"/>
    <col min="9" max="10" width="9" style="73"/>
    <col min="11" max="11" width="29.109375" style="73" customWidth="1"/>
    <col min="12" max="16384" width="9" style="73"/>
  </cols>
  <sheetData>
    <row r="1" spans="1:12" s="71" customFormat="1" ht="15.6">
      <c r="A1" s="70"/>
      <c r="C1" s="324"/>
      <c r="H1" s="72"/>
      <c r="L1" s="114"/>
    </row>
    <row r="3" spans="1:12" ht="17.399999999999999">
      <c r="A3" s="221"/>
      <c r="B3" s="218"/>
      <c r="C3" s="408"/>
      <c r="D3" s="218"/>
      <c r="E3" s="218"/>
      <c r="F3" s="218"/>
      <c r="G3" s="218"/>
      <c r="H3" s="218"/>
      <c r="I3" s="218"/>
      <c r="J3" s="218"/>
      <c r="K3" s="448"/>
      <c r="L3" s="1264"/>
    </row>
    <row r="4" spans="1:12" ht="17.399999999999999">
      <c r="A4" s="1463" t="s">
        <v>0</v>
      </c>
      <c r="B4" s="1463"/>
      <c r="C4" s="1463"/>
      <c r="D4" s="1463"/>
      <c r="E4" s="1463"/>
      <c r="F4" s="1463"/>
      <c r="G4" s="1463"/>
      <c r="H4" s="1463"/>
      <c r="I4" s="221"/>
      <c r="J4" s="221"/>
      <c r="K4" s="221"/>
      <c r="L4" s="221"/>
    </row>
    <row r="5" spans="1:12" ht="17.399999999999999">
      <c r="A5" s="1463" t="s">
        <v>1</v>
      </c>
      <c r="B5" s="1463"/>
      <c r="C5" s="1463"/>
      <c r="D5" s="1463"/>
      <c r="E5" s="1463"/>
      <c r="F5" s="1463"/>
      <c r="G5" s="1463"/>
      <c r="H5" s="1463"/>
      <c r="I5" s="221"/>
      <c r="J5" s="221"/>
      <c r="K5" s="221"/>
      <c r="L5" s="221"/>
    </row>
    <row r="6" spans="1:12" ht="17.399999999999999">
      <c r="A6" s="1464" t="str">
        <f>SUMMARY!A7</f>
        <v>YEAR ENDING DECEMBER 31, 2022</v>
      </c>
      <c r="B6" s="1464"/>
      <c r="C6" s="1464"/>
      <c r="D6" s="1464"/>
      <c r="E6" s="1464"/>
      <c r="F6" s="1464"/>
      <c r="G6" s="1464"/>
      <c r="H6" s="1464"/>
      <c r="I6" s="221"/>
      <c r="J6" s="221"/>
      <c r="K6" s="221"/>
      <c r="L6" s="221"/>
    </row>
    <row r="7" spans="1:12" ht="12" customHeight="1">
      <c r="A7" s="218"/>
      <c r="B7" s="218"/>
      <c r="C7" s="223"/>
      <c r="D7" s="218"/>
      <c r="E7" s="218"/>
      <c r="F7" s="218"/>
      <c r="G7" s="218"/>
      <c r="H7" s="218"/>
      <c r="I7" s="218"/>
      <c r="J7" s="218"/>
      <c r="K7" s="218"/>
      <c r="L7" s="218"/>
    </row>
    <row r="8" spans="1:12" ht="17.399999999999999">
      <c r="A8" s="1463" t="s">
        <v>2</v>
      </c>
      <c r="B8" s="1463"/>
      <c r="C8" s="1463"/>
      <c r="D8" s="1463"/>
      <c r="E8" s="1463"/>
      <c r="F8" s="1463"/>
      <c r="G8" s="1463"/>
      <c r="H8" s="1463"/>
      <c r="I8" s="221"/>
      <c r="J8" s="221"/>
      <c r="K8" s="221"/>
      <c r="L8" s="221"/>
    </row>
    <row r="9" spans="1:12" ht="17.399999999999999">
      <c r="A9" s="1463" t="s">
        <v>3</v>
      </c>
      <c r="B9" s="1463"/>
      <c r="C9" s="1463"/>
      <c r="D9" s="1463"/>
      <c r="E9" s="1463"/>
      <c r="F9" s="1463"/>
      <c r="G9" s="1463"/>
      <c r="H9" s="1463"/>
      <c r="I9" s="221"/>
      <c r="J9" s="221"/>
      <c r="K9" s="221"/>
      <c r="L9" s="221"/>
    </row>
    <row r="11" spans="1:12" s="71" customFormat="1" ht="15"/>
    <row r="12" spans="1:12" s="71" customFormat="1" ht="15"/>
    <row r="13" spans="1:12" s="71" customFormat="1" ht="15.6">
      <c r="D13" s="1280" t="s">
        <v>4</v>
      </c>
      <c r="E13" s="1266"/>
      <c r="F13" s="110" t="s">
        <v>5</v>
      </c>
      <c r="H13" s="324" t="s">
        <v>6</v>
      </c>
    </row>
    <row r="14" spans="1:12" s="71" customFormat="1" ht="15">
      <c r="B14" s="521" t="s">
        <v>7</v>
      </c>
      <c r="D14" s="730" t="s">
        <v>8</v>
      </c>
      <c r="E14" s="730"/>
      <c r="F14" s="730" t="s">
        <v>9</v>
      </c>
    </row>
    <row r="15" spans="1:12" s="71" customFormat="1" ht="15">
      <c r="B15" s="521"/>
      <c r="D15" s="108"/>
      <c r="E15" s="108"/>
      <c r="F15" s="108"/>
      <c r="G15" s="108"/>
    </row>
    <row r="16" spans="1:12" s="71" customFormat="1" ht="15.6">
      <c r="B16" s="1266">
        <v>1</v>
      </c>
      <c r="C16" s="71" t="s">
        <v>10</v>
      </c>
      <c r="D16" s="102">
        <f>SUM('B2-Plant'!Q24:Q25,'B2-Plant'!Q33)</f>
        <v>3097768974.7749996</v>
      </c>
      <c r="E16" s="419"/>
      <c r="F16" s="749"/>
      <c r="G16" s="749"/>
      <c r="H16" s="71" t="s">
        <v>11</v>
      </c>
    </row>
    <row r="17" spans="2:8" s="71" customFormat="1" ht="15.6">
      <c r="B17" s="1266"/>
      <c r="D17" s="102"/>
      <c r="E17" s="102"/>
      <c r="F17" s="102"/>
    </row>
    <row r="18" spans="2:8" s="71" customFormat="1" ht="30.6">
      <c r="B18" s="1266">
        <v>2</v>
      </c>
      <c r="C18" s="410" t="s">
        <v>12</v>
      </c>
      <c r="D18" s="102">
        <f>-'B2-Plant'!Q35</f>
        <v>74678999.085000008</v>
      </c>
      <c r="E18" s="102"/>
      <c r="F18" s="102"/>
      <c r="H18" s="71" t="s">
        <v>13</v>
      </c>
    </row>
    <row r="19" spans="2:8" s="71" customFormat="1" ht="16.2" thickBot="1">
      <c r="B19" s="1266"/>
      <c r="D19" s="102"/>
      <c r="E19" s="102"/>
      <c r="F19" s="102"/>
    </row>
    <row r="20" spans="2:8" s="71" customFormat="1" ht="16.2" thickBot="1">
      <c r="B20" s="1266">
        <v>3</v>
      </c>
      <c r="C20" s="70" t="s">
        <v>5</v>
      </c>
      <c r="D20" s="102"/>
      <c r="E20" s="102"/>
      <c r="F20" s="1238">
        <f>D18/D16</f>
        <v>2.4107349416017755E-2</v>
      </c>
      <c r="G20" s="793"/>
      <c r="H20" s="71" t="s">
        <v>14</v>
      </c>
    </row>
    <row r="21" spans="2:8" s="71" customFormat="1" ht="15.6">
      <c r="B21" s="70"/>
      <c r="D21" s="102"/>
      <c r="E21" s="102"/>
      <c r="F21" s="102"/>
    </row>
    <row r="22" spans="2:8" s="71" customFormat="1" ht="15.6">
      <c r="B22" s="1266">
        <v>4</v>
      </c>
      <c r="C22" s="71" t="s">
        <v>15</v>
      </c>
      <c r="D22" s="102">
        <f>'A1-O&amp;M'!H31</f>
        <v>43506846.219999999</v>
      </c>
      <c r="E22" s="102"/>
      <c r="F22" s="102"/>
      <c r="H22" s="71" t="s">
        <v>16</v>
      </c>
    </row>
    <row r="23" spans="2:8" s="71" customFormat="1" ht="15.6">
      <c r="B23" s="70"/>
      <c r="D23" s="102"/>
      <c r="E23" s="102"/>
      <c r="F23" s="102"/>
    </row>
    <row r="24" spans="2:8" s="71" customFormat="1" ht="15.6">
      <c r="B24" s="1266">
        <v>5</v>
      </c>
      <c r="C24" s="70" t="s">
        <v>17</v>
      </c>
      <c r="D24" s="101">
        <f>-D22*F20</f>
        <v>-1048834.7438144912</v>
      </c>
      <c r="E24" s="101"/>
      <c r="F24" s="102"/>
      <c r="H24" s="71" t="s">
        <v>18</v>
      </c>
    </row>
    <row r="25" spans="2:8" s="71" customFormat="1" ht="15.6">
      <c r="B25" s="1266"/>
      <c r="D25" s="102"/>
    </row>
    <row r="26" spans="2:8" s="71" customFormat="1" ht="15.6">
      <c r="B26" s="1266"/>
    </row>
    <row r="27" spans="2:8" s="71" customFormat="1" ht="15"/>
    <row r="28" spans="2:8" s="71" customFormat="1" ht="15"/>
    <row r="29" spans="2:8" s="71" customFormat="1" ht="15"/>
  </sheetData>
  <customSheetViews>
    <customSheetView guid="{343BF296-013A-41F5-BDAB-AD6220EA7F78}" scale="85" showPageBreaks="1" fitToPage="1" printArea="1" view="pageBreakPreview" topLeftCell="A7">
      <selection activeCell="D33" sqref="D33"/>
      <pageMargins left="0" right="0" top="0" bottom="0" header="0" footer="0"/>
      <printOptions horizontalCentered="1"/>
      <pageSetup orientation="landscape" r:id="rId1"/>
    </customSheetView>
    <customSheetView guid="{B321D76C-CDE5-48BB-9CDE-80FF97D58FCF}" scale="85" showPageBreaks="1" fitToPage="1" printArea="1" view="pageBreakPreview" topLeftCell="A7">
      <selection activeCell="D33" sqref="D33"/>
      <pageMargins left="0" right="0" top="0" bottom="0" header="0" footer="0"/>
      <printOptions horizontalCentered="1"/>
      <pageSetup orientation="landscape" r:id="rId2"/>
    </customSheetView>
  </customSheetViews>
  <mergeCells count="5">
    <mergeCell ref="A4:H4"/>
    <mergeCell ref="A5:H5"/>
    <mergeCell ref="A6:H6"/>
    <mergeCell ref="A8:H8"/>
    <mergeCell ref="A9:H9"/>
  </mergeCells>
  <printOptions horizontalCentered="1"/>
  <pageMargins left="0.45" right="0.45" top="0.75" bottom="0.75" header="0.3" footer="0.3"/>
  <pageSetup orientation="landscape" r:id="rId3"/>
  <ignoredErrors>
    <ignoredError sqref="D14:F14" numberStoredAsText="1"/>
  </ignoredError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4">
    <tabColor rgb="FF92D050"/>
    <pageSetUpPr fitToPage="1"/>
  </sheetPr>
  <dimension ref="A1:K29"/>
  <sheetViews>
    <sheetView view="pageBreakPreview" zoomScale="90" zoomScaleNormal="100" zoomScaleSheetLayoutView="90" workbookViewId="0">
      <selection activeCell="D18" sqref="D18"/>
    </sheetView>
  </sheetViews>
  <sheetFormatPr defaultColWidth="9" defaultRowHeight="12"/>
  <cols>
    <col min="1" max="1" width="1.33203125" style="421" customWidth="1"/>
    <col min="2" max="2" width="7.21875" style="421" customWidth="1"/>
    <col min="3" max="3" width="50.77734375" style="421" customWidth="1"/>
    <col min="4" max="4" width="17.109375" style="421" customWidth="1"/>
    <col min="5" max="5" width="12.33203125" style="421" bestFit="1" customWidth="1"/>
    <col min="6" max="6" width="33" style="421" customWidth="1"/>
    <col min="7" max="7" width="1.77734375" style="421" customWidth="1"/>
    <col min="8" max="10" width="9" style="421"/>
    <col min="11" max="11" width="29.109375" style="421" customWidth="1"/>
    <col min="12" max="16384" width="9" style="421"/>
  </cols>
  <sheetData>
    <row r="1" spans="1:11" s="214" customFormat="1" ht="15.6">
      <c r="A1" s="70"/>
      <c r="B1" s="71"/>
      <c r="C1" s="293"/>
      <c r="D1" s="71"/>
      <c r="E1" s="71"/>
      <c r="F1" s="72"/>
      <c r="K1" s="114"/>
    </row>
    <row r="2" spans="1:11" s="216" customFormat="1"/>
    <row r="3" spans="1:11" s="216" customFormat="1" ht="17.399999999999999">
      <c r="A3" s="221"/>
      <c r="B3" s="218"/>
      <c r="C3" s="219"/>
      <c r="D3" s="218"/>
      <c r="E3" s="218"/>
      <c r="F3" s="218"/>
      <c r="G3" s="218"/>
      <c r="H3" s="218"/>
      <c r="I3" s="218"/>
      <c r="J3" s="448"/>
      <c r="K3" s="1264"/>
    </row>
    <row r="4" spans="1:11" s="216" customFormat="1" ht="17.399999999999999">
      <c r="A4" s="1463" t="s">
        <v>0</v>
      </c>
      <c r="B4" s="1463"/>
      <c r="C4" s="1463"/>
      <c r="D4" s="1463"/>
      <c r="E4" s="1463"/>
      <c r="F4" s="1463"/>
      <c r="G4" s="221"/>
      <c r="H4" s="221"/>
      <c r="I4" s="221"/>
      <c r="J4" s="221"/>
      <c r="K4" s="221"/>
    </row>
    <row r="5" spans="1:11" s="216" customFormat="1" ht="17.399999999999999">
      <c r="A5" s="1463" t="s">
        <v>1</v>
      </c>
      <c r="B5" s="1463"/>
      <c r="C5" s="1463"/>
      <c r="D5" s="1463"/>
      <c r="E5" s="1463"/>
      <c r="F5" s="1463"/>
      <c r="G5" s="221"/>
      <c r="H5" s="221"/>
      <c r="I5" s="221"/>
      <c r="J5" s="221"/>
      <c r="K5" s="221"/>
    </row>
    <row r="6" spans="1:11" s="216" customFormat="1" ht="17.399999999999999">
      <c r="A6" s="1464" t="str">
        <f>SUMMARY!A7</f>
        <v>YEAR ENDING DECEMBER 31, 2022</v>
      </c>
      <c r="B6" s="1464"/>
      <c r="C6" s="1464"/>
      <c r="D6" s="1464"/>
      <c r="E6" s="1464"/>
      <c r="F6" s="1464"/>
      <c r="G6" s="221"/>
      <c r="H6" s="221"/>
      <c r="I6" s="221"/>
      <c r="J6" s="221"/>
      <c r="K6" s="221"/>
    </row>
    <row r="7" spans="1:11" s="216" customFormat="1" ht="12" customHeight="1">
      <c r="A7" s="218"/>
      <c r="B7" s="218"/>
      <c r="C7" s="223"/>
      <c r="D7" s="218"/>
      <c r="E7" s="218"/>
      <c r="F7" s="218"/>
      <c r="G7" s="218"/>
      <c r="H7" s="218"/>
      <c r="I7" s="218"/>
      <c r="J7" s="218"/>
      <c r="K7" s="218"/>
    </row>
    <row r="8" spans="1:11" s="216" customFormat="1" ht="17.399999999999999">
      <c r="A8" s="1463" t="s">
        <v>1074</v>
      </c>
      <c r="B8" s="1463"/>
      <c r="C8" s="1463"/>
      <c r="D8" s="1463"/>
      <c r="E8" s="1463"/>
      <c r="F8" s="1463"/>
      <c r="G8" s="221"/>
      <c r="H8" s="221"/>
      <c r="I8" s="221"/>
      <c r="J8" s="221"/>
      <c r="K8" s="221"/>
    </row>
    <row r="9" spans="1:11" s="73" customFormat="1" ht="17.399999999999999">
      <c r="A9" s="1463" t="s">
        <v>56</v>
      </c>
      <c r="B9" s="1463"/>
      <c r="C9" s="1463"/>
      <c r="D9" s="1463"/>
      <c r="E9" s="1463"/>
      <c r="F9" s="1463"/>
      <c r="G9" s="221"/>
      <c r="H9" s="221"/>
      <c r="I9" s="221"/>
      <c r="J9" s="221"/>
      <c r="K9" s="221"/>
    </row>
    <row r="10" spans="1:11" s="73" customFormat="1" ht="17.399999999999999">
      <c r="A10" s="1264"/>
      <c r="B10" s="1264"/>
      <c r="C10" s="1264"/>
      <c r="D10" s="1264"/>
      <c r="E10" s="1264"/>
      <c r="F10" s="1264"/>
      <c r="G10" s="221"/>
      <c r="H10" s="221"/>
      <c r="I10" s="221"/>
      <c r="J10" s="221"/>
      <c r="K10" s="221"/>
    </row>
    <row r="11" spans="1:11" s="73" customFormat="1" ht="17.399999999999999">
      <c r="A11" s="1264"/>
      <c r="B11" s="1264"/>
      <c r="C11" s="1264"/>
      <c r="D11" s="1264"/>
      <c r="E11" s="1264"/>
      <c r="F11" s="1264"/>
      <c r="G11" s="221"/>
      <c r="H11" s="221"/>
      <c r="I11" s="221"/>
      <c r="J11" s="221"/>
      <c r="K11" s="221"/>
    </row>
    <row r="12" spans="1:11" s="73" customFormat="1" ht="13.2"/>
    <row r="13" spans="1:11" s="71" customFormat="1" ht="15.6">
      <c r="D13" s="1280" t="s">
        <v>4</v>
      </c>
      <c r="E13" s="110" t="s">
        <v>5</v>
      </c>
      <c r="F13" s="324" t="s">
        <v>6</v>
      </c>
    </row>
    <row r="14" spans="1:11" s="71" customFormat="1" ht="15">
      <c r="B14" s="521" t="s">
        <v>7</v>
      </c>
      <c r="D14" s="730" t="s">
        <v>8</v>
      </c>
      <c r="E14" s="730" t="s">
        <v>9</v>
      </c>
    </row>
    <row r="15" spans="1:11" s="71" customFormat="1" ht="15">
      <c r="B15" s="521"/>
      <c r="D15" s="108"/>
      <c r="E15" s="108"/>
      <c r="F15" s="108"/>
    </row>
    <row r="16" spans="1:11" s="71" customFormat="1" ht="15.6">
      <c r="B16" s="1266">
        <v>1</v>
      </c>
      <c r="C16" s="71" t="s">
        <v>10</v>
      </c>
      <c r="D16" s="102">
        <f>SUM('B2-Plant'!Q24:Q25,'B2-Plant'!Q33)</f>
        <v>3097768974.7749996</v>
      </c>
      <c r="E16" s="102"/>
      <c r="F16" s="71" t="s">
        <v>1075</v>
      </c>
    </row>
    <row r="17" spans="2:6" s="71" customFormat="1" ht="15.6">
      <c r="B17" s="1266"/>
      <c r="D17" s="102"/>
      <c r="E17" s="102"/>
    </row>
    <row r="18" spans="2:6" s="71" customFormat="1" ht="15.6">
      <c r="B18" s="1266">
        <v>2</v>
      </c>
      <c r="C18" s="12" t="s">
        <v>1076</v>
      </c>
      <c r="D18" s="102">
        <f>-'B2-Plant'!Q36</f>
        <v>44743652.510000005</v>
      </c>
      <c r="E18" s="102"/>
      <c r="F18" s="71" t="s">
        <v>1077</v>
      </c>
    </row>
    <row r="19" spans="2:6" s="71" customFormat="1" ht="16.2" thickBot="1">
      <c r="B19" s="1266"/>
      <c r="D19" s="102"/>
      <c r="E19" s="102"/>
    </row>
    <row r="20" spans="2:6" s="71" customFormat="1" ht="16.2" thickBot="1">
      <c r="B20" s="1266">
        <v>3</v>
      </c>
      <c r="C20" s="70" t="s">
        <v>5</v>
      </c>
      <c r="D20" s="102"/>
      <c r="E20" s="1238">
        <f>D18/D16</f>
        <v>1.4443831310322253E-2</v>
      </c>
      <c r="F20" s="71" t="s">
        <v>14</v>
      </c>
    </row>
    <row r="21" spans="2:6" s="71" customFormat="1" ht="15.6">
      <c r="B21" s="1266"/>
      <c r="D21" s="102"/>
      <c r="E21" s="102"/>
    </row>
    <row r="22" spans="2:6" s="71" customFormat="1" ht="15.6">
      <c r="B22" s="1266">
        <v>4</v>
      </c>
      <c r="C22" s="71" t="s">
        <v>15</v>
      </c>
      <c r="D22" s="102">
        <f>'A1-O&amp;M'!H31</f>
        <v>43506846.219999999</v>
      </c>
      <c r="E22" s="102"/>
      <c r="F22" s="71" t="s">
        <v>1078</v>
      </c>
    </row>
    <row r="23" spans="2:6" s="71" customFormat="1" ht="15.6">
      <c r="B23" s="1266"/>
      <c r="D23" s="102"/>
      <c r="E23" s="102"/>
    </row>
    <row r="24" spans="2:6" s="71" customFormat="1" ht="15.6">
      <c r="B24" s="1266">
        <v>5</v>
      </c>
      <c r="C24" s="70" t="s">
        <v>1079</v>
      </c>
      <c r="D24" s="101">
        <f>-D22*E20</f>
        <v>-628405.54764581134</v>
      </c>
      <c r="E24" s="102"/>
      <c r="F24" s="71" t="s">
        <v>1080</v>
      </c>
    </row>
    <row r="25" spans="2:6" s="71" customFormat="1" ht="15.6">
      <c r="D25" s="792"/>
      <c r="E25" s="756"/>
    </row>
    <row r="26" spans="2:6" s="71" customFormat="1" ht="15"/>
    <row r="27" spans="2:6" s="71" customFormat="1" ht="15"/>
    <row r="28" spans="2:6" s="71" customFormat="1" ht="15"/>
    <row r="29" spans="2:6" s="71" customFormat="1" ht="15"/>
  </sheetData>
  <customSheetViews>
    <customSheetView guid="{343BF296-013A-41F5-BDAB-AD6220EA7F78}" scale="85" showPageBreaks="1" fitToPage="1" printArea="1" view="pageBreakPreview" topLeftCell="A4">
      <selection activeCell="D33" sqref="D33"/>
      <pageMargins left="0" right="0" top="0" bottom="0" header="0" footer="0"/>
      <printOptions horizontalCentered="1"/>
      <pageSetup orientation="landscape" r:id="rId1"/>
    </customSheetView>
    <customSheetView guid="{B321D76C-CDE5-48BB-9CDE-80FF97D58FCF}" scale="85" showPageBreaks="1" fitToPage="1" printArea="1" view="pageBreakPreview" topLeftCell="A4">
      <selection activeCell="D33" sqref="D33"/>
      <pageMargins left="0" right="0" top="0" bottom="0" header="0" footer="0"/>
      <printOptions horizontalCentered="1"/>
      <pageSetup orientation="landscape" r:id="rId2"/>
    </customSheetView>
  </customSheetViews>
  <mergeCells count="5">
    <mergeCell ref="A4:F4"/>
    <mergeCell ref="A5:F5"/>
    <mergeCell ref="A6:F6"/>
    <mergeCell ref="A8:F8"/>
    <mergeCell ref="A9:F9"/>
  </mergeCells>
  <printOptions horizontalCentered="1"/>
  <pageMargins left="0.45" right="0.45" top="0.75" bottom="0.75" header="0.3" footer="0.3"/>
  <pageSetup orientation="landscape" r:id="rId3"/>
  <ignoredErrors>
    <ignoredError sqref="D14:E14" numberStoredAsText="1"/>
  </ignoredErrors>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1:L34"/>
  <sheetViews>
    <sheetView view="pageBreakPreview" zoomScale="90" zoomScaleNormal="100" zoomScaleSheetLayoutView="90" workbookViewId="0">
      <selection activeCell="H16" sqref="H16:H27"/>
    </sheetView>
  </sheetViews>
  <sheetFormatPr defaultColWidth="16.77734375" defaultRowHeight="13.2"/>
  <cols>
    <col min="1" max="1" width="7.77734375" style="73" customWidth="1"/>
    <col min="2" max="2" width="8.77734375" style="351" customWidth="1"/>
    <col min="3" max="3" width="3" style="351" customWidth="1"/>
    <col min="4" max="4" width="13.77734375" style="73" customWidth="1"/>
    <col min="5" max="5" width="3.33203125" style="73" customWidth="1"/>
    <col min="6" max="6" width="11.33203125" style="73" bestFit="1" customWidth="1"/>
    <col min="7" max="7" width="3.33203125" style="73" customWidth="1"/>
    <col min="8" max="8" width="14.33203125" style="73" bestFit="1" customWidth="1"/>
    <col min="9" max="9" width="2.77734375" style="73" customWidth="1"/>
    <col min="10" max="10" width="6.109375" style="73" customWidth="1"/>
    <col min="11" max="11" width="29.109375" style="73" customWidth="1"/>
    <col min="12" max="16384" width="16.77734375" style="73"/>
  </cols>
  <sheetData>
    <row r="1" spans="1:12" ht="15.6">
      <c r="A1" s="70"/>
      <c r="B1" s="347"/>
      <c r="C1" s="347"/>
      <c r="D1" s="70"/>
      <c r="E1" s="71"/>
      <c r="F1" s="324"/>
      <c r="G1" s="71"/>
      <c r="H1" s="71"/>
      <c r="I1" s="71"/>
      <c r="K1" s="294"/>
    </row>
    <row r="2" spans="1:12" ht="15.6">
      <c r="A2" s="70"/>
      <c r="D2" s="70"/>
      <c r="E2" s="71"/>
      <c r="F2" s="324"/>
      <c r="G2" s="71"/>
      <c r="H2" s="71"/>
      <c r="I2" s="71"/>
      <c r="J2" s="294"/>
      <c r="K2" s="294"/>
      <c r="L2" s="114"/>
    </row>
    <row r="3" spans="1:12" ht="17.399999999999999">
      <c r="A3" s="221"/>
      <c r="B3" s="350"/>
      <c r="C3" s="350"/>
      <c r="D3" s="221"/>
      <c r="E3" s="218"/>
      <c r="F3" s="408"/>
      <c r="G3" s="218"/>
      <c r="H3" s="218"/>
      <c r="I3" s="218"/>
      <c r="J3" s="218"/>
      <c r="K3" s="218"/>
      <c r="L3" s="1264"/>
    </row>
    <row r="4" spans="1:12" ht="17.399999999999999">
      <c r="A4" s="1463" t="s">
        <v>0</v>
      </c>
      <c r="B4" s="1463"/>
      <c r="C4" s="1463"/>
      <c r="D4" s="1463"/>
      <c r="E4" s="1463"/>
      <c r="F4" s="1463"/>
      <c r="G4" s="1463"/>
      <c r="H4" s="1463"/>
      <c r="I4" s="1463"/>
      <c r="J4" s="1463"/>
      <c r="K4" s="221"/>
      <c r="L4" s="221"/>
    </row>
    <row r="5" spans="1:12" ht="17.399999999999999">
      <c r="A5" s="1463" t="s">
        <v>1</v>
      </c>
      <c r="B5" s="1463"/>
      <c r="C5" s="1463"/>
      <c r="D5" s="1463"/>
      <c r="E5" s="1463"/>
      <c r="F5" s="1463"/>
      <c r="G5" s="1463"/>
      <c r="H5" s="1463"/>
      <c r="I5" s="1463"/>
      <c r="J5" s="1463"/>
      <c r="K5" s="221"/>
      <c r="L5" s="221"/>
    </row>
    <row r="6" spans="1:12" ht="17.399999999999999">
      <c r="A6" s="1464" t="str">
        <f>SUMMARY!A7</f>
        <v>YEAR ENDING DECEMBER 31, 2022</v>
      </c>
      <c r="B6" s="1464"/>
      <c r="C6" s="1464"/>
      <c r="D6" s="1464"/>
      <c r="E6" s="1464"/>
      <c r="F6" s="1464"/>
      <c r="G6" s="1464"/>
      <c r="H6" s="1464"/>
      <c r="I6" s="1464"/>
      <c r="J6" s="1464"/>
      <c r="K6" s="221"/>
      <c r="L6" s="221"/>
    </row>
    <row r="7" spans="1:12" ht="17.399999999999999">
      <c r="A7" s="218"/>
      <c r="B7" s="350"/>
      <c r="C7" s="350"/>
      <c r="D7" s="218"/>
      <c r="E7" s="218"/>
      <c r="F7" s="223"/>
      <c r="G7" s="218"/>
      <c r="H7" s="218"/>
      <c r="I7" s="218"/>
      <c r="J7" s="218"/>
      <c r="K7" s="218"/>
      <c r="L7" s="218"/>
    </row>
    <row r="8" spans="1:12" ht="17.399999999999999">
      <c r="A8" s="1463" t="s">
        <v>1081</v>
      </c>
      <c r="B8" s="1463"/>
      <c r="C8" s="1463"/>
      <c r="D8" s="1463"/>
      <c r="E8" s="1463"/>
      <c r="F8" s="1463"/>
      <c r="G8" s="1463"/>
      <c r="H8" s="1463"/>
      <c r="I8" s="1463"/>
      <c r="J8" s="1463"/>
      <c r="K8" s="221"/>
      <c r="L8" s="221"/>
    </row>
    <row r="9" spans="1:12" ht="17.399999999999999">
      <c r="A9" s="1463" t="s">
        <v>58</v>
      </c>
      <c r="B9" s="1463"/>
      <c r="C9" s="1463"/>
      <c r="D9" s="1463"/>
      <c r="E9" s="1463"/>
      <c r="F9" s="1463"/>
      <c r="G9" s="1463"/>
      <c r="H9" s="1463"/>
      <c r="I9" s="1463"/>
      <c r="J9" s="1463"/>
      <c r="K9" s="221"/>
      <c r="L9" s="221"/>
    </row>
    <row r="10" spans="1:12" ht="17.399999999999999">
      <c r="A10" s="221"/>
      <c r="B10" s="1278"/>
      <c r="C10" s="1278"/>
      <c r="D10" s="221"/>
      <c r="E10" s="221"/>
      <c r="F10" s="221"/>
      <c r="G10" s="221"/>
      <c r="H10" s="221"/>
      <c r="I10" s="221"/>
      <c r="J10" s="221"/>
      <c r="K10" s="221"/>
      <c r="L10" s="221"/>
    </row>
    <row r="11" spans="1:12" ht="17.399999999999999">
      <c r="A11" s="221"/>
      <c r="B11" s="1278"/>
      <c r="C11" s="1278"/>
      <c r="D11" s="221"/>
      <c r="E11" s="221"/>
      <c r="F11" s="221"/>
      <c r="G11" s="221"/>
      <c r="H11" s="221"/>
      <c r="I11" s="221"/>
      <c r="J11" s="221"/>
      <c r="K11" s="221"/>
      <c r="L11" s="221"/>
    </row>
    <row r="12" spans="1:12" ht="17.399999999999999">
      <c r="A12" s="221"/>
      <c r="D12" s="779" t="s">
        <v>8</v>
      </c>
      <c r="E12" s="221"/>
      <c r="F12" s="780" t="s">
        <v>9</v>
      </c>
      <c r="G12" s="221"/>
      <c r="H12" s="64" t="s">
        <v>359</v>
      </c>
      <c r="I12" s="221"/>
      <c r="J12" s="221"/>
      <c r="K12" s="221"/>
      <c r="L12" s="221"/>
    </row>
    <row r="13" spans="1:12" s="71" customFormat="1" ht="15.6">
      <c r="B13" s="351"/>
      <c r="C13" s="351"/>
      <c r="D13" s="1266"/>
      <c r="E13" s="1266"/>
      <c r="F13" s="1266"/>
      <c r="G13" s="1266"/>
      <c r="H13" s="1266"/>
      <c r="I13" s="1266"/>
    </row>
    <row r="14" spans="1:12" s="71" customFormat="1" ht="15.6">
      <c r="B14" s="347"/>
      <c r="C14" s="351"/>
      <c r="D14" s="1266" t="s">
        <v>1082</v>
      </c>
      <c r="E14" s="1266"/>
      <c r="F14" s="1266"/>
      <c r="G14" s="1266"/>
      <c r="H14" s="1266" t="s">
        <v>1083</v>
      </c>
      <c r="I14" s="1266"/>
    </row>
    <row r="15" spans="1:12" s="71" customFormat="1" ht="15.6">
      <c r="B15" s="781" t="s">
        <v>7</v>
      </c>
      <c r="C15" s="347"/>
      <c r="D15" s="1190" t="s">
        <v>23</v>
      </c>
      <c r="E15" s="1266"/>
      <c r="F15" s="1190" t="s">
        <v>154</v>
      </c>
      <c r="G15" s="409"/>
      <c r="H15" s="1190" t="s">
        <v>4</v>
      </c>
      <c r="I15" s="409"/>
    </row>
    <row r="16" spans="1:12" s="71" customFormat="1" ht="15.6">
      <c r="B16" s="108" t="s">
        <v>167</v>
      </c>
      <c r="C16" s="740"/>
      <c r="D16" s="789">
        <v>44592</v>
      </c>
      <c r="E16" s="1266"/>
      <c r="F16" s="412">
        <v>514180</v>
      </c>
      <c r="G16" s="410"/>
      <c r="H16" s="413">
        <v>3090</v>
      </c>
      <c r="I16" s="790"/>
    </row>
    <row r="17" spans="2:9" s="71" customFormat="1" ht="15.6">
      <c r="B17" s="108" t="s">
        <v>171</v>
      </c>
      <c r="C17" s="744"/>
      <c r="D17" s="789">
        <v>44620</v>
      </c>
      <c r="E17" s="1266"/>
      <c r="F17" s="412">
        <v>514180</v>
      </c>
      <c r="G17" s="410"/>
      <c r="H17" s="413">
        <v>4145</v>
      </c>
      <c r="I17" s="790"/>
    </row>
    <row r="18" spans="2:9" s="71" customFormat="1" ht="15.6">
      <c r="B18" s="108" t="s">
        <v>174</v>
      </c>
      <c r="C18" s="744"/>
      <c r="D18" s="789">
        <v>44651</v>
      </c>
      <c r="E18" s="1266"/>
      <c r="F18" s="412">
        <v>514180</v>
      </c>
      <c r="G18" s="410"/>
      <c r="H18" s="413">
        <v>5163</v>
      </c>
      <c r="I18" s="790"/>
    </row>
    <row r="19" spans="2:9" s="71" customFormat="1" ht="15.6">
      <c r="B19" s="108" t="s">
        <v>177</v>
      </c>
      <c r="C19" s="108"/>
      <c r="D19" s="789">
        <v>44681</v>
      </c>
      <c r="E19" s="1266"/>
      <c r="F19" s="412">
        <v>514180</v>
      </c>
      <c r="G19" s="410"/>
      <c r="H19" s="413">
        <v>2073</v>
      </c>
      <c r="I19" s="790"/>
    </row>
    <row r="20" spans="2:9" s="71" customFormat="1" ht="15.6">
      <c r="B20" s="108" t="s">
        <v>237</v>
      </c>
      <c r="C20" s="108"/>
      <c r="D20" s="789">
        <v>44712</v>
      </c>
      <c r="E20" s="1266"/>
      <c r="F20" s="412">
        <v>514180</v>
      </c>
      <c r="G20" s="410"/>
      <c r="H20" s="413">
        <v>2943</v>
      </c>
      <c r="I20" s="790"/>
    </row>
    <row r="21" spans="2:9" s="71" customFormat="1" ht="15.6">
      <c r="B21" s="108" t="s">
        <v>241</v>
      </c>
      <c r="C21" s="108"/>
      <c r="D21" s="789">
        <v>44742</v>
      </c>
      <c r="E21" s="1266"/>
      <c r="F21" s="412">
        <v>514180</v>
      </c>
      <c r="G21" s="410"/>
      <c r="H21" s="413">
        <v>2920</v>
      </c>
      <c r="I21" s="790"/>
    </row>
    <row r="22" spans="2:9" s="71" customFormat="1" ht="15">
      <c r="B22" s="108" t="s">
        <v>246</v>
      </c>
      <c r="C22" s="108"/>
      <c r="D22" s="789">
        <v>44773</v>
      </c>
      <c r="E22" s="410"/>
      <c r="F22" s="412">
        <v>514180</v>
      </c>
      <c r="G22" s="410"/>
      <c r="H22" s="413">
        <v>9183</v>
      </c>
      <c r="I22" s="790"/>
    </row>
    <row r="23" spans="2:9" s="71" customFormat="1" ht="15.6">
      <c r="B23" s="108" t="s">
        <v>249</v>
      </c>
      <c r="C23" s="108"/>
      <c r="D23" s="789">
        <v>44804</v>
      </c>
      <c r="E23" s="1266"/>
      <c r="F23" s="412">
        <v>514180</v>
      </c>
      <c r="G23" s="410"/>
      <c r="H23" s="413">
        <v>5885</v>
      </c>
      <c r="I23" s="790"/>
    </row>
    <row r="24" spans="2:9" s="71" customFormat="1" ht="15">
      <c r="B24" s="108" t="s">
        <v>253</v>
      </c>
      <c r="C24" s="108"/>
      <c r="D24" s="789">
        <v>44834</v>
      </c>
      <c r="E24" s="410"/>
      <c r="F24" s="412">
        <v>514180</v>
      </c>
      <c r="G24" s="410"/>
      <c r="H24" s="413">
        <v>2025</v>
      </c>
      <c r="I24" s="790"/>
    </row>
    <row r="25" spans="2:9" s="71" customFormat="1" ht="15">
      <c r="B25" s="108" t="s">
        <v>257</v>
      </c>
      <c r="C25" s="108"/>
      <c r="D25" s="789">
        <v>44865</v>
      </c>
      <c r="E25" s="410"/>
      <c r="F25" s="412">
        <v>514180</v>
      </c>
      <c r="G25" s="410"/>
      <c r="H25" s="413">
        <v>8533</v>
      </c>
      <c r="I25" s="790"/>
    </row>
    <row r="26" spans="2:9" s="71" customFormat="1" ht="15.6">
      <c r="B26" s="108" t="s">
        <v>261</v>
      </c>
      <c r="C26" s="108"/>
      <c r="D26" s="789">
        <v>44895</v>
      </c>
      <c r="E26" s="1266"/>
      <c r="F26" s="412">
        <v>514180</v>
      </c>
      <c r="G26" s="410"/>
      <c r="H26" s="413">
        <v>166804</v>
      </c>
      <c r="I26" s="790"/>
    </row>
    <row r="27" spans="2:9" s="71" customFormat="1" ht="15">
      <c r="B27" s="108" t="s">
        <v>265</v>
      </c>
      <c r="C27" s="108"/>
      <c r="D27" s="789">
        <v>44926</v>
      </c>
      <c r="E27" s="410"/>
      <c r="F27" s="412">
        <v>514180</v>
      </c>
      <c r="G27" s="410"/>
      <c r="H27" s="413">
        <v>1545</v>
      </c>
      <c r="I27" s="790"/>
    </row>
    <row r="28" spans="2:9" s="71" customFormat="1" ht="15">
      <c r="B28" s="108" t="s">
        <v>273</v>
      </c>
      <c r="C28" s="742"/>
      <c r="D28" s="789"/>
      <c r="E28" s="410"/>
      <c r="F28" s="412"/>
      <c r="G28" s="410"/>
      <c r="H28" s="414"/>
      <c r="I28" s="790"/>
    </row>
    <row r="29" spans="2:9" s="71" customFormat="1" ht="15">
      <c r="B29" s="120" t="s">
        <v>146</v>
      </c>
      <c r="C29" s="742"/>
      <c r="D29" s="791"/>
      <c r="E29" s="410"/>
      <c r="F29" s="415"/>
      <c r="G29" s="410"/>
      <c r="H29" s="1191"/>
      <c r="I29" s="790"/>
    </row>
    <row r="30" spans="2:9" s="71" customFormat="1" ht="15.6">
      <c r="B30" s="108">
        <v>2</v>
      </c>
      <c r="C30" s="742"/>
      <c r="D30" s="410"/>
      <c r="E30" s="410"/>
      <c r="F30" s="410" t="s">
        <v>1084</v>
      </c>
      <c r="G30" s="410"/>
      <c r="H30" s="417">
        <f>SUM(H16:H29)</f>
        <v>214309</v>
      </c>
      <c r="I30" s="418"/>
    </row>
    <row r="31" spans="2:9" s="71" customFormat="1" ht="15.6">
      <c r="B31" s="351"/>
      <c r="C31" s="351"/>
      <c r="H31" s="70"/>
    </row>
    <row r="32" spans="2:9" s="71" customFormat="1" ht="15.6">
      <c r="B32" s="351"/>
      <c r="C32" s="351"/>
      <c r="H32" s="70"/>
    </row>
    <row r="33" spans="2:3" s="71" customFormat="1" ht="15">
      <c r="B33" s="351"/>
      <c r="C33" s="351"/>
    </row>
    <row r="34" spans="2:3" s="71" customFormat="1" ht="15">
      <c r="B34" s="351"/>
      <c r="C34" s="351"/>
    </row>
  </sheetData>
  <sortState xmlns:xlrd2="http://schemas.microsoft.com/office/spreadsheetml/2017/richdata2" ref="D16:H28">
    <sortCondition ref="D16:D28"/>
  </sortState>
  <customSheetViews>
    <customSheetView guid="{343BF296-013A-41F5-BDAB-AD6220EA7F78}" scale="85" showPageBreaks="1" printArea="1" view="pageBreakPreview">
      <selection activeCell="D33" sqref="D33"/>
      <pageMargins left="0" right="0" top="0" bottom="0" header="0" footer="0"/>
      <printOptions horizontalCentered="1"/>
      <pageSetup orientation="portrait" r:id="rId1"/>
    </customSheetView>
    <customSheetView guid="{B321D76C-CDE5-48BB-9CDE-80FF97D58FCF}" scale="85" showPageBreaks="1" printArea="1" view="pageBreakPreview">
      <selection activeCell="D33" sqref="D33"/>
      <pageMargins left="0" right="0" top="0" bottom="0" header="0" footer="0"/>
      <printOptions horizontalCentered="1"/>
      <pageSetup orientation="portrait" r:id="rId2"/>
    </customSheetView>
  </customSheetViews>
  <mergeCells count="5">
    <mergeCell ref="A4:J4"/>
    <mergeCell ref="A5:J5"/>
    <mergeCell ref="A6:J6"/>
    <mergeCell ref="A8:J8"/>
    <mergeCell ref="A9:J9"/>
  </mergeCells>
  <printOptions horizontalCentered="1"/>
  <pageMargins left="0.7" right="0.7" top="0.75" bottom="0.75" header="0.3" footer="0.3"/>
  <pageSetup orientation="portrait" r:id="rId3"/>
  <ignoredErrors>
    <ignoredError sqref="D12:H12" numberStoredAsText="1"/>
  </ignoredErrors>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pageSetUpPr fitToPage="1"/>
  </sheetPr>
  <dimension ref="A1:P25"/>
  <sheetViews>
    <sheetView view="pageBreakPreview" zoomScaleNormal="100" zoomScaleSheetLayoutView="100" workbookViewId="0">
      <selection activeCell="L25" sqref="L25"/>
    </sheetView>
  </sheetViews>
  <sheetFormatPr defaultColWidth="9" defaultRowHeight="13.2"/>
  <cols>
    <col min="1" max="1" width="6.77734375" style="351" customWidth="1"/>
    <col min="2" max="2" width="7.33203125" style="351" bestFit="1" customWidth="1"/>
    <col min="3" max="3" width="5" style="351" customWidth="1"/>
    <col min="4" max="4" width="35.33203125" style="351" bestFit="1" customWidth="1"/>
    <col min="5" max="5" width="14.33203125" style="351" bestFit="1" customWidth="1"/>
    <col min="6" max="6" width="3.33203125" style="351" customWidth="1"/>
    <col min="7" max="7" width="2.109375" style="351" customWidth="1"/>
    <col min="8" max="8" width="15.21875" style="351" bestFit="1" customWidth="1"/>
    <col min="9" max="9" width="8.33203125" style="351" customWidth="1"/>
    <col min="10" max="10" width="13.33203125" style="351" bestFit="1" customWidth="1"/>
    <col min="11" max="11" width="29.109375" style="351" customWidth="1"/>
    <col min="12" max="12" width="41.33203125" style="351" customWidth="1"/>
    <col min="13" max="13" width="10" style="351" bestFit="1" customWidth="1"/>
    <col min="14" max="14" width="17.109375" style="351" bestFit="1" customWidth="1"/>
    <col min="15" max="16384" width="9" style="351"/>
  </cols>
  <sheetData>
    <row r="1" spans="1:16" s="347" customFormat="1" ht="15.6">
      <c r="A1" s="70"/>
      <c r="D1" s="346"/>
      <c r="E1" s="346"/>
      <c r="F1" s="346"/>
      <c r="G1" s="346"/>
      <c r="H1" s="346"/>
      <c r="L1" s="396"/>
      <c r="P1" s="397"/>
    </row>
    <row r="3" spans="1:16" ht="17.399999999999999">
      <c r="A3" s="348"/>
      <c r="B3" s="350"/>
      <c r="C3" s="350"/>
      <c r="D3" s="349"/>
      <c r="E3" s="349"/>
      <c r="F3" s="349"/>
      <c r="G3" s="349"/>
      <c r="H3" s="349"/>
      <c r="I3" s="350"/>
      <c r="J3" s="350"/>
      <c r="K3" s="350"/>
      <c r="L3" s="350"/>
      <c r="M3" s="350"/>
      <c r="N3" s="350"/>
      <c r="O3" s="350"/>
      <c r="P3" s="1278"/>
    </row>
    <row r="4" spans="1:16" ht="17.399999999999999">
      <c r="A4" s="1503" t="s">
        <v>0</v>
      </c>
      <c r="B4" s="1503"/>
      <c r="C4" s="1503"/>
      <c r="D4" s="1503"/>
      <c r="E4" s="1503"/>
      <c r="F4" s="1503"/>
      <c r="G4" s="1503"/>
      <c r="H4" s="1503"/>
      <c r="I4" s="348"/>
      <c r="J4" s="348"/>
      <c r="K4" s="348"/>
      <c r="L4" s="348"/>
      <c r="M4" s="348"/>
      <c r="N4" s="348"/>
      <c r="O4" s="348"/>
      <c r="P4" s="348"/>
    </row>
    <row r="5" spans="1:16" ht="17.399999999999999">
      <c r="A5" s="1503" t="s">
        <v>1</v>
      </c>
      <c r="B5" s="1503"/>
      <c r="C5" s="1503"/>
      <c r="D5" s="1503"/>
      <c r="E5" s="1503"/>
      <c r="F5" s="1503"/>
      <c r="G5" s="1503"/>
      <c r="H5" s="1503"/>
      <c r="I5" s="348"/>
      <c r="J5" s="348"/>
      <c r="K5" s="348"/>
      <c r="L5" s="348"/>
      <c r="M5" s="348"/>
      <c r="N5" s="348"/>
      <c r="O5" s="348"/>
      <c r="P5" s="348"/>
    </row>
    <row r="6" spans="1:16" ht="17.399999999999999">
      <c r="A6" s="1504" t="str">
        <f>SUMMARY!A7</f>
        <v>YEAR ENDING DECEMBER 31, 2022</v>
      </c>
      <c r="B6" s="1504"/>
      <c r="C6" s="1504"/>
      <c r="D6" s="1504"/>
      <c r="E6" s="1504"/>
      <c r="F6" s="1504"/>
      <c r="G6" s="1504"/>
      <c r="H6" s="1504"/>
      <c r="I6" s="348"/>
      <c r="J6" s="348"/>
      <c r="K6" s="348"/>
      <c r="L6" s="348"/>
      <c r="M6" s="348"/>
      <c r="N6" s="348"/>
      <c r="O6" s="348"/>
      <c r="P6" s="348"/>
    </row>
    <row r="7" spans="1:16" ht="12" customHeight="1">
      <c r="A7" s="350"/>
      <c r="B7" s="350"/>
      <c r="C7" s="350"/>
      <c r="D7" s="352"/>
      <c r="E7" s="352"/>
      <c r="F7" s="352"/>
      <c r="G7" s="352"/>
      <c r="H7" s="352"/>
      <c r="I7" s="350"/>
      <c r="J7" s="350"/>
      <c r="K7" s="350"/>
      <c r="L7" s="350"/>
      <c r="M7" s="350"/>
      <c r="N7" s="350"/>
      <c r="O7" s="350"/>
      <c r="P7" s="350"/>
    </row>
    <row r="8" spans="1:16" ht="17.399999999999999">
      <c r="A8" s="1503" t="s">
        <v>1085</v>
      </c>
      <c r="B8" s="1503"/>
      <c r="C8" s="1503"/>
      <c r="D8" s="1503"/>
      <c r="E8" s="1503"/>
      <c r="F8" s="1503"/>
      <c r="G8" s="1503"/>
      <c r="H8" s="1503"/>
      <c r="I8" s="348"/>
      <c r="J8" s="348"/>
      <c r="K8" s="348"/>
      <c r="L8" s="348"/>
      <c r="M8" s="348"/>
      <c r="N8" s="348"/>
      <c r="O8" s="348"/>
      <c r="P8" s="348"/>
    </row>
    <row r="9" spans="1:16" ht="17.399999999999999">
      <c r="A9" s="1503" t="s">
        <v>60</v>
      </c>
      <c r="B9" s="1503"/>
      <c r="C9" s="1503"/>
      <c r="D9" s="1503"/>
      <c r="E9" s="1503"/>
      <c r="F9" s="1503"/>
      <c r="G9" s="1503"/>
      <c r="H9" s="1503"/>
      <c r="I9" s="348"/>
      <c r="J9" s="348"/>
      <c r="K9" s="348"/>
      <c r="L9" s="348"/>
      <c r="M9" s="348"/>
      <c r="N9" s="348"/>
      <c r="O9" s="348"/>
      <c r="P9" s="348"/>
    </row>
    <row r="10" spans="1:16" ht="17.399999999999999">
      <c r="A10" s="1278"/>
      <c r="B10" s="1278"/>
      <c r="C10" s="1278"/>
      <c r="D10" s="779" t="s">
        <v>8</v>
      </c>
      <c r="E10" s="221"/>
      <c r="F10" s="780"/>
      <c r="G10" s="221"/>
      <c r="H10" s="64" t="s">
        <v>9</v>
      </c>
      <c r="I10" s="1278"/>
      <c r="J10" s="1278"/>
      <c r="K10" s="1278"/>
      <c r="L10" s="1278"/>
      <c r="M10" s="1278"/>
      <c r="N10" s="348"/>
      <c r="O10" s="348"/>
      <c r="P10" s="348"/>
    </row>
    <row r="11" spans="1:16" ht="15.6">
      <c r="B11" s="781" t="s">
        <v>7</v>
      </c>
      <c r="C11" s="110"/>
      <c r="D11" s="781" t="s">
        <v>574</v>
      </c>
      <c r="E11" s="347"/>
      <c r="F11" s="347"/>
      <c r="G11" s="742"/>
      <c r="H11" s="782" t="s">
        <v>4</v>
      </c>
      <c r="I11" s="71"/>
    </row>
    <row r="12" spans="1:16" ht="15">
      <c r="B12" s="521"/>
      <c r="C12" s="521"/>
      <c r="D12" s="71"/>
      <c r="E12" s="71"/>
      <c r="F12" s="71"/>
      <c r="G12" s="71"/>
      <c r="H12" s="108"/>
      <c r="I12" s="71"/>
    </row>
    <row r="13" spans="1:16" ht="15.6">
      <c r="B13" s="1266">
        <v>1</v>
      </c>
      <c r="C13" s="1266"/>
      <c r="D13" s="347" t="s">
        <v>1086</v>
      </c>
      <c r="E13" s="71"/>
      <c r="F13" s="71"/>
      <c r="G13" s="71"/>
      <c r="H13" s="783">
        <v>-1642346</v>
      </c>
      <c r="I13" s="71"/>
    </row>
    <row r="14" spans="1:16" ht="15.6">
      <c r="B14" s="1266"/>
      <c r="C14" s="1266"/>
      <c r="D14" s="347"/>
      <c r="E14" s="71"/>
      <c r="F14" s="71"/>
      <c r="G14" s="71"/>
      <c r="H14" s="784"/>
      <c r="I14" s="71"/>
    </row>
    <row r="15" spans="1:16" ht="15.6">
      <c r="B15" s="1266">
        <v>2</v>
      </c>
      <c r="C15" s="1266"/>
      <c r="D15" s="347" t="s">
        <v>1087</v>
      </c>
      <c r="E15" s="410"/>
      <c r="F15" s="410"/>
      <c r="G15" s="410"/>
      <c r="H15" s="785">
        <v>-299146</v>
      </c>
      <c r="I15" s="71"/>
    </row>
    <row r="16" spans="1:16" ht="15.6">
      <c r="B16" s="1266"/>
      <c r="C16" s="1266"/>
      <c r="D16" s="347"/>
      <c r="E16" s="410"/>
      <c r="F16" s="410"/>
      <c r="G16" s="410"/>
      <c r="H16" s="417"/>
      <c r="I16" s="71"/>
    </row>
    <row r="17" spans="1:9" ht="15.6">
      <c r="B17" s="1266">
        <v>3</v>
      </c>
      <c r="C17" s="1266"/>
      <c r="D17" s="347" t="s">
        <v>1088</v>
      </c>
      <c r="E17" s="115" t="s">
        <v>1089</v>
      </c>
      <c r="F17" s="410"/>
      <c r="G17" s="410"/>
      <c r="H17" s="417">
        <f>H13-H15</f>
        <v>-1343200</v>
      </c>
      <c r="I17" s="71"/>
    </row>
    <row r="18" spans="1:9" ht="15.6">
      <c r="B18" s="1266"/>
      <c r="C18" s="1266"/>
      <c r="D18" s="347"/>
      <c r="E18" s="410"/>
      <c r="F18" s="410"/>
      <c r="G18" s="410"/>
      <c r="H18" s="417"/>
      <c r="I18" s="71"/>
    </row>
    <row r="19" spans="1:9" ht="15.6">
      <c r="B19" s="1266">
        <v>4</v>
      </c>
      <c r="C19" s="1266"/>
      <c r="D19" s="347" t="s">
        <v>1090</v>
      </c>
      <c r="E19" s="410"/>
      <c r="F19" s="410"/>
      <c r="G19" s="410"/>
      <c r="H19" s="786">
        <v>35797785</v>
      </c>
      <c r="I19" s="71"/>
    </row>
    <row r="20" spans="1:9" ht="15.6">
      <c r="B20" s="1266"/>
      <c r="C20" s="1266"/>
      <c r="D20" s="347"/>
      <c r="E20" s="71"/>
      <c r="F20" s="71"/>
      <c r="G20" s="71"/>
      <c r="H20" s="101"/>
      <c r="I20" s="71"/>
    </row>
    <row r="21" spans="1:9" ht="15.6">
      <c r="B21" s="1266">
        <v>5</v>
      </c>
      <c r="C21" s="1266"/>
      <c r="D21" s="740" t="s">
        <v>288</v>
      </c>
      <c r="E21" s="787" t="s">
        <v>1091</v>
      </c>
      <c r="F21" s="788"/>
      <c r="G21" s="788"/>
      <c r="H21" s="628">
        <f>H19-H17</f>
        <v>37140985</v>
      </c>
      <c r="I21" s="71"/>
    </row>
    <row r="22" spans="1:9" ht="15.6">
      <c r="B22" s="70"/>
      <c r="C22" s="70"/>
      <c r="D22" s="71"/>
      <c r="E22" s="71"/>
      <c r="F22" s="71"/>
      <c r="G22" s="71"/>
      <c r="H22" s="101"/>
      <c r="I22" s="71"/>
    </row>
    <row r="23" spans="1:9" ht="15.6">
      <c r="B23" s="70"/>
      <c r="C23" s="70"/>
      <c r="D23" s="71"/>
      <c r="E23" s="71"/>
      <c r="F23" s="71"/>
      <c r="G23" s="71"/>
      <c r="H23" s="101"/>
      <c r="I23" s="71"/>
    </row>
    <row r="24" spans="1:9" ht="15.6">
      <c r="A24" s="351" t="s">
        <v>1092</v>
      </c>
      <c r="B24" s="1266"/>
      <c r="C24" s="1266"/>
      <c r="D24" s="71"/>
      <c r="E24" s="71"/>
      <c r="F24" s="71"/>
      <c r="G24" s="71"/>
      <c r="H24" s="101"/>
      <c r="I24" s="71"/>
    </row>
    <row r="25" spans="1:9" ht="15.6">
      <c r="B25" s="1266"/>
      <c r="C25" s="1266"/>
      <c r="D25" s="71"/>
      <c r="E25" s="71"/>
      <c r="F25" s="71"/>
      <c r="G25" s="71"/>
      <c r="H25" s="102"/>
      <c r="I25" s="71"/>
    </row>
  </sheetData>
  <customSheetViews>
    <customSheetView guid="{343BF296-013A-41F5-BDAB-AD6220EA7F78}" showPageBreaks="1" fitToPage="1" printArea="1" view="pageBreakPreview" topLeftCell="A7">
      <selection activeCell="D33" sqref="D33"/>
      <pageMargins left="0" right="0" top="0" bottom="0" header="0" footer="0"/>
      <printOptions horizontalCentered="1"/>
      <pageSetup scale="93" orientation="portrait" r:id="rId1"/>
    </customSheetView>
    <customSheetView guid="{B321D76C-CDE5-48BB-9CDE-80FF97D58FCF}" showPageBreaks="1" fitToPage="1" printArea="1" view="pageBreakPreview" topLeftCell="A7">
      <selection activeCell="D33" sqref="D33"/>
      <pageMargins left="0" right="0" top="0" bottom="0" header="0" footer="0"/>
      <printOptions horizontalCentered="1"/>
      <pageSetup scale="93" orientation="portrait" r:id="rId2"/>
    </customSheetView>
  </customSheetViews>
  <mergeCells count="5">
    <mergeCell ref="A4:H4"/>
    <mergeCell ref="A5:H5"/>
    <mergeCell ref="A6:H6"/>
    <mergeCell ref="A8:H8"/>
    <mergeCell ref="A9:H9"/>
  </mergeCells>
  <printOptions horizontalCentered="1"/>
  <pageMargins left="0.7" right="0.7" top="0.75" bottom="0.75" header="0.3" footer="0.3"/>
  <pageSetup orientation="landscape" r:id="rId3"/>
  <ignoredErrors>
    <ignoredError sqref="D10:H10" numberStoredAsText="1"/>
  </ignoredErrors>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R48"/>
  <sheetViews>
    <sheetView view="pageBreakPreview" zoomScale="90" zoomScaleNormal="80" zoomScaleSheetLayoutView="90" workbookViewId="0">
      <selection activeCell="U42" sqref="U42"/>
    </sheetView>
  </sheetViews>
  <sheetFormatPr defaultColWidth="9" defaultRowHeight="12"/>
  <cols>
    <col min="1" max="1" width="1.33203125" style="765" customWidth="1"/>
    <col min="2" max="2" width="7.33203125" style="765" bestFit="1" customWidth="1"/>
    <col min="3" max="3" width="2.109375" style="765" customWidth="1"/>
    <col min="4" max="4" width="49.77734375" style="765" bestFit="1" customWidth="1"/>
    <col min="5" max="5" width="3.77734375" style="765" customWidth="1"/>
    <col min="6" max="6" width="12.33203125" style="765" customWidth="1"/>
    <col min="7" max="7" width="3.21875" style="765" customWidth="1"/>
    <col min="8" max="8" width="10.109375" style="765" bestFit="1" customWidth="1"/>
    <col min="9" max="9" width="2" style="765" customWidth="1"/>
    <col min="10" max="10" width="14.77734375" style="765" bestFit="1" customWidth="1"/>
    <col min="11" max="11" width="5.44140625" style="765" customWidth="1"/>
    <col min="12" max="12" width="49.33203125" style="765" bestFit="1" customWidth="1"/>
    <col min="13" max="13" width="2.33203125" style="765" customWidth="1"/>
    <col min="14" max="16384" width="9" style="765"/>
  </cols>
  <sheetData>
    <row r="1" spans="1:18" s="762" customFormat="1" ht="15.6">
      <c r="A1" s="70"/>
      <c r="B1" s="347"/>
      <c r="C1" s="347"/>
      <c r="D1" s="761"/>
      <c r="E1" s="761"/>
      <c r="F1" s="347"/>
      <c r="G1" s="347"/>
      <c r="H1" s="347"/>
      <c r="I1" s="347"/>
      <c r="J1" s="347"/>
      <c r="K1" s="347"/>
      <c r="L1" s="396"/>
      <c r="R1" s="397"/>
    </row>
    <row r="3" spans="1:18" ht="17.399999999999999">
      <c r="A3" s="348"/>
      <c r="B3" s="350"/>
      <c r="C3" s="350"/>
      <c r="D3" s="763"/>
      <c r="E3" s="763"/>
      <c r="F3" s="350"/>
      <c r="G3" s="350"/>
      <c r="H3" s="350"/>
      <c r="I3" s="350"/>
      <c r="J3" s="350"/>
      <c r="K3" s="350"/>
      <c r="L3" s="350"/>
      <c r="M3" s="350"/>
      <c r="N3" s="350"/>
      <c r="O3" s="350"/>
      <c r="P3" s="350"/>
      <c r="Q3" s="764"/>
      <c r="R3" s="1278"/>
    </row>
    <row r="4" spans="1:18" ht="17.399999999999999">
      <c r="A4" s="1503" t="s">
        <v>0</v>
      </c>
      <c r="B4" s="1503"/>
      <c r="C4" s="1503"/>
      <c r="D4" s="1503"/>
      <c r="E4" s="1503"/>
      <c r="F4" s="1503"/>
      <c r="G4" s="1503"/>
      <c r="H4" s="1503"/>
      <c r="I4" s="1503"/>
      <c r="J4" s="1503"/>
      <c r="K4" s="1503"/>
      <c r="L4" s="1503"/>
      <c r="M4" s="1503"/>
      <c r="N4" s="348"/>
      <c r="O4" s="348"/>
      <c r="P4" s="348"/>
      <c r="Q4" s="348"/>
      <c r="R4" s="348"/>
    </row>
    <row r="5" spans="1:18" ht="17.399999999999999">
      <c r="A5" s="1503" t="s">
        <v>1</v>
      </c>
      <c r="B5" s="1503"/>
      <c r="C5" s="1503"/>
      <c r="D5" s="1503"/>
      <c r="E5" s="1503"/>
      <c r="F5" s="1503"/>
      <c r="G5" s="1503"/>
      <c r="H5" s="1503"/>
      <c r="I5" s="1503"/>
      <c r="J5" s="1503"/>
      <c r="K5" s="1503"/>
      <c r="L5" s="1503"/>
      <c r="M5" s="1503"/>
      <c r="N5" s="348"/>
      <c r="O5" s="348"/>
      <c r="P5" s="348"/>
      <c r="Q5" s="348"/>
      <c r="R5" s="348"/>
    </row>
    <row r="6" spans="1:18" ht="17.399999999999999">
      <c r="A6" s="1504" t="str">
        <f>SUMMARY!A7</f>
        <v>YEAR ENDING DECEMBER 31, 2022</v>
      </c>
      <c r="B6" s="1504"/>
      <c r="C6" s="1504"/>
      <c r="D6" s="1504"/>
      <c r="E6" s="1504"/>
      <c r="F6" s="1504"/>
      <c r="G6" s="1504"/>
      <c r="H6" s="1504"/>
      <c r="I6" s="1504"/>
      <c r="J6" s="1504"/>
      <c r="K6" s="1504"/>
      <c r="L6" s="1504"/>
      <c r="M6" s="1504"/>
      <c r="N6" s="348"/>
      <c r="O6" s="348"/>
      <c r="P6" s="348"/>
      <c r="Q6" s="348"/>
      <c r="R6" s="348"/>
    </row>
    <row r="7" spans="1:18" ht="12" customHeight="1">
      <c r="A7" s="350"/>
      <c r="B7" s="350"/>
      <c r="C7" s="350"/>
      <c r="D7" s="352"/>
      <c r="E7" s="352"/>
      <c r="F7" s="350"/>
      <c r="G7" s="350"/>
      <c r="H7" s="350"/>
      <c r="I7" s="350"/>
      <c r="J7" s="350"/>
      <c r="K7" s="350"/>
      <c r="L7" s="350"/>
      <c r="M7" s="350"/>
      <c r="N7" s="350"/>
      <c r="O7" s="350"/>
      <c r="P7" s="350"/>
      <c r="Q7" s="350"/>
      <c r="R7" s="350"/>
    </row>
    <row r="8" spans="1:18" ht="17.399999999999999">
      <c r="A8" s="1503" t="s">
        <v>1093</v>
      </c>
      <c r="B8" s="1503"/>
      <c r="C8" s="1503"/>
      <c r="D8" s="1503"/>
      <c r="E8" s="1503"/>
      <c r="F8" s="1503"/>
      <c r="G8" s="1503"/>
      <c r="H8" s="1503"/>
      <c r="I8" s="1503"/>
      <c r="J8" s="1503"/>
      <c r="K8" s="1503"/>
      <c r="L8" s="1503"/>
      <c r="M8" s="1503"/>
      <c r="N8" s="348"/>
      <c r="O8" s="348"/>
      <c r="P8" s="348"/>
      <c r="Q8" s="348"/>
      <c r="R8" s="348"/>
    </row>
    <row r="9" spans="1:18" ht="17.399999999999999">
      <c r="A9" s="1503" t="s">
        <v>62</v>
      </c>
      <c r="B9" s="1503"/>
      <c r="C9" s="1503"/>
      <c r="D9" s="1503"/>
      <c r="E9" s="1503"/>
      <c r="F9" s="1503"/>
      <c r="G9" s="1503"/>
      <c r="H9" s="1503"/>
      <c r="I9" s="1503"/>
      <c r="J9" s="1503"/>
      <c r="K9" s="1503"/>
      <c r="L9" s="1503"/>
      <c r="M9" s="1503"/>
      <c r="N9" s="348"/>
      <c r="O9" s="348"/>
      <c r="P9" s="348"/>
      <c r="Q9" s="348"/>
      <c r="R9" s="348"/>
    </row>
    <row r="10" spans="1:18" s="768" customFormat="1" ht="18">
      <c r="A10" s="766"/>
      <c r="B10" s="766"/>
      <c r="C10" s="766"/>
      <c r="D10" s="766"/>
      <c r="E10" s="766"/>
      <c r="F10" s="766"/>
      <c r="G10" s="766"/>
      <c r="H10" s="766"/>
      <c r="I10" s="766"/>
      <c r="J10" s="766"/>
      <c r="K10" s="766"/>
      <c r="L10" s="766"/>
      <c r="M10" s="766"/>
      <c r="N10" s="767"/>
      <c r="O10" s="767"/>
      <c r="P10" s="767"/>
      <c r="Q10" s="767"/>
      <c r="R10" s="767"/>
    </row>
    <row r="11" spans="1:18" s="351" customFormat="1" ht="15" customHeight="1">
      <c r="J11" s="739" t="s">
        <v>1094</v>
      </c>
    </row>
    <row r="12" spans="1:18" s="351" customFormat="1" ht="15" customHeight="1">
      <c r="J12" s="739" t="s">
        <v>1095</v>
      </c>
    </row>
    <row r="13" spans="1:18" s="347" customFormat="1" ht="15" customHeight="1">
      <c r="C13" s="739"/>
      <c r="D13" s="740"/>
      <c r="E13" s="740"/>
      <c r="J13" s="739" t="s">
        <v>1096</v>
      </c>
    </row>
    <row r="14" spans="1:18" s="347" customFormat="1" ht="15" customHeight="1">
      <c r="B14" s="1192" t="s">
        <v>7</v>
      </c>
      <c r="C14" s="743"/>
      <c r="D14" s="781" t="s">
        <v>1097</v>
      </c>
      <c r="F14" s="782" t="s">
        <v>4</v>
      </c>
      <c r="G14" s="742"/>
      <c r="H14" s="782" t="s">
        <v>5</v>
      </c>
      <c r="I14" s="742"/>
      <c r="J14" s="743" t="s">
        <v>224</v>
      </c>
      <c r="K14" s="743"/>
      <c r="L14" s="346" t="s">
        <v>6</v>
      </c>
    </row>
    <row r="15" spans="1:18" s="347" customFormat="1" ht="15">
      <c r="B15" s="769"/>
      <c r="C15" s="742"/>
      <c r="F15" s="730" t="s">
        <v>8</v>
      </c>
      <c r="G15" s="71"/>
      <c r="H15" s="730" t="s">
        <v>9</v>
      </c>
      <c r="I15" s="71"/>
      <c r="J15" s="730" t="s">
        <v>359</v>
      </c>
      <c r="K15" s="71"/>
      <c r="L15" s="745" t="s">
        <v>1098</v>
      </c>
    </row>
    <row r="16" spans="1:18" s="347" customFormat="1" ht="15">
      <c r="B16" s="769"/>
      <c r="C16" s="742"/>
      <c r="F16" s="730"/>
      <c r="G16" s="71"/>
      <c r="H16" s="730"/>
      <c r="I16" s="71"/>
      <c r="J16" s="730"/>
      <c r="K16" s="71"/>
      <c r="L16" s="745"/>
    </row>
    <row r="17" spans="2:12" s="347" customFormat="1" ht="15">
      <c r="B17" s="108" t="s">
        <v>167</v>
      </c>
      <c r="D17" s="746" t="s">
        <v>1099</v>
      </c>
      <c r="F17" s="232">
        <v>808636.88000000012</v>
      </c>
      <c r="J17" s="748"/>
      <c r="L17" s="746"/>
    </row>
    <row r="18" spans="2:12" s="347" customFormat="1" ht="15">
      <c r="B18" s="108"/>
      <c r="D18" s="746"/>
      <c r="F18" s="232"/>
      <c r="G18" s="749"/>
      <c r="H18" s="749"/>
      <c r="I18" s="749"/>
      <c r="J18" s="748"/>
      <c r="K18" s="749"/>
      <c r="L18" s="746"/>
    </row>
    <row r="19" spans="2:12" s="347" customFormat="1" ht="15">
      <c r="B19" s="108" t="s">
        <v>171</v>
      </c>
      <c r="C19" s="742"/>
      <c r="D19" s="746" t="s">
        <v>1100</v>
      </c>
      <c r="F19" s="232">
        <v>1528743.7300000002</v>
      </c>
      <c r="G19" s="749"/>
      <c r="H19" s="749"/>
      <c r="I19" s="749"/>
      <c r="J19" s="102"/>
      <c r="K19" s="749"/>
      <c r="L19" s="746"/>
    </row>
    <row r="20" spans="2:12" s="347" customFormat="1" ht="15">
      <c r="B20" s="108"/>
      <c r="C20" s="742"/>
      <c r="D20" s="746"/>
      <c r="F20" s="232"/>
      <c r="G20" s="749"/>
      <c r="H20" s="749"/>
      <c r="I20" s="749"/>
      <c r="J20" s="102"/>
      <c r="L20" s="746"/>
    </row>
    <row r="21" spans="2:12" s="347" customFormat="1" ht="15">
      <c r="B21" s="108" t="s">
        <v>174</v>
      </c>
      <c r="C21" s="742"/>
      <c r="D21" s="746" t="s">
        <v>1101</v>
      </c>
      <c r="F21" s="232">
        <v>2397233.0299999998</v>
      </c>
      <c r="J21" s="102"/>
      <c r="L21" s="746"/>
    </row>
    <row r="22" spans="2:12" s="347" customFormat="1" ht="15">
      <c r="B22" s="108"/>
      <c r="C22" s="742"/>
      <c r="D22" s="746"/>
      <c r="F22" s="232"/>
      <c r="J22" s="102"/>
      <c r="L22" s="746"/>
    </row>
    <row r="23" spans="2:12" s="347" customFormat="1" ht="15">
      <c r="B23" s="108" t="s">
        <v>177</v>
      </c>
      <c r="C23" s="742"/>
      <c r="D23" s="746" t="s">
        <v>1102</v>
      </c>
      <c r="F23" s="232">
        <v>-248480.22</v>
      </c>
      <c r="J23" s="770"/>
      <c r="L23" s="746"/>
    </row>
    <row r="24" spans="2:12" s="347" customFormat="1" ht="15">
      <c r="B24" s="108"/>
      <c r="C24" s="742"/>
      <c r="D24" s="746"/>
      <c r="F24" s="771"/>
      <c r="J24" s="770"/>
      <c r="L24" s="746"/>
    </row>
    <row r="25" spans="2:12" s="347" customFormat="1" ht="15">
      <c r="B25" s="108" t="s">
        <v>146</v>
      </c>
      <c r="C25" s="742"/>
      <c r="D25" s="750"/>
      <c r="F25" s="1193"/>
      <c r="J25" s="102"/>
      <c r="L25" s="746"/>
    </row>
    <row r="26" spans="2:12" s="347" customFormat="1" ht="30.6">
      <c r="B26" s="742">
        <v>2</v>
      </c>
      <c r="C26" s="742"/>
      <c r="D26" s="740" t="s">
        <v>1103</v>
      </c>
      <c r="F26" s="101">
        <f>SUM(F17:F25)</f>
        <v>4486133.4200000009</v>
      </c>
      <c r="H26" s="774">
        <f>'WP-AI'!I24</f>
        <v>0.23666960336972404</v>
      </c>
      <c r="J26" s="101">
        <f>F26*H26</f>
        <v>1061731.4171750639</v>
      </c>
      <c r="L26" s="411" t="s">
        <v>1104</v>
      </c>
    </row>
    <row r="27" spans="2:12" s="347" customFormat="1" ht="15">
      <c r="B27" s="742"/>
      <c r="C27" s="742"/>
      <c r="F27" s="102"/>
      <c r="J27" s="102"/>
      <c r="L27" s="772"/>
    </row>
    <row r="28" spans="2:12" s="347" customFormat="1" ht="15">
      <c r="B28" s="742"/>
      <c r="C28" s="742"/>
      <c r="F28" s="102"/>
      <c r="J28" s="102"/>
      <c r="L28" s="746"/>
    </row>
    <row r="29" spans="2:12" s="347" customFormat="1" ht="15">
      <c r="B29" s="742" t="s">
        <v>183</v>
      </c>
      <c r="C29" s="742"/>
      <c r="D29" s="746" t="s">
        <v>1105</v>
      </c>
      <c r="F29" s="232">
        <v>696330.37999999989</v>
      </c>
      <c r="J29" s="102"/>
      <c r="L29" s="746"/>
    </row>
    <row r="30" spans="2:12" s="347" customFormat="1" ht="15">
      <c r="B30" s="742"/>
      <c r="C30" s="742"/>
      <c r="D30" s="746"/>
      <c r="F30" s="232"/>
      <c r="J30" s="102"/>
      <c r="L30" s="746"/>
    </row>
    <row r="31" spans="2:12" s="347" customFormat="1" ht="15">
      <c r="B31" s="742" t="s">
        <v>185</v>
      </c>
      <c r="C31" s="742"/>
      <c r="D31" s="746" t="s">
        <v>1106</v>
      </c>
      <c r="F31" s="232">
        <v>102035.18</v>
      </c>
      <c r="J31" s="102"/>
      <c r="L31" s="746"/>
    </row>
    <row r="32" spans="2:12" s="347" customFormat="1" ht="15">
      <c r="B32" s="742"/>
      <c r="C32" s="742"/>
      <c r="D32" s="746"/>
      <c r="F32" s="232"/>
      <c r="J32" s="102"/>
      <c r="L32" s="746"/>
    </row>
    <row r="33" spans="2:12" s="347" customFormat="1" ht="15">
      <c r="B33" s="108" t="s">
        <v>146</v>
      </c>
      <c r="C33" s="742"/>
      <c r="D33" s="750"/>
      <c r="F33" s="1193"/>
      <c r="J33" s="102"/>
      <c r="L33" s="746"/>
    </row>
    <row r="34" spans="2:12" s="347" customFormat="1" ht="15">
      <c r="B34" s="108"/>
      <c r="C34" s="742"/>
      <c r="D34" s="750"/>
      <c r="F34" s="773"/>
      <c r="J34" s="102"/>
      <c r="L34" s="746"/>
    </row>
    <row r="35" spans="2:12" s="347" customFormat="1" ht="15.6">
      <c r="B35" s="742">
        <v>4</v>
      </c>
      <c r="C35" s="742"/>
      <c r="D35" s="740" t="s">
        <v>1107</v>
      </c>
      <c r="F35" s="101">
        <f>SUM(F29:F34)</f>
        <v>798365.55999999982</v>
      </c>
      <c r="H35" s="774">
        <v>1</v>
      </c>
      <c r="J35" s="786">
        <f>F35*H35</f>
        <v>798365.55999999982</v>
      </c>
      <c r="K35" s="760"/>
      <c r="L35" s="775"/>
    </row>
    <row r="36" spans="2:12" s="347" customFormat="1" ht="16.2" thickBot="1">
      <c r="B36" s="742"/>
      <c r="C36" s="742"/>
      <c r="J36" s="101"/>
    </row>
    <row r="37" spans="2:12" s="347" customFormat="1" ht="16.2" thickBot="1">
      <c r="B37" s="742">
        <v>5</v>
      </c>
      <c r="C37" s="742"/>
      <c r="D37" s="740" t="s">
        <v>158</v>
      </c>
      <c r="J37" s="758">
        <f>SUM(J26:J35)</f>
        <v>1860096.9771750637</v>
      </c>
    </row>
    <row r="38" spans="2:12" s="347" customFormat="1" ht="15">
      <c r="B38" s="742"/>
      <c r="C38" s="742"/>
      <c r="E38" s="759"/>
      <c r="J38" s="102"/>
    </row>
    <row r="39" spans="2:12" s="347" customFormat="1" ht="15">
      <c r="B39" s="742"/>
      <c r="C39" s="742"/>
      <c r="D39" s="759"/>
      <c r="E39" s="759"/>
      <c r="J39" s="102"/>
    </row>
    <row r="40" spans="2:12" s="347" customFormat="1" ht="15">
      <c r="B40" s="742"/>
      <c r="C40" s="742"/>
      <c r="E40" s="759"/>
      <c r="F40" s="351"/>
      <c r="G40" s="351"/>
      <c r="H40" s="351"/>
      <c r="I40" s="351"/>
    </row>
    <row r="41" spans="2:12" s="347" customFormat="1" ht="15.6">
      <c r="F41" s="740"/>
      <c r="G41" s="756"/>
      <c r="H41" s="756"/>
      <c r="I41" s="756"/>
    </row>
    <row r="42" spans="2:12" s="347" customFormat="1" ht="15.6">
      <c r="J42" s="776"/>
    </row>
    <row r="43" spans="2:12" s="777" customFormat="1" ht="15.6">
      <c r="J43" s="778"/>
    </row>
    <row r="44" spans="2:12" s="777" customFormat="1" ht="15.6"/>
    <row r="45" spans="2:12" s="768" customFormat="1" ht="15.6">
      <c r="J45" s="778"/>
    </row>
    <row r="48" spans="2:12" ht="15.6">
      <c r="E48" s="777"/>
    </row>
  </sheetData>
  <customSheetViews>
    <customSheetView guid="{343BF296-013A-41F5-BDAB-AD6220EA7F78}" scale="85" showPageBreaks="1" fitToPage="1" printArea="1" view="pageBreakPreview">
      <selection activeCell="D33" sqref="D33"/>
      <pageMargins left="0" right="0" top="0" bottom="0" header="0" footer="0"/>
      <printOptions horizontalCentered="1"/>
      <pageSetup scale="66" orientation="landscape" r:id="rId1"/>
    </customSheetView>
    <customSheetView guid="{B321D76C-CDE5-48BB-9CDE-80FF97D58FCF}" scale="85" showPageBreaks="1" fitToPage="1" printArea="1" view="pageBreakPreview">
      <selection activeCell="D33" sqref="D33"/>
      <pageMargins left="0" right="0" top="0" bottom="0" header="0" footer="0"/>
      <printOptions horizontalCentered="1"/>
      <pageSetup scale="66" orientation="landscape" r:id="rId2"/>
    </customSheetView>
  </customSheetViews>
  <mergeCells count="5">
    <mergeCell ref="A4:M4"/>
    <mergeCell ref="A5:M5"/>
    <mergeCell ref="A6:M6"/>
    <mergeCell ref="A8:M8"/>
    <mergeCell ref="A9:M9"/>
  </mergeCells>
  <printOptions horizontalCentered="1"/>
  <pageMargins left="0.7" right="0.7" top="0.75" bottom="0.75" header="0.3" footer="0.3"/>
  <pageSetup scale="76" orientation="landscape" r:id="rId3"/>
  <ignoredErrors>
    <ignoredError sqref="F15:J15" numberStoredAsText="1"/>
  </ignoredErrors>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7">
    <tabColor rgb="FF92D050"/>
    <pageSetUpPr fitToPage="1"/>
  </sheetPr>
  <dimension ref="A1:O40"/>
  <sheetViews>
    <sheetView view="pageBreakPreview" zoomScale="90" zoomScaleNormal="90" zoomScaleSheetLayoutView="90" workbookViewId="0">
      <selection activeCell="P33" sqref="P33"/>
    </sheetView>
  </sheetViews>
  <sheetFormatPr defaultColWidth="9" defaultRowHeight="13.2"/>
  <cols>
    <col min="1" max="1" width="1.33203125" style="351" customWidth="1"/>
    <col min="2" max="2" width="8.77734375" style="351" customWidth="1"/>
    <col min="3" max="3" width="3.77734375" style="351" customWidth="1"/>
    <col min="4" max="4" width="25.109375" style="351" customWidth="1"/>
    <col min="5" max="5" width="2.33203125" style="351" customWidth="1"/>
    <col min="6" max="6" width="12.33203125" style="351" bestFit="1" customWidth="1"/>
    <col min="7" max="7" width="2" style="351" customWidth="1"/>
    <col min="8" max="8" width="12.33203125" style="351" bestFit="1" customWidth="1"/>
    <col min="9" max="9" width="4.77734375" style="351" customWidth="1"/>
    <col min="10" max="10" width="13.33203125" style="351" bestFit="1" customWidth="1"/>
    <col min="11" max="11" width="6.33203125" style="351" customWidth="1"/>
    <col min="12" max="12" width="46.33203125" style="351" bestFit="1" customWidth="1"/>
    <col min="13" max="13" width="17.109375" style="351" bestFit="1" customWidth="1"/>
    <col min="14" max="16384" width="9" style="351"/>
  </cols>
  <sheetData>
    <row r="1" spans="1:15" s="347" customFormat="1" ht="15.6">
      <c r="A1" s="70"/>
      <c r="D1" s="346"/>
      <c r="E1" s="346"/>
      <c r="L1" s="396"/>
      <c r="O1" s="397"/>
    </row>
    <row r="3" spans="1:15" ht="17.399999999999999">
      <c r="A3" s="348"/>
      <c r="B3" s="350"/>
      <c r="C3" s="350"/>
      <c r="D3" s="349"/>
      <c r="E3" s="349"/>
      <c r="F3" s="350"/>
      <c r="G3" s="350"/>
      <c r="H3" s="350"/>
      <c r="I3" s="350"/>
      <c r="J3" s="350"/>
      <c r="K3" s="350"/>
      <c r="L3" s="350"/>
      <c r="M3" s="350"/>
      <c r="N3" s="350"/>
      <c r="O3" s="1278"/>
    </row>
    <row r="4" spans="1:15" ht="17.399999999999999">
      <c r="A4" s="1503" t="s">
        <v>0</v>
      </c>
      <c r="B4" s="1503"/>
      <c r="C4" s="1503"/>
      <c r="D4" s="1503"/>
      <c r="E4" s="1503"/>
      <c r="F4" s="1503"/>
      <c r="G4" s="1503"/>
      <c r="H4" s="1503"/>
      <c r="I4" s="1503"/>
      <c r="J4" s="1503"/>
      <c r="K4" s="1503"/>
      <c r="L4" s="1503"/>
      <c r="M4" s="348"/>
      <c r="N4" s="348"/>
      <c r="O4" s="348"/>
    </row>
    <row r="5" spans="1:15" ht="17.399999999999999">
      <c r="A5" s="1503" t="s">
        <v>1</v>
      </c>
      <c r="B5" s="1503"/>
      <c r="C5" s="1503"/>
      <c r="D5" s="1503"/>
      <c r="E5" s="1503"/>
      <c r="F5" s="1503"/>
      <c r="G5" s="1503"/>
      <c r="H5" s="1503"/>
      <c r="I5" s="1503"/>
      <c r="J5" s="1503"/>
      <c r="K5" s="1503"/>
      <c r="L5" s="1503"/>
      <c r="M5" s="348"/>
      <c r="N5" s="348"/>
      <c r="O5" s="348"/>
    </row>
    <row r="6" spans="1:15" ht="17.399999999999999">
      <c r="A6" s="1504" t="str">
        <f>SUMMARY!A7</f>
        <v>YEAR ENDING DECEMBER 31, 2022</v>
      </c>
      <c r="B6" s="1504"/>
      <c r="C6" s="1504"/>
      <c r="D6" s="1504"/>
      <c r="E6" s="1504"/>
      <c r="F6" s="1504"/>
      <c r="G6" s="1504"/>
      <c r="H6" s="1504"/>
      <c r="I6" s="1504"/>
      <c r="J6" s="1504"/>
      <c r="K6" s="1504"/>
      <c r="L6" s="1504"/>
      <c r="M6" s="348"/>
      <c r="N6" s="348"/>
      <c r="O6" s="348"/>
    </row>
    <row r="7" spans="1:15" ht="12" customHeight="1">
      <c r="A7" s="350"/>
      <c r="B7" s="350"/>
      <c r="C7" s="350"/>
      <c r="D7" s="352"/>
      <c r="E7" s="352"/>
      <c r="F7" s="350"/>
      <c r="G7" s="350"/>
      <c r="H7" s="350"/>
      <c r="I7" s="350"/>
      <c r="J7" s="350"/>
      <c r="K7" s="350"/>
      <c r="L7" s="350"/>
      <c r="M7" s="350"/>
      <c r="N7" s="350"/>
      <c r="O7" s="350"/>
    </row>
    <row r="8" spans="1:15" ht="17.399999999999999">
      <c r="A8" s="1503" t="s">
        <v>1108</v>
      </c>
      <c r="B8" s="1503"/>
      <c r="C8" s="1503"/>
      <c r="D8" s="1503"/>
      <c r="E8" s="1503"/>
      <c r="F8" s="1503"/>
      <c r="G8" s="1503"/>
      <c r="H8" s="1503"/>
      <c r="I8" s="1503"/>
      <c r="J8" s="1503"/>
      <c r="K8" s="1503"/>
      <c r="L8" s="1503"/>
      <c r="M8" s="348"/>
      <c r="N8" s="348"/>
      <c r="O8" s="348"/>
    </row>
    <row r="9" spans="1:15" ht="17.399999999999999">
      <c r="A9" s="1503" t="s">
        <v>64</v>
      </c>
      <c r="B9" s="1503"/>
      <c r="C9" s="1503"/>
      <c r="D9" s="1503"/>
      <c r="E9" s="1503"/>
      <c r="F9" s="1503"/>
      <c r="G9" s="1503"/>
      <c r="H9" s="1503"/>
      <c r="I9" s="1503"/>
      <c r="J9" s="1503"/>
      <c r="K9" s="1503"/>
      <c r="L9" s="1503"/>
      <c r="M9" s="348"/>
      <c r="N9" s="348"/>
      <c r="O9" s="348"/>
    </row>
    <row r="10" spans="1:15" ht="17.399999999999999">
      <c r="A10" s="1278"/>
      <c r="B10" s="1278"/>
      <c r="C10" s="1278"/>
      <c r="D10" s="1278"/>
      <c r="E10" s="1278"/>
      <c r="F10" s="1278"/>
      <c r="G10" s="1278"/>
      <c r="H10" s="1278"/>
      <c r="I10" s="1278"/>
      <c r="J10" s="1278"/>
      <c r="K10" s="1278"/>
      <c r="L10" s="1278"/>
      <c r="M10" s="348"/>
      <c r="N10" s="348"/>
      <c r="O10" s="348"/>
    </row>
    <row r="11" spans="1:15" ht="17.399999999999999">
      <c r="A11" s="1278"/>
      <c r="B11" s="1278"/>
      <c r="C11" s="1278"/>
      <c r="D11" s="1278"/>
      <c r="E11" s="1278"/>
      <c r="F11" s="1278"/>
      <c r="G11" s="1278"/>
      <c r="H11" s="1278"/>
      <c r="I11" s="1278"/>
      <c r="J11" s="1278"/>
      <c r="K11" s="1278"/>
      <c r="L11" s="1278"/>
      <c r="M11" s="348"/>
      <c r="N11" s="348"/>
      <c r="O11" s="348"/>
    </row>
    <row r="12" spans="1:15" ht="15" customHeight="1">
      <c r="H12" s="739"/>
      <c r="I12" s="1278"/>
      <c r="J12" s="739" t="s">
        <v>1094</v>
      </c>
    </row>
    <row r="13" spans="1:15" ht="15" customHeight="1">
      <c r="H13" s="739"/>
      <c r="I13" s="1278"/>
      <c r="J13" s="739" t="s">
        <v>1109</v>
      </c>
    </row>
    <row r="14" spans="1:15" ht="15" customHeight="1">
      <c r="H14" s="739"/>
      <c r="I14" s="1278"/>
      <c r="J14" s="739" t="s">
        <v>1095</v>
      </c>
    </row>
    <row r="15" spans="1:15" s="347" customFormat="1" ht="15" customHeight="1">
      <c r="C15" s="739"/>
      <c r="D15" s="740"/>
      <c r="E15" s="740"/>
      <c r="H15" s="741"/>
      <c r="I15" s="1278"/>
      <c r="J15" s="739" t="s">
        <v>1096</v>
      </c>
    </row>
    <row r="16" spans="1:15" s="347" customFormat="1" ht="15" customHeight="1">
      <c r="B16" s="781" t="s">
        <v>7</v>
      </c>
      <c r="C16" s="110"/>
      <c r="D16" s="781" t="s">
        <v>1097</v>
      </c>
      <c r="F16" s="782" t="s">
        <v>4</v>
      </c>
      <c r="G16" s="742"/>
      <c r="H16" s="782" t="s">
        <v>1110</v>
      </c>
      <c r="I16" s="742"/>
      <c r="J16" s="743" t="s">
        <v>224</v>
      </c>
      <c r="K16" s="743"/>
      <c r="L16" s="781" t="s">
        <v>6</v>
      </c>
    </row>
    <row r="17" spans="2:12" s="347" customFormat="1" ht="15">
      <c r="B17" s="744"/>
      <c r="C17" s="108"/>
      <c r="F17" s="730" t="s">
        <v>8</v>
      </c>
      <c r="G17" s="71"/>
      <c r="H17" s="730" t="s">
        <v>9</v>
      </c>
      <c r="I17" s="71"/>
      <c r="J17" s="730" t="s">
        <v>359</v>
      </c>
      <c r="K17" s="71"/>
      <c r="L17" s="745" t="s">
        <v>1098</v>
      </c>
    </row>
    <row r="18" spans="2:12" s="347" customFormat="1" ht="15">
      <c r="B18" s="744"/>
      <c r="C18" s="108"/>
      <c r="F18" s="730"/>
      <c r="G18" s="71"/>
      <c r="H18" s="730"/>
      <c r="I18" s="71"/>
      <c r="J18" s="730"/>
      <c r="K18" s="71"/>
      <c r="L18" s="745"/>
    </row>
    <row r="19" spans="2:12" s="347" customFormat="1" ht="15">
      <c r="B19" s="108" t="s">
        <v>167</v>
      </c>
      <c r="C19" s="71"/>
      <c r="D19" s="746" t="s">
        <v>1099</v>
      </c>
      <c r="F19" s="747">
        <v>391194.43</v>
      </c>
      <c r="J19" s="748"/>
      <c r="L19" s="746"/>
    </row>
    <row r="20" spans="2:12" s="347" customFormat="1" ht="15">
      <c r="B20" s="108"/>
      <c r="C20" s="71"/>
      <c r="F20" s="1220"/>
      <c r="G20" s="749"/>
      <c r="H20" s="749"/>
      <c r="I20" s="749"/>
      <c r="J20" s="748"/>
      <c r="K20" s="749"/>
    </row>
    <row r="21" spans="2:12" s="347" customFormat="1" ht="15">
      <c r="B21" s="108" t="s">
        <v>171</v>
      </c>
      <c r="C21" s="108"/>
      <c r="D21" s="746" t="s">
        <v>1100</v>
      </c>
      <c r="F21" s="747">
        <v>877578.76</v>
      </c>
      <c r="G21" s="749"/>
      <c r="H21" s="749"/>
      <c r="I21" s="749"/>
      <c r="J21" s="748"/>
      <c r="K21" s="749"/>
      <c r="L21" s="746"/>
    </row>
    <row r="22" spans="2:12" s="347" customFormat="1" ht="15">
      <c r="B22" s="108"/>
      <c r="C22" s="108"/>
      <c r="F22" s="1220"/>
      <c r="G22" s="749"/>
      <c r="H22" s="749"/>
      <c r="I22" s="749"/>
      <c r="J22" s="748"/>
    </row>
    <row r="23" spans="2:12" s="347" customFormat="1" ht="15">
      <c r="B23" s="108" t="s">
        <v>174</v>
      </c>
      <c r="C23" s="108"/>
      <c r="D23" s="746" t="s">
        <v>1101</v>
      </c>
      <c r="F23" s="747">
        <v>1546445.02</v>
      </c>
      <c r="J23" s="748"/>
      <c r="L23" s="746"/>
    </row>
    <row r="24" spans="2:12" s="347" customFormat="1" ht="15">
      <c r="B24" s="108"/>
      <c r="C24" s="108"/>
      <c r="F24" s="1220"/>
      <c r="J24" s="748"/>
    </row>
    <row r="25" spans="2:12" s="347" customFormat="1" ht="15">
      <c r="B25" s="108" t="s">
        <v>177</v>
      </c>
      <c r="C25" s="71"/>
      <c r="D25" s="746" t="s">
        <v>1102</v>
      </c>
      <c r="F25" s="747">
        <v>-572760.62</v>
      </c>
      <c r="J25" s="102"/>
      <c r="L25" s="746"/>
    </row>
    <row r="26" spans="2:12" s="347" customFormat="1" ht="15">
      <c r="B26" s="108"/>
      <c r="C26" s="71"/>
      <c r="F26" s="1220"/>
      <c r="J26" s="102"/>
    </row>
    <row r="27" spans="2:12" s="347" customFormat="1" ht="15">
      <c r="B27" s="120" t="s">
        <v>146</v>
      </c>
      <c r="C27" s="108"/>
      <c r="D27" s="750"/>
      <c r="F27" s="1193"/>
      <c r="J27" s="102"/>
      <c r="L27" s="746"/>
    </row>
    <row r="28" spans="2:12" s="347" customFormat="1" ht="30.6">
      <c r="B28" s="108">
        <v>2</v>
      </c>
      <c r="C28" s="108"/>
      <c r="D28" s="740" t="s">
        <v>1111</v>
      </c>
      <c r="F28" s="101">
        <f>SUM(F19:F27)</f>
        <v>2242457.59</v>
      </c>
      <c r="H28" s="1241">
        <f>'E1-Allocator'!F21*100</f>
        <v>36.604951377740612</v>
      </c>
      <c r="J28" s="101">
        <f>F28*(H28/100)</f>
        <v>820850.51048595388</v>
      </c>
      <c r="L28" s="410" t="s">
        <v>1112</v>
      </c>
    </row>
    <row r="29" spans="2:12" s="347" customFormat="1" ht="15">
      <c r="B29" s="108"/>
      <c r="C29" s="108"/>
      <c r="H29" s="752"/>
      <c r="J29" s="102"/>
    </row>
    <row r="30" spans="2:12" s="347" customFormat="1" ht="15.6">
      <c r="B30" s="108" t="s">
        <v>183</v>
      </c>
      <c r="C30" s="108"/>
      <c r="D30" s="746" t="s">
        <v>1105</v>
      </c>
      <c r="F30" s="747">
        <v>377515.36</v>
      </c>
      <c r="G30" s="351"/>
      <c r="H30" s="56"/>
      <c r="J30" s="417"/>
      <c r="L30" s="746"/>
    </row>
    <row r="31" spans="2:12" s="347" customFormat="1" ht="15.6">
      <c r="B31" s="108"/>
      <c r="C31" s="108"/>
      <c r="F31" s="1220"/>
      <c r="G31" s="351"/>
      <c r="H31" s="56"/>
      <c r="J31" s="417"/>
    </row>
    <row r="32" spans="2:12" s="347" customFormat="1" ht="15">
      <c r="B32" s="120" t="s">
        <v>146</v>
      </c>
      <c r="C32" s="108"/>
      <c r="D32" s="1458" t="s">
        <v>1106</v>
      </c>
      <c r="F32" s="747">
        <v>0</v>
      </c>
      <c r="G32" s="351"/>
      <c r="H32" s="56"/>
      <c r="J32" s="753"/>
      <c r="L32" s="746"/>
    </row>
    <row r="33" spans="2:12" s="347" customFormat="1" ht="15">
      <c r="B33" s="108"/>
      <c r="C33" s="108"/>
      <c r="D33" s="754"/>
      <c r="F33" s="755"/>
      <c r="G33" s="351"/>
      <c r="H33" s="56"/>
      <c r="J33" s="753"/>
    </row>
    <row r="34" spans="2:12" s="347" customFormat="1" ht="15.6">
      <c r="B34" s="108"/>
      <c r="C34" s="71"/>
      <c r="F34" s="101">
        <f>SUM(F30:F32)</f>
        <v>377515.36</v>
      </c>
      <c r="G34" s="756"/>
      <c r="H34" s="751">
        <v>100</v>
      </c>
      <c r="J34" s="101">
        <f>(F34*H34/100)</f>
        <v>377515.36</v>
      </c>
    </row>
    <row r="35" spans="2:12" s="347" customFormat="1" ht="16.2" thickBot="1">
      <c r="B35" s="108"/>
      <c r="C35" s="71"/>
      <c r="G35" s="756"/>
      <c r="H35" s="757"/>
      <c r="J35" s="102"/>
    </row>
    <row r="36" spans="2:12" ht="16.2" thickBot="1">
      <c r="B36" s="108">
        <v>4</v>
      </c>
      <c r="C36" s="73"/>
      <c r="D36" s="740" t="s">
        <v>158</v>
      </c>
      <c r="F36" s="628">
        <f>+F28+F34</f>
        <v>2619972.9499999997</v>
      </c>
      <c r="J36" s="758">
        <f>SUM(J19:J34)</f>
        <v>1198365.870485954</v>
      </c>
      <c r="K36" s="347"/>
      <c r="L36" s="759"/>
    </row>
    <row r="37" spans="2:12" ht="15.6">
      <c r="B37" s="742"/>
      <c r="D37" s="347"/>
      <c r="E37" s="347"/>
      <c r="H37" s="347"/>
      <c r="I37" s="347"/>
      <c r="J37" s="101"/>
      <c r="K37" s="347"/>
      <c r="L37" s="347"/>
    </row>
    <row r="38" spans="2:12" ht="15.6">
      <c r="B38" s="742"/>
      <c r="H38" s="347"/>
      <c r="I38" s="347"/>
      <c r="J38" s="104"/>
      <c r="K38" s="760"/>
      <c r="L38" s="760"/>
    </row>
    <row r="39" spans="2:12" ht="15">
      <c r="J39" s="104"/>
      <c r="K39" s="347"/>
      <c r="L39" s="347"/>
    </row>
    <row r="40" spans="2:12" ht="15">
      <c r="J40" s="104"/>
      <c r="K40" s="347"/>
      <c r="L40" s="347"/>
    </row>
  </sheetData>
  <customSheetViews>
    <customSheetView guid="{343BF296-013A-41F5-BDAB-AD6220EA7F78}" scale="85" showPageBreaks="1" fitToPage="1" printArea="1" view="pageBreakPreview" topLeftCell="A13">
      <selection activeCell="D33" sqref="D33"/>
      <pageMargins left="0" right="0" top="0" bottom="0" header="0" footer="0"/>
      <printOptions horizontalCentered="1"/>
      <pageSetup scale="76" orientation="landscape" r:id="rId1"/>
    </customSheetView>
    <customSheetView guid="{B321D76C-CDE5-48BB-9CDE-80FF97D58FCF}" scale="85" showPageBreaks="1" fitToPage="1" printArea="1" view="pageBreakPreview" topLeftCell="A13">
      <selection activeCell="D33" sqref="D33"/>
      <pageMargins left="0" right="0" top="0" bottom="0" header="0" footer="0"/>
      <printOptions horizontalCentered="1"/>
      <pageSetup scale="76" orientation="landscape" r:id="rId2"/>
    </customSheetView>
  </customSheetViews>
  <mergeCells count="5">
    <mergeCell ref="A4:L4"/>
    <mergeCell ref="A5:L5"/>
    <mergeCell ref="A6:L6"/>
    <mergeCell ref="A8:L8"/>
    <mergeCell ref="A9:L9"/>
  </mergeCells>
  <printOptions horizontalCentered="1"/>
  <pageMargins left="0.7" right="0.7" top="0.75" bottom="0.75" header="0.3" footer="0.3"/>
  <pageSetup scale="76" orientation="landscape" r:id="rId3"/>
  <ignoredErrors>
    <ignoredError sqref="F17:L17" numberStoredAsText="1"/>
  </ignoredErrors>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codeName="Sheet35">
    <tabColor rgb="FF92D050"/>
    <pageSetUpPr fitToPage="1"/>
  </sheetPr>
  <dimension ref="A1:K32"/>
  <sheetViews>
    <sheetView showGridLines="0" defaultGridColor="0" view="pageBreakPreview" colorId="22" zoomScale="90" zoomScaleNormal="100" zoomScaleSheetLayoutView="90" workbookViewId="0">
      <selection activeCell="I35" sqref="I35"/>
    </sheetView>
  </sheetViews>
  <sheetFormatPr defaultColWidth="14.33203125" defaultRowHeight="12"/>
  <cols>
    <col min="1" max="1" width="7" style="59" customWidth="1"/>
    <col min="2" max="2" width="39.77734375" style="59" bestFit="1" customWidth="1"/>
    <col min="3" max="3" width="4.77734375" style="59" customWidth="1"/>
    <col min="4" max="4" width="18.44140625" style="59" customWidth="1"/>
    <col min="5" max="5" width="18.33203125" style="59" bestFit="1" customWidth="1"/>
    <col min="6" max="6" width="3.77734375" style="59" customWidth="1"/>
    <col min="7" max="7" width="17.44140625" style="59" customWidth="1"/>
    <col min="8" max="8" width="3" style="59" customWidth="1"/>
    <col min="9" max="9" width="14.21875" style="59" bestFit="1" customWidth="1"/>
    <col min="10" max="10" width="2.77734375" style="59" customWidth="1"/>
    <col min="11" max="11" width="22.6640625" style="59" customWidth="1"/>
    <col min="12" max="16384" width="14.33203125" style="59"/>
  </cols>
  <sheetData>
    <row r="1" spans="1:10" s="542" customFormat="1" ht="15.6">
      <c r="A1" s="70"/>
      <c r="C1" s="725"/>
      <c r="D1" s="126"/>
      <c r="E1" s="126"/>
      <c r="F1" s="126"/>
      <c r="G1" s="126"/>
      <c r="H1" s="126"/>
      <c r="J1" s="126"/>
    </row>
    <row r="2" spans="1:10" ht="15.6">
      <c r="A2" s="126"/>
      <c r="C2" s="126"/>
      <c r="D2" s="126"/>
      <c r="E2" s="126"/>
      <c r="F2" s="126"/>
      <c r="G2" s="126"/>
      <c r="H2" s="126"/>
      <c r="I2" s="126"/>
      <c r="J2" s="726"/>
    </row>
    <row r="3" spans="1:10" ht="15">
      <c r="A3" s="126"/>
      <c r="B3" s="126"/>
      <c r="C3" s="126"/>
      <c r="E3" s="126"/>
      <c r="F3" s="126"/>
      <c r="G3" s="126"/>
      <c r="H3" s="126"/>
      <c r="I3" s="126"/>
      <c r="J3" s="126"/>
    </row>
    <row r="4" spans="1:10" ht="15">
      <c r="J4" s="126"/>
    </row>
    <row r="5" spans="1:10" ht="17.399999999999999">
      <c r="A5" s="1505" t="s">
        <v>20</v>
      </c>
      <c r="B5" s="1505"/>
      <c r="C5" s="1505"/>
      <c r="D5" s="1505"/>
      <c r="E5" s="1505"/>
      <c r="F5" s="1505"/>
      <c r="G5" s="1505"/>
      <c r="H5" s="1505"/>
      <c r="I5" s="1505"/>
      <c r="J5" s="1505"/>
    </row>
    <row r="6" spans="1:10" ht="17.399999999999999">
      <c r="A6" s="1505" t="s">
        <v>1</v>
      </c>
      <c r="B6" s="1505"/>
      <c r="C6" s="1505"/>
      <c r="D6" s="1505"/>
      <c r="E6" s="1505"/>
      <c r="F6" s="1505"/>
      <c r="G6" s="1505"/>
      <c r="H6" s="1505"/>
      <c r="I6" s="1505"/>
      <c r="J6" s="1505"/>
    </row>
    <row r="7" spans="1:10" ht="17.399999999999999">
      <c r="A7" s="1464" t="str">
        <f>SUMMARY!A7</f>
        <v>YEAR ENDING DECEMBER 31, 2022</v>
      </c>
      <c r="B7" s="1464"/>
      <c r="C7" s="1464"/>
      <c r="D7" s="1464"/>
      <c r="E7" s="1464"/>
      <c r="F7" s="1464"/>
      <c r="G7" s="1464"/>
      <c r="H7" s="1464"/>
      <c r="I7" s="1464"/>
      <c r="J7" s="1464"/>
    </row>
    <row r="8" spans="1:10" ht="15.6">
      <c r="A8" s="1262"/>
      <c r="B8" s="1262"/>
      <c r="C8" s="1262"/>
      <c r="D8" s="1262"/>
      <c r="E8" s="1262"/>
      <c r="F8" s="1262"/>
      <c r="G8" s="1262"/>
      <c r="H8" s="1262"/>
      <c r="I8" s="1262"/>
      <c r="J8" s="1262"/>
    </row>
    <row r="9" spans="1:10" ht="15.6">
      <c r="A9" s="1460" t="s">
        <v>1113</v>
      </c>
      <c r="B9" s="1460"/>
      <c r="C9" s="1460"/>
      <c r="D9" s="1460"/>
      <c r="E9" s="1460"/>
      <c r="F9" s="1460"/>
      <c r="G9" s="1460"/>
      <c r="H9" s="1460"/>
      <c r="I9" s="1460"/>
      <c r="J9" s="1460"/>
    </row>
    <row r="10" spans="1:10" ht="15.6">
      <c r="A10" s="1460" t="s">
        <v>66</v>
      </c>
      <c r="B10" s="1460"/>
      <c r="C10" s="1460"/>
      <c r="D10" s="1460"/>
      <c r="E10" s="1460"/>
      <c r="F10" s="1460"/>
      <c r="G10" s="1460"/>
      <c r="H10" s="1460"/>
      <c r="I10" s="1460"/>
      <c r="J10" s="1460"/>
    </row>
    <row r="11" spans="1:10" ht="15.6">
      <c r="A11" s="1460"/>
      <c r="B11" s="1460"/>
      <c r="C11" s="1460"/>
      <c r="D11" s="1460"/>
      <c r="E11" s="1460"/>
      <c r="F11" s="1460"/>
      <c r="G11" s="1460"/>
      <c r="H11" s="1460"/>
      <c r="I11" s="1460"/>
      <c r="J11" s="1460"/>
    </row>
    <row r="12" spans="1:10" ht="15.6">
      <c r="A12" s="727"/>
      <c r="B12" s="727"/>
      <c r="C12" s="727"/>
      <c r="D12" s="727"/>
      <c r="E12" s="727"/>
      <c r="F12" s="727"/>
      <c r="G12" s="727"/>
      <c r="H12" s="727"/>
      <c r="I12" s="727"/>
      <c r="J12" s="727"/>
    </row>
    <row r="14" spans="1:10" ht="13.2">
      <c r="J14" s="381"/>
    </row>
    <row r="15" spans="1:10" s="381" customFormat="1" ht="13.2"/>
    <row r="16" spans="1:10" s="381" customFormat="1" ht="15">
      <c r="A16" s="126"/>
      <c r="B16" s="126"/>
      <c r="C16" s="126"/>
      <c r="D16" s="126"/>
      <c r="E16" s="126"/>
      <c r="F16" s="126"/>
      <c r="G16" s="126"/>
      <c r="H16" s="126"/>
      <c r="I16" s="126"/>
    </row>
    <row r="17" spans="1:11" s="381" customFormat="1" ht="15">
      <c r="J17" s="126"/>
    </row>
    <row r="18" spans="1:11" s="381" customFormat="1" ht="15.6">
      <c r="A18" s="126"/>
      <c r="B18" s="126"/>
      <c r="C18" s="126"/>
      <c r="E18" s="126"/>
      <c r="F18" s="126"/>
      <c r="G18" s="126"/>
      <c r="H18" s="126"/>
      <c r="I18" s="1262" t="s">
        <v>1114</v>
      </c>
    </row>
    <row r="19" spans="1:11" s="381" customFormat="1" ht="15.6">
      <c r="C19" s="126"/>
      <c r="D19" s="728" t="s">
        <v>2077</v>
      </c>
      <c r="E19" s="728" t="s">
        <v>2078</v>
      </c>
      <c r="F19" s="126"/>
      <c r="G19" s="729" t="s">
        <v>1115</v>
      </c>
      <c r="H19" s="126"/>
      <c r="I19" s="729" t="s">
        <v>1116</v>
      </c>
      <c r="J19" s="1262"/>
      <c r="K19" s="110" t="s">
        <v>156</v>
      </c>
    </row>
    <row r="20" spans="1:11" s="381" customFormat="1" ht="15.6">
      <c r="A20" s="126"/>
      <c r="B20" s="126"/>
      <c r="C20" s="126"/>
      <c r="D20" s="378" t="s">
        <v>110</v>
      </c>
      <c r="E20" s="378" t="s">
        <v>111</v>
      </c>
      <c r="F20" s="126"/>
      <c r="G20" s="378" t="s">
        <v>160</v>
      </c>
      <c r="H20" s="126"/>
      <c r="I20" s="378" t="s">
        <v>161</v>
      </c>
      <c r="J20" s="729"/>
      <c r="K20" s="730" t="s">
        <v>162</v>
      </c>
    </row>
    <row r="21" spans="1:11" s="381" customFormat="1" ht="15">
      <c r="J21" s="378"/>
      <c r="K21" s="71"/>
    </row>
    <row r="22" spans="1:11" s="381" customFormat="1" ht="15.6">
      <c r="A22" s="378">
        <v>1</v>
      </c>
      <c r="B22" s="1387" t="s">
        <v>365</v>
      </c>
      <c r="C22" s="126"/>
      <c r="D22" s="1231">
        <f>'WP-BC'!G166+'WP-BC'!G104+SUM('WP-BC'!G35:G52)-'WP-BC'!G101-'WP-BC'!G161-'WP-BC'!G162</f>
        <v>3977699067</v>
      </c>
      <c r="E22" s="1231">
        <f>'WP-BC'!K166+'WP-BC'!K104+SUM('WP-BC'!K35:K52)-'WP-BC'!K101-'WP-BC'!K161-'WP-BC'!K162</f>
        <v>3948278901.7299995</v>
      </c>
      <c r="F22" s="1231"/>
      <c r="G22" s="1232">
        <f>(E22+D22)/2</f>
        <v>3962988984.3649998</v>
      </c>
      <c r="H22" s="731"/>
      <c r="I22" s="1239">
        <f>G22/G26</f>
        <v>0.76333039663027591</v>
      </c>
      <c r="K22" s="108" t="s">
        <v>369</v>
      </c>
    </row>
    <row r="23" spans="1:11" s="381" customFormat="1" ht="16.2" thickBot="1">
      <c r="A23" s="380"/>
      <c r="B23" s="380"/>
      <c r="D23" s="1233"/>
      <c r="E23" s="1233"/>
      <c r="F23" s="1233"/>
      <c r="G23" s="1234"/>
      <c r="H23" s="732"/>
      <c r="I23" s="1239"/>
      <c r="J23" s="733"/>
      <c r="K23" s="108"/>
    </row>
    <row r="24" spans="1:11" s="381" customFormat="1" ht="16.2" thickBot="1">
      <c r="A24" s="378">
        <v>2</v>
      </c>
      <c r="B24" s="1387" t="s">
        <v>1117</v>
      </c>
      <c r="C24" s="126"/>
      <c r="D24" s="1235">
        <f>'WP-BC'!G171+'WP-BC'!G182+'WP-BC'!G186+'WP-BC'!G194+'WP-BC'!G195+'WP-BC'!G201+'WP-BC'!G207</f>
        <v>1227848077</v>
      </c>
      <c r="E24" s="1235">
        <f>'WP-BC'!K171+'WP-BC'!K182+'WP-BC'!K186+'WP-BC'!K194+'WP-BC'!K195+'WP-BC'!K201+'WP-BC'!K207</f>
        <v>1229591153.0600002</v>
      </c>
      <c r="F24" s="1231"/>
      <c r="G24" s="1236">
        <f>(E24+D24)/2</f>
        <v>1228719615.0300002</v>
      </c>
      <c r="H24" s="731"/>
      <c r="I24" s="1240">
        <f>G24/G26</f>
        <v>0.23666960336972404</v>
      </c>
      <c r="J24" s="734"/>
      <c r="K24" s="108" t="s">
        <v>369</v>
      </c>
    </row>
    <row r="25" spans="1:11" s="381" customFormat="1" ht="15.6">
      <c r="A25" s="380"/>
      <c r="D25" s="1233"/>
      <c r="E25" s="1233"/>
      <c r="F25" s="1233"/>
      <c r="G25" s="1231"/>
      <c r="H25" s="732"/>
      <c r="I25" s="734"/>
      <c r="J25" s="733"/>
      <c r="K25" s="71"/>
    </row>
    <row r="26" spans="1:11" s="381" customFormat="1" ht="15.6">
      <c r="A26" s="378">
        <v>3</v>
      </c>
      <c r="B26" s="727" t="s">
        <v>276</v>
      </c>
      <c r="C26" s="126"/>
      <c r="D26" s="1232">
        <f>SUM(D22:D25)</f>
        <v>5205547144</v>
      </c>
      <c r="E26" s="1232">
        <f>SUM(E22:E25)</f>
        <v>5177870054.79</v>
      </c>
      <c r="F26" s="1231"/>
      <c r="G26" s="1232">
        <f>SUM(G22:G25)</f>
        <v>5191708599.3950005</v>
      </c>
      <c r="H26" s="731"/>
      <c r="I26" s="1239">
        <f>G26/G26</f>
        <v>1</v>
      </c>
      <c r="J26" s="735"/>
      <c r="K26" s="71"/>
    </row>
    <row r="27" spans="1:11" s="381" customFormat="1" ht="15.6">
      <c r="D27" s="736"/>
      <c r="E27" s="736"/>
      <c r="F27" s="736"/>
      <c r="G27" s="737"/>
      <c r="H27" s="736"/>
      <c r="I27" s="736"/>
      <c r="J27" s="736"/>
      <c r="K27" s="71"/>
    </row>
    <row r="28" spans="1:11" s="738" customFormat="1" ht="13.8">
      <c r="A28" s="59"/>
      <c r="B28" s="59"/>
      <c r="C28" s="59"/>
      <c r="D28" s="59"/>
      <c r="E28" s="59"/>
      <c r="F28" s="59"/>
      <c r="G28" s="59"/>
      <c r="H28" s="59"/>
      <c r="I28" s="59"/>
      <c r="J28" s="381"/>
    </row>
    <row r="29" spans="1:11" ht="13.2">
      <c r="J29" s="381"/>
    </row>
    <row r="30" spans="1:11" ht="13.2">
      <c r="J30" s="381"/>
    </row>
    <row r="31" spans="1:11" ht="13.2">
      <c r="J31" s="381"/>
    </row>
    <row r="32" spans="1:11" ht="13.2">
      <c r="J32" s="381"/>
    </row>
  </sheetData>
  <customSheetViews>
    <customSheetView guid="{343BF296-013A-41F5-BDAB-AD6220EA7F78}" scale="85" colorId="22" showPageBreaks="1" showGridLines="0" fitToPage="1" printArea="1" view="pageBreakPreview" topLeftCell="A4">
      <selection activeCell="D33" sqref="D33"/>
      <colBreaks count="1" manualBreakCount="1">
        <brk id="12" max="1048575" man="1"/>
      </colBreaks>
      <pageMargins left="0" right="0" top="0" bottom="0" header="0" footer="0"/>
      <printOptions horizontalCentered="1"/>
      <pageSetup scale="85" orientation="landscape" r:id="rId1"/>
      <headerFooter alignWithMargins="0"/>
    </customSheetView>
    <customSheetView guid="{B321D76C-CDE5-48BB-9CDE-80FF97D58FCF}" scale="85" colorId="22" showPageBreaks="1" showGridLines="0" fitToPage="1" printArea="1" view="pageBreakPreview" topLeftCell="A4">
      <selection activeCell="D33" sqref="D33"/>
      <colBreaks count="1" manualBreakCount="1">
        <brk id="12" max="1048575" man="1"/>
      </colBreaks>
      <pageMargins left="0" right="0" top="0" bottom="0" header="0" footer="0"/>
      <printOptions horizontalCentered="1"/>
      <pageSetup scale="85" orientation="landscape" r:id="rId2"/>
      <headerFooter alignWithMargins="0"/>
    </customSheetView>
  </customSheetViews>
  <mergeCells count="6">
    <mergeCell ref="A11:J11"/>
    <mergeCell ref="A7:J7"/>
    <mergeCell ref="A9:J9"/>
    <mergeCell ref="A5:J5"/>
    <mergeCell ref="A6:J6"/>
    <mergeCell ref="A10:J10"/>
  </mergeCells>
  <phoneticPr fontId="0" type="noConversion"/>
  <printOptions horizontalCentered="1"/>
  <pageMargins left="0.5" right="0.25" top="0.25" bottom="0.25" header="0.5" footer="0.5"/>
  <pageSetup scale="87" orientation="landscape" r:id="rId3"/>
  <headerFooter alignWithMargins="0"/>
  <colBreaks count="1" manualBreakCount="1">
    <brk id="12" max="1048575" man="1"/>
  </colBreaks>
  <ignoredErrors>
    <ignoredError sqref="D22:E22" formulaRange="1"/>
    <ignoredError sqref="D20:K20" numberStoredAsText="1"/>
  </ignoredErrors>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70C0"/>
  </sheetPr>
  <dimension ref="A1:N238"/>
  <sheetViews>
    <sheetView showGridLines="0" defaultGridColor="0" view="pageBreakPreview" topLeftCell="B1" colorId="22" zoomScale="85" zoomScaleNormal="85" zoomScaleSheetLayoutView="85" workbookViewId="0">
      <selection activeCell="O4" sqref="O4"/>
    </sheetView>
  </sheetViews>
  <sheetFormatPr defaultColWidth="13.33203125" defaultRowHeight="12"/>
  <cols>
    <col min="1" max="1" width="11.5546875" style="653" hidden="1" customWidth="1"/>
    <col min="2" max="2" width="11.109375" style="216" customWidth="1"/>
    <col min="3" max="3" width="25.77734375" style="216" customWidth="1"/>
    <col min="4" max="4" width="21.77734375" style="540" customWidth="1"/>
    <col min="5" max="5" width="2.33203125" style="216" customWidth="1"/>
    <col min="6" max="6" width="0.77734375" style="216" customWidth="1"/>
    <col min="7" max="7" width="18.33203125" style="216" customWidth="1"/>
    <col min="8" max="8" width="2.77734375" style="216" customWidth="1"/>
    <col min="9" max="9" width="56.44140625" style="216" customWidth="1"/>
    <col min="10" max="10" width="2.33203125" style="216" customWidth="1"/>
    <col min="11" max="11" width="26.5546875" style="724" customWidth="1"/>
    <col min="12" max="12" width="1.109375" style="216" customWidth="1"/>
    <col min="13" max="13" width="5.33203125" style="216" hidden="1" customWidth="1"/>
    <col min="14" max="14" width="2.77734375" style="216" customWidth="1"/>
    <col min="15" max="16384" width="13.33203125" style="216"/>
  </cols>
  <sheetData>
    <row r="1" spans="1:14" s="214" customFormat="1" ht="15.6">
      <c r="A1" s="648"/>
      <c r="B1" s="649"/>
      <c r="C1" s="650"/>
      <c r="D1" s="651"/>
      <c r="E1" s="650"/>
      <c r="F1" s="650"/>
      <c r="G1" s="650"/>
      <c r="H1" s="650"/>
      <c r="I1" s="650"/>
      <c r="J1" s="650"/>
      <c r="K1" s="652"/>
      <c r="L1" s="650"/>
      <c r="M1" s="650"/>
      <c r="N1" s="72"/>
    </row>
    <row r="2" spans="1:14" ht="17.399999999999999">
      <c r="D2" s="654"/>
      <c r="E2" s="218"/>
      <c r="G2" s="218"/>
      <c r="H2" s="218"/>
      <c r="I2" s="218"/>
      <c r="J2" s="218"/>
      <c r="K2" s="655"/>
      <c r="L2" s="218"/>
      <c r="M2" s="218"/>
      <c r="N2" s="218"/>
    </row>
    <row r="3" spans="1:14" ht="17.399999999999999">
      <c r="B3" s="1463" t="s">
        <v>20</v>
      </c>
      <c r="C3" s="1463"/>
      <c r="D3" s="1463"/>
      <c r="E3" s="1463"/>
      <c r="F3" s="1463"/>
      <c r="G3" s="1463"/>
      <c r="H3" s="1463"/>
      <c r="I3" s="1463"/>
      <c r="J3" s="1463"/>
      <c r="K3" s="1463"/>
      <c r="L3" s="1463"/>
      <c r="M3" s="1463"/>
      <c r="N3" s="1463"/>
    </row>
    <row r="4" spans="1:14" ht="17.399999999999999">
      <c r="B4" s="1463" t="s">
        <v>1</v>
      </c>
      <c r="C4" s="1463"/>
      <c r="D4" s="1463"/>
      <c r="E4" s="1463"/>
      <c r="F4" s="1463"/>
      <c r="G4" s="1463"/>
      <c r="H4" s="1463"/>
      <c r="I4" s="1463"/>
      <c r="J4" s="1463"/>
      <c r="K4" s="1463"/>
      <c r="L4" s="1463"/>
      <c r="M4" s="1463"/>
      <c r="N4" s="1463"/>
    </row>
    <row r="5" spans="1:14" ht="17.399999999999999">
      <c r="B5" s="1464" t="str">
        <f>SUMMARY!A7</f>
        <v>YEAR ENDING DECEMBER 31, 2022</v>
      </c>
      <c r="C5" s="1464"/>
      <c r="D5" s="1464"/>
      <c r="E5" s="1464"/>
      <c r="F5" s="1464"/>
      <c r="G5" s="1464"/>
      <c r="H5" s="1464"/>
      <c r="I5" s="1464"/>
      <c r="J5" s="1464"/>
      <c r="K5" s="1464"/>
      <c r="L5" s="1464"/>
      <c r="M5" s="1464"/>
      <c r="N5" s="1464"/>
    </row>
    <row r="6" spans="1:14" ht="17.399999999999999">
      <c r="D6" s="656"/>
      <c r="E6" s="218"/>
      <c r="F6" s="218"/>
      <c r="G6" s="218"/>
      <c r="H6" s="218"/>
      <c r="I6" s="218"/>
      <c r="J6" s="218"/>
      <c r="K6" s="655"/>
      <c r="L6" s="218"/>
      <c r="M6" s="218"/>
      <c r="N6" s="218"/>
    </row>
    <row r="7" spans="1:14" ht="17.399999999999999">
      <c r="B7" s="1463" t="s">
        <v>1118</v>
      </c>
      <c r="C7" s="1463"/>
      <c r="D7" s="1463"/>
      <c r="E7" s="1463"/>
      <c r="F7" s="1463"/>
      <c r="G7" s="1463"/>
      <c r="H7" s="1463"/>
      <c r="I7" s="1463"/>
      <c r="J7" s="1463"/>
      <c r="K7" s="1463"/>
      <c r="L7" s="1463"/>
      <c r="M7" s="1463"/>
      <c r="N7" s="1463"/>
    </row>
    <row r="8" spans="1:14" ht="17.399999999999999">
      <c r="B8" s="1463" t="s">
        <v>68</v>
      </c>
      <c r="C8" s="1463"/>
      <c r="D8" s="1463"/>
      <c r="E8" s="1463"/>
      <c r="F8" s="1463"/>
      <c r="G8" s="1463"/>
      <c r="H8" s="1463"/>
      <c r="I8" s="1463"/>
      <c r="J8" s="1463"/>
      <c r="K8" s="1463"/>
      <c r="L8" s="1463"/>
      <c r="M8" s="1463"/>
      <c r="N8" s="1463"/>
    </row>
    <row r="9" spans="1:14" ht="17.399999999999999">
      <c r="B9" s="1264"/>
      <c r="C9" s="1264"/>
      <c r="D9" s="657"/>
      <c r="E9" s="1264"/>
      <c r="F9" s="1264"/>
      <c r="G9" s="1264"/>
      <c r="H9" s="1264"/>
      <c r="I9" s="1264"/>
      <c r="J9" s="1264"/>
      <c r="K9" s="658"/>
      <c r="L9" s="1264"/>
      <c r="M9" s="1264"/>
      <c r="N9" s="1264"/>
    </row>
    <row r="10" spans="1:14" s="588" customFormat="1" ht="15.6">
      <c r="A10" s="659"/>
      <c r="B10" s="1506" t="s">
        <v>2079</v>
      </c>
      <c r="C10" s="1506"/>
      <c r="D10" s="1506"/>
      <c r="E10" s="1506"/>
      <c r="F10" s="1506"/>
      <c r="G10" s="1506"/>
      <c r="H10" s="1506"/>
      <c r="I10" s="1506"/>
      <c r="J10" s="1506"/>
      <c r="K10" s="1506"/>
      <c r="L10" s="1506"/>
      <c r="M10" s="1506"/>
      <c r="N10" s="1506"/>
    </row>
    <row r="11" spans="1:14" s="661" customFormat="1" ht="15.6">
      <c r="A11" s="660"/>
      <c r="D11" s="64" t="s">
        <v>8</v>
      </c>
      <c r="E11" s="64"/>
      <c r="F11" s="64"/>
      <c r="G11" s="64" t="s">
        <v>9</v>
      </c>
      <c r="H11" s="662"/>
      <c r="I11" s="64" t="s">
        <v>359</v>
      </c>
      <c r="J11" s="662"/>
      <c r="K11" s="64" t="s">
        <v>360</v>
      </c>
      <c r="L11" s="662"/>
    </row>
    <row r="12" spans="1:14" s="661" customFormat="1" ht="15.6">
      <c r="A12" s="660"/>
      <c r="D12" s="663"/>
      <c r="F12" s="662"/>
      <c r="G12" s="664" t="s">
        <v>1119</v>
      </c>
      <c r="H12" s="662"/>
      <c r="I12" s="662"/>
      <c r="J12" s="662"/>
      <c r="K12" s="665"/>
      <c r="L12" s="662"/>
      <c r="M12" s="666"/>
    </row>
    <row r="13" spans="1:14" s="661" customFormat="1" ht="15.6">
      <c r="A13" s="660"/>
      <c r="D13" s="1158" t="s">
        <v>1097</v>
      </c>
      <c r="F13" s="662"/>
      <c r="G13" s="667" t="s">
        <v>1120</v>
      </c>
      <c r="H13" s="662"/>
      <c r="I13" s="668" t="s">
        <v>574</v>
      </c>
      <c r="J13" s="662"/>
      <c r="K13" s="669" t="s">
        <v>356</v>
      </c>
      <c r="L13" s="662"/>
      <c r="M13" s="670"/>
    </row>
    <row r="14" spans="1:14" s="588" customFormat="1" ht="13.8">
      <c r="A14" s="659"/>
      <c r="D14" s="671"/>
      <c r="G14" s="672"/>
      <c r="K14" s="673"/>
    </row>
    <row r="15" spans="1:14" s="598" customFormat="1" ht="15.6">
      <c r="A15" s="674"/>
      <c r="B15" s="579" t="s">
        <v>7</v>
      </c>
      <c r="C15" s="579" t="s">
        <v>225</v>
      </c>
      <c r="D15" s="579" t="s">
        <v>1121</v>
      </c>
      <c r="G15" s="675"/>
      <c r="K15" s="676"/>
    </row>
    <row r="16" spans="1:14" s="598" customFormat="1" ht="13.2">
      <c r="A16" s="677" t="str">
        <f t="shared" ref="A16:A87" si="0">CONCATENATE(D16,G16,I16)</f>
        <v>BLENHEIM - GILBOA390Structures &amp; Improvements</v>
      </c>
      <c r="B16" s="678" t="s">
        <v>167</v>
      </c>
      <c r="C16" s="358" t="str">
        <f>CONCATENATE("WP-BC, column 8, line ",VLOOKUP(A16,'WP-BC'!$A$246:$N$352, 2, FALSE))</f>
        <v>WP-BC, column 8, line 12a</v>
      </c>
      <c r="D16" s="679" t="s">
        <v>1122</v>
      </c>
      <c r="E16" s="679"/>
      <c r="F16" s="679"/>
      <c r="G16" s="680">
        <v>390</v>
      </c>
      <c r="H16" s="681"/>
      <c r="I16" s="682" t="s">
        <v>308</v>
      </c>
      <c r="J16" s="683"/>
      <c r="K16" s="684">
        <f>IFERROR(VLOOKUP(A16,'WP-BC'!A$18:AI$352,10,FALSE),0)</f>
        <v>661483</v>
      </c>
      <c r="L16" s="683"/>
      <c r="M16" s="598" t="s">
        <v>1123</v>
      </c>
    </row>
    <row r="17" spans="1:13" s="598" customFormat="1" ht="13.2">
      <c r="A17" s="677" t="str">
        <f t="shared" si="0"/>
        <v>HEADQUARTERS390Structures &amp; Improvements</v>
      </c>
      <c r="B17" s="678" t="s">
        <v>171</v>
      </c>
      <c r="C17" s="358" t="str">
        <f>CONCATENATE("WP-BC, column 8, line ",VLOOKUP(A17,'WP-BC'!$A$246:$N$352, 2, FALSE))</f>
        <v>WP-BC, column 8, line 12k</v>
      </c>
      <c r="D17" s="679" t="s">
        <v>1124</v>
      </c>
      <c r="E17" s="679"/>
      <c r="F17" s="679"/>
      <c r="G17" s="680">
        <v>390</v>
      </c>
      <c r="H17" s="681"/>
      <c r="I17" s="682" t="s">
        <v>308</v>
      </c>
      <c r="J17" s="683"/>
      <c r="K17" s="684">
        <f>IFERROR(VLOOKUP(A17,'WP-BC'!A$18:AI$352,10,FALSE),0)</f>
        <v>4026679</v>
      </c>
      <c r="L17" s="683"/>
      <c r="M17" s="598" t="s">
        <v>1123</v>
      </c>
    </row>
    <row r="18" spans="1:13" s="598" customFormat="1" ht="13.2">
      <c r="A18" s="677" t="str">
        <f t="shared" si="0"/>
        <v>MASSENA - MARCY  (Clark)390Structures &amp; Improvements</v>
      </c>
      <c r="B18" s="678" t="s">
        <v>174</v>
      </c>
      <c r="C18" s="358" t="str">
        <f>CONCATENATE("WP-BC, column 8, line ",VLOOKUP(A18,'WP-BC'!$A$246:$N$352, 2, FALSE))</f>
        <v>WP-BC, column 8, line 12w</v>
      </c>
      <c r="D18" s="679" t="s">
        <v>1126</v>
      </c>
      <c r="E18" s="679"/>
      <c r="F18" s="679"/>
      <c r="G18" s="680">
        <v>390</v>
      </c>
      <c r="H18" s="681"/>
      <c r="I18" s="682" t="s">
        <v>308</v>
      </c>
      <c r="J18" s="683"/>
      <c r="K18" s="684">
        <f>IFERROR(VLOOKUP(A18,'WP-BC'!A$18:AI$352,10,FALSE),0)</f>
        <v>767303</v>
      </c>
      <c r="L18" s="683"/>
      <c r="M18" s="598" t="s">
        <v>1123</v>
      </c>
    </row>
    <row r="19" spans="1:13" s="598" customFormat="1" ht="13.2">
      <c r="A19" s="677" t="str">
        <f t="shared" si="0"/>
        <v>NIAGARA390Structures &amp; Improvements</v>
      </c>
      <c r="B19" s="678" t="s">
        <v>177</v>
      </c>
      <c r="C19" s="358" t="str">
        <f>CONCATENATE("WP-BC, column 8, line ",VLOOKUP(A19,'WP-BC'!$A$246:$N$352, 2, FALSE))</f>
        <v>WP-BC, column 8, line 12ah</v>
      </c>
      <c r="D19" s="679" t="s">
        <v>1127</v>
      </c>
      <c r="E19" s="679"/>
      <c r="F19" s="679"/>
      <c r="G19" s="680">
        <v>390</v>
      </c>
      <c r="H19" s="681"/>
      <c r="I19" s="682" t="s">
        <v>308</v>
      </c>
      <c r="J19" s="683"/>
      <c r="K19" s="684">
        <f>IFERROR(VLOOKUP(A19,'WP-BC'!A$18:AI$352,10,FALSE),0)</f>
        <v>783525</v>
      </c>
      <c r="L19" s="683"/>
      <c r="M19" s="598" t="s">
        <v>1123</v>
      </c>
    </row>
    <row r="20" spans="1:13" s="598" customFormat="1" ht="13.2">
      <c r="A20" s="677" t="str">
        <f t="shared" si="0"/>
        <v>St.  LAWRENCE / FDR390Structures &amp; Improvements</v>
      </c>
      <c r="B20" s="678" t="s">
        <v>237</v>
      </c>
      <c r="C20" s="358" t="str">
        <f>CONCATENATE("WP-BC, column 8, line ",VLOOKUP(A20,'WP-BC'!$A$246:$N$352, 2, FALSE))</f>
        <v>WP-BC, column 8, line 12at</v>
      </c>
      <c r="D20" s="679" t="s">
        <v>1128</v>
      </c>
      <c r="E20" s="679"/>
      <c r="F20" s="679"/>
      <c r="G20" s="680">
        <v>390</v>
      </c>
      <c r="H20" s="681"/>
      <c r="I20" s="682" t="s">
        <v>308</v>
      </c>
      <c r="J20" s="683"/>
      <c r="K20" s="684">
        <f>IFERROR(VLOOKUP(A20,'WP-BC'!A$18:AI$352,10,FALSE),0)</f>
        <v>847503</v>
      </c>
      <c r="L20" s="683"/>
      <c r="M20" s="598" t="s">
        <v>1123</v>
      </c>
    </row>
    <row r="21" spans="1:13" s="598" customFormat="1" ht="13.2">
      <c r="A21" s="677" t="str">
        <f t="shared" si="0"/>
        <v>390</v>
      </c>
      <c r="B21" s="697" t="s">
        <v>146</v>
      </c>
      <c r="C21" s="358"/>
      <c r="D21" s="686"/>
      <c r="E21" s="679"/>
      <c r="F21" s="679"/>
      <c r="G21" s="680">
        <v>390</v>
      </c>
      <c r="H21" s="681"/>
      <c r="I21" s="204"/>
      <c r="J21" s="683"/>
      <c r="K21" s="684">
        <f>IFERROR(VLOOKUP(A21,'WP-BC'!A$18:AI$352,10,FALSE),0)</f>
        <v>0</v>
      </c>
      <c r="L21" s="683"/>
    </row>
    <row r="22" spans="1:13" s="598" customFormat="1" ht="15">
      <c r="A22" s="677" t="str">
        <f t="shared" si="0"/>
        <v>390</v>
      </c>
      <c r="B22" s="697" t="s">
        <v>146</v>
      </c>
      <c r="C22" s="358"/>
      <c r="D22" s="686"/>
      <c r="E22" s="679"/>
      <c r="F22" s="679"/>
      <c r="G22" s="680">
        <v>390</v>
      </c>
      <c r="H22" s="681"/>
      <c r="I22" s="204"/>
      <c r="J22" s="683"/>
      <c r="K22" s="687">
        <f>IFERROR(VLOOKUP(A22,'WP-BC'!A$18:AI$359,10,FALSE),0)</f>
        <v>0</v>
      </c>
      <c r="L22" s="683"/>
    </row>
    <row r="23" spans="1:13" s="598" customFormat="1" ht="13.2">
      <c r="A23" s="677" t="str">
        <f t="shared" si="0"/>
        <v>390</v>
      </c>
      <c r="B23" s="678">
        <v>2</v>
      </c>
      <c r="C23"/>
      <c r="D23"/>
      <c r="E23" s="689"/>
      <c r="F23" s="690"/>
      <c r="G23" s="680">
        <v>390</v>
      </c>
      <c r="H23" s="691" t="s">
        <v>1129</v>
      </c>
      <c r="I23" s="683"/>
      <c r="J23" s="683"/>
      <c r="K23" s="692">
        <f>SUM(K16:K22)</f>
        <v>7086493</v>
      </c>
      <c r="L23" s="683"/>
    </row>
    <row r="24" spans="1:13" s="598" customFormat="1" ht="13.2">
      <c r="A24" s="677" t="str">
        <f t="shared" si="0"/>
        <v/>
      </c>
      <c r="B24" s="678"/>
      <c r="C24"/>
      <c r="D24"/>
      <c r="E24" s="689"/>
      <c r="F24" s="690"/>
      <c r="G24" s="680"/>
      <c r="H24" s="683"/>
      <c r="I24" s="683"/>
      <c r="J24" s="683"/>
      <c r="K24" s="693"/>
      <c r="L24" s="683"/>
    </row>
    <row r="25" spans="1:13" s="598" customFormat="1" ht="13.2">
      <c r="A25" s="677" t="str">
        <f t="shared" si="0"/>
        <v>BLENHEIM - GILBOA391Office Furniture &amp; Equipment</v>
      </c>
      <c r="B25" s="678" t="s">
        <v>183</v>
      </c>
      <c r="C25" s="358" t="str">
        <f>CONCATENATE("WP-BC, column 8, line ",VLOOKUP(A25,'WP-BC'!$A$246:$N$352, 2, FALSE))</f>
        <v>WP-BC, column 8, line 12b</v>
      </c>
      <c r="D25" s="679" t="s">
        <v>1122</v>
      </c>
      <c r="E25" s="679"/>
      <c r="F25" s="679"/>
      <c r="G25" s="680">
        <v>391</v>
      </c>
      <c r="H25" s="681"/>
      <c r="I25" s="682" t="s">
        <v>317</v>
      </c>
      <c r="J25" s="683"/>
      <c r="K25" s="684">
        <f>IFERROR(VLOOKUP(A25,'WP-BC'!A$18:AI$352,10,FALSE),0)</f>
        <v>3767</v>
      </c>
      <c r="L25" s="683"/>
      <c r="M25" s="598" t="s">
        <v>1123</v>
      </c>
    </row>
    <row r="26" spans="1:13" s="598" customFormat="1" ht="13.2">
      <c r="A26" s="677" t="str">
        <f t="shared" si="0"/>
        <v>HEADQUARTERS391Office Furniture &amp; Equipment</v>
      </c>
      <c r="B26" s="678" t="s">
        <v>185</v>
      </c>
      <c r="C26" s="358" t="str">
        <f>CONCATENATE("WP-BC, column 8, line ",VLOOKUP(A26,'WP-BC'!$A$246:$N$352, 2, FALSE))</f>
        <v>WP-BC, column 8, line 12l</v>
      </c>
      <c r="D26" s="679" t="s">
        <v>1124</v>
      </c>
      <c r="E26" s="679"/>
      <c r="F26" s="679"/>
      <c r="G26" s="680">
        <v>391</v>
      </c>
      <c r="H26" s="681"/>
      <c r="I26" s="682" t="s">
        <v>317</v>
      </c>
      <c r="J26" s="683"/>
      <c r="K26" s="684">
        <f>IFERROR(VLOOKUP(A26,'WP-BC'!A$18:AI$352,10,FALSE),0)</f>
        <v>793973</v>
      </c>
      <c r="L26" s="683"/>
      <c r="M26" s="598" t="s">
        <v>1123</v>
      </c>
    </row>
    <row r="27" spans="1:13" s="598" customFormat="1" ht="13.2">
      <c r="A27" s="677" t="str">
        <f t="shared" si="0"/>
        <v>MASSENA - MARCY  (Clark)391Office Furniture &amp; Equipment</v>
      </c>
      <c r="B27" s="678" t="s">
        <v>188</v>
      </c>
      <c r="C27" s="358" t="str">
        <f>CONCATENATE("WP-BC, column 8, line ",VLOOKUP(A27,'WP-BC'!$A$246:$N$352, 2, FALSE))</f>
        <v>WP-BC, column 8, line 12x</v>
      </c>
      <c r="D27" s="679" t="s">
        <v>1126</v>
      </c>
      <c r="E27" s="679"/>
      <c r="F27" s="679"/>
      <c r="G27" s="680">
        <v>391</v>
      </c>
      <c r="H27" s="681"/>
      <c r="I27" s="682" t="s">
        <v>317</v>
      </c>
      <c r="J27" s="683"/>
      <c r="K27" s="684">
        <f>IFERROR(VLOOKUP(A27,'WP-BC'!A$18:AI$352,10,FALSE),0)</f>
        <v>-36298</v>
      </c>
      <c r="L27" s="683"/>
      <c r="M27" s="598" t="s">
        <v>1123</v>
      </c>
    </row>
    <row r="28" spans="1:13" s="598" customFormat="1" ht="13.2">
      <c r="A28" s="677" t="str">
        <f t="shared" si="0"/>
        <v>NIAGARA391Office Furniture &amp; Equipment</v>
      </c>
      <c r="B28" s="678" t="s">
        <v>191</v>
      </c>
      <c r="C28" s="358" t="str">
        <f>CONCATENATE("WP-BC, column 8, line ",VLOOKUP(A28,'WP-BC'!$A$246:$N$352, 2, FALSE))</f>
        <v>WP-BC, column 8, line 12ai</v>
      </c>
      <c r="D28" s="679" t="s">
        <v>1127</v>
      </c>
      <c r="E28" s="679"/>
      <c r="F28" s="679"/>
      <c r="G28" s="680">
        <v>391</v>
      </c>
      <c r="H28" s="681"/>
      <c r="I28" s="682" t="s">
        <v>317</v>
      </c>
      <c r="J28" s="683"/>
      <c r="K28" s="684">
        <f>IFERROR(VLOOKUP(A28,'WP-BC'!A$18:AI$352,10,FALSE),0)</f>
        <v>23146</v>
      </c>
      <c r="L28" s="683"/>
      <c r="M28" s="598" t="s">
        <v>1123</v>
      </c>
    </row>
    <row r="29" spans="1:13" s="598" customFormat="1" ht="13.2">
      <c r="A29" s="677" t="str">
        <f t="shared" si="0"/>
        <v>St.  LAWRENCE / FDR391Office Furniture &amp; Equipment</v>
      </c>
      <c r="B29" s="678" t="s">
        <v>194</v>
      </c>
      <c r="C29" s="358" t="str">
        <f>CONCATENATE("WP-BC, column 8, line ",VLOOKUP(A29,'WP-BC'!$A$246:$N$352, 2, FALSE))</f>
        <v>WP-BC, column 8, line 12au</v>
      </c>
      <c r="D29" s="679" t="s">
        <v>1128</v>
      </c>
      <c r="E29" s="679"/>
      <c r="F29" s="679"/>
      <c r="G29" s="680">
        <v>391</v>
      </c>
      <c r="H29" s="681"/>
      <c r="I29" s="682" t="s">
        <v>317</v>
      </c>
      <c r="J29" s="683"/>
      <c r="K29" s="684">
        <f>IFERROR(VLOOKUP(A29,'WP-BC'!A$18:AI$352,10,FALSE),0)</f>
        <v>8839</v>
      </c>
      <c r="L29" s="683"/>
      <c r="M29" s="598" t="s">
        <v>1123</v>
      </c>
    </row>
    <row r="30" spans="1:13" s="598" customFormat="1" ht="13.2">
      <c r="A30" s="677" t="s">
        <v>1130</v>
      </c>
      <c r="B30" s="697" t="s">
        <v>197</v>
      </c>
      <c r="C30" s="358" t="str">
        <f>CONCATENATE("WP-BC, column 8, line ",VLOOKUP(A30,'WP-BC'!$A$246:$N$352, 2, FALSE))</f>
        <v>WP-BC, column 8, line 12c</v>
      </c>
      <c r="D30" s="679" t="s">
        <v>1122</v>
      </c>
      <c r="E30" s="679"/>
      <c r="F30" s="679"/>
      <c r="G30" s="1447">
        <v>391.2</v>
      </c>
      <c r="H30" s="681"/>
      <c r="I30" s="682" t="s">
        <v>442</v>
      </c>
      <c r="J30" s="683"/>
      <c r="K30" s="684">
        <f>IFERROR(VLOOKUP(A30,'WP-BC'!A$18:AI$352,10,FALSE),0)</f>
        <v>5551</v>
      </c>
      <c r="L30" s="683"/>
    </row>
    <row r="31" spans="1:13" s="598" customFormat="1" ht="13.2">
      <c r="A31" s="677" t="s">
        <v>1131</v>
      </c>
      <c r="B31" s="697" t="s">
        <v>322</v>
      </c>
      <c r="C31" s="358" t="str">
        <f>CONCATENATE("WP-BC, column 8, line ",VLOOKUP(A31,'WP-BC'!$A$246:$N$352, 2, FALSE))</f>
        <v>WP-BC, column 8, line 12m</v>
      </c>
      <c r="D31" s="679" t="s">
        <v>1124</v>
      </c>
      <c r="E31" s="679"/>
      <c r="F31" s="679"/>
      <c r="G31" s="1447">
        <v>391.2</v>
      </c>
      <c r="H31" s="681"/>
      <c r="I31" s="682" t="s">
        <v>442</v>
      </c>
      <c r="J31" s="683"/>
      <c r="K31" s="684">
        <f>IFERROR(VLOOKUP(A31,'WP-BC'!A$18:AI$352,10,FALSE),0)</f>
        <v>3198592</v>
      </c>
      <c r="L31" s="683"/>
    </row>
    <row r="32" spans="1:13" s="598" customFormat="1" ht="13.2">
      <c r="A32" s="677" t="s">
        <v>1132</v>
      </c>
      <c r="B32" s="697" t="s">
        <v>324</v>
      </c>
      <c r="C32" s="358" t="str">
        <f>CONCATENATE("WP-BC, column 8, line ",VLOOKUP(A32,'WP-BC'!$A$246:$N$352, 2, FALSE))</f>
        <v>WP-BC, column 8, line 12y</v>
      </c>
      <c r="D32" s="679" t="s">
        <v>1126</v>
      </c>
      <c r="E32" s="679"/>
      <c r="F32" s="679"/>
      <c r="G32" s="1447">
        <v>391.2</v>
      </c>
      <c r="H32" s="681"/>
      <c r="I32" s="682" t="s">
        <v>442</v>
      </c>
      <c r="J32" s="683"/>
      <c r="K32" s="684">
        <f>IFERROR(VLOOKUP(A32,'WP-BC'!A$18:AI$352,10,FALSE),0)</f>
        <v>-82627</v>
      </c>
      <c r="L32" s="683"/>
    </row>
    <row r="33" spans="1:13" s="598" customFormat="1" ht="13.2">
      <c r="A33" s="677" t="s">
        <v>1133</v>
      </c>
      <c r="B33" s="697" t="s">
        <v>326</v>
      </c>
      <c r="C33" s="358" t="str">
        <f>CONCATENATE("WP-BC, column 8, line ",VLOOKUP(A33,'WP-BC'!$A$246:$N$352, 2, FALSE))</f>
        <v>WP-BC, column 8, line 12aj</v>
      </c>
      <c r="D33" s="679" t="s">
        <v>1127</v>
      </c>
      <c r="E33" s="679"/>
      <c r="F33" s="679"/>
      <c r="G33" s="1447">
        <v>391.2</v>
      </c>
      <c r="H33" s="681"/>
      <c r="I33" s="682" t="s">
        <v>442</v>
      </c>
      <c r="J33" s="683"/>
      <c r="K33" s="684">
        <f>IFERROR(VLOOKUP(A33,'WP-BC'!A$18:AI$352,10,FALSE),0)</f>
        <v>21849</v>
      </c>
      <c r="L33" s="683"/>
    </row>
    <row r="34" spans="1:13" s="598" customFormat="1" ht="13.2">
      <c r="A34" s="677" t="s">
        <v>1134</v>
      </c>
      <c r="B34" s="697" t="s">
        <v>846</v>
      </c>
      <c r="C34" s="358" t="str">
        <f>CONCATENATE("WP-BC, column 8, line ",VLOOKUP(A34,'WP-BC'!$A$246:$N$352, 2, FALSE))</f>
        <v>WP-BC, column 8, line 12av</v>
      </c>
      <c r="D34" s="679" t="s">
        <v>1128</v>
      </c>
      <c r="E34" s="679"/>
      <c r="F34" s="679"/>
      <c r="G34" s="1447">
        <v>391.2</v>
      </c>
      <c r="H34" s="681"/>
      <c r="I34" s="682" t="s">
        <v>442</v>
      </c>
      <c r="J34" s="683"/>
      <c r="K34" s="684">
        <f>IFERROR(VLOOKUP(A34,'WP-BC'!A$18:AI$352,10,FALSE),0)</f>
        <v>34670</v>
      </c>
      <c r="L34" s="683"/>
    </row>
    <row r="35" spans="1:13" s="598" customFormat="1" ht="13.2">
      <c r="A35" s="677" t="s">
        <v>1135</v>
      </c>
      <c r="B35" s="697" t="s">
        <v>852</v>
      </c>
      <c r="C35" s="358" t="str">
        <f>CONCATENATE("WP-BC, column 8, line ",VLOOKUP(A35,'WP-BC'!$A$246:$N$352, 2, FALSE))</f>
        <v>WP-BC, column 8, line 12n</v>
      </c>
      <c r="D35" s="679" t="s">
        <v>1124</v>
      </c>
      <c r="E35" s="679"/>
      <c r="F35" s="679"/>
      <c r="G35" s="1447">
        <v>391.3</v>
      </c>
      <c r="H35" s="681"/>
      <c r="I35" s="682" t="s">
        <v>444</v>
      </c>
      <c r="J35" s="683"/>
      <c r="K35" s="684">
        <f>IFERROR(VLOOKUP(A35,'WP-BC'!A$18:AI$352,10,FALSE),0)</f>
        <v>32013551</v>
      </c>
      <c r="L35" s="683"/>
    </row>
    <row r="36" spans="1:13" s="598" customFormat="1" ht="13.2">
      <c r="A36" s="677" t="s">
        <v>1136</v>
      </c>
      <c r="B36" s="697" t="s">
        <v>850</v>
      </c>
      <c r="C36" s="358" t="str">
        <f>CONCATENATE("WP-BC, column 8, line ",VLOOKUP(A36,'WP-BC'!$A$246:$N$352, 2, FALSE))</f>
        <v>WP-BC, column 8, line 12z</v>
      </c>
      <c r="D36" s="679" t="s">
        <v>1126</v>
      </c>
      <c r="E36" s="679"/>
      <c r="F36" s="679"/>
      <c r="G36" s="1447">
        <v>391.3</v>
      </c>
      <c r="H36" s="681"/>
      <c r="I36" s="682" t="s">
        <v>444</v>
      </c>
      <c r="J36" s="683"/>
      <c r="K36" s="684">
        <f>IFERROR(VLOOKUP(A36,'WP-BC'!A$18:AI$352,10,FALSE),0)</f>
        <v>991383</v>
      </c>
      <c r="L36" s="683"/>
    </row>
    <row r="37" spans="1:13" s="598" customFormat="1" ht="13.2">
      <c r="A37" s="677" t="s">
        <v>1137</v>
      </c>
      <c r="B37" s="697" t="s">
        <v>854</v>
      </c>
      <c r="C37" s="358" t="str">
        <f>CONCATENATE("WP-BC, column 8, line ",VLOOKUP(A37,'WP-BC'!$A$246:$N$352, 2, FALSE))</f>
        <v>WP-BC, column 8, line 12ak</v>
      </c>
      <c r="D37" s="679" t="s">
        <v>1127</v>
      </c>
      <c r="E37" s="679"/>
      <c r="F37" s="679"/>
      <c r="G37" s="1447">
        <v>391.3</v>
      </c>
      <c r="H37" s="681"/>
      <c r="I37" s="682" t="s">
        <v>444</v>
      </c>
      <c r="J37" s="683"/>
      <c r="K37" s="684">
        <f>IFERROR(VLOOKUP(A37,'WP-BC'!A$18:AI$352,10,FALSE),0)</f>
        <v>202438</v>
      </c>
      <c r="L37" s="683"/>
    </row>
    <row r="38" spans="1:13" s="598" customFormat="1" ht="13.2">
      <c r="A38" s="677" t="s">
        <v>1138</v>
      </c>
      <c r="B38" s="697" t="s">
        <v>856</v>
      </c>
      <c r="C38" s="358" t="str">
        <f>CONCATENATE("WP-BC, column 8, line ",VLOOKUP(A38,'WP-BC'!$A$246:$N$352, 2, FALSE))</f>
        <v>WP-BC, column 8, line 12aw</v>
      </c>
      <c r="D38" s="679" t="s">
        <v>1128</v>
      </c>
      <c r="E38" s="679"/>
      <c r="F38" s="679"/>
      <c r="G38" s="1447">
        <v>391.3</v>
      </c>
      <c r="H38" s="681"/>
      <c r="I38" s="682" t="s">
        <v>444</v>
      </c>
      <c r="J38" s="683"/>
      <c r="K38" s="684">
        <f>IFERROR(VLOOKUP(A38,'WP-BC'!A$18:AI$352,10,FALSE),0)</f>
        <v>844089</v>
      </c>
      <c r="L38" s="683"/>
    </row>
    <row r="39" spans="1:13" s="598" customFormat="1" ht="13.2">
      <c r="A39" s="677" t="str">
        <f t="shared" si="0"/>
        <v>391</v>
      </c>
      <c r="B39" s="697" t="s">
        <v>146</v>
      </c>
      <c r="C39" s="358"/>
      <c r="D39" s="685"/>
      <c r="E39" s="679"/>
      <c r="F39" s="679"/>
      <c r="G39" s="1447">
        <v>391</v>
      </c>
      <c r="H39" s="681"/>
      <c r="I39" s="685"/>
      <c r="J39" s="683"/>
      <c r="K39" s="684">
        <f>IFERROR(VLOOKUP(A39,'WP-BC'!A$18:AI$352,10,FALSE),0)</f>
        <v>0</v>
      </c>
      <c r="L39" s="683"/>
    </row>
    <row r="40" spans="1:13" s="598" customFormat="1" ht="15">
      <c r="A40" s="677" t="str">
        <f t="shared" si="0"/>
        <v>391</v>
      </c>
      <c r="B40" s="697" t="s">
        <v>146</v>
      </c>
      <c r="C40" s="358"/>
      <c r="D40" s="685"/>
      <c r="E40" s="679"/>
      <c r="F40" s="679"/>
      <c r="G40" s="1447">
        <v>391</v>
      </c>
      <c r="H40" s="681"/>
      <c r="I40" s="685"/>
      <c r="J40" s="683"/>
      <c r="K40" s="687">
        <f>IFERROR(VLOOKUP(A40,'WP-BC'!A$18:AI$359,10,FALSE),0)</f>
        <v>0</v>
      </c>
      <c r="L40" s="683"/>
    </row>
    <row r="41" spans="1:13" s="598" customFormat="1" ht="13.2">
      <c r="A41" s="677" t="str">
        <f t="shared" si="0"/>
        <v>391</v>
      </c>
      <c r="B41" s="678">
        <v>4</v>
      </c>
      <c r="C41"/>
      <c r="D41"/>
      <c r="E41" s="689"/>
      <c r="F41" s="690"/>
      <c r="G41" s="680">
        <v>391</v>
      </c>
      <c r="H41" s="691" t="s">
        <v>1139</v>
      </c>
      <c r="I41" s="683"/>
      <c r="J41" s="683"/>
      <c r="K41" s="694">
        <f>SUM(K25:K40)</f>
        <v>38022923</v>
      </c>
      <c r="L41" s="683"/>
    </row>
    <row r="42" spans="1:13" s="598" customFormat="1" ht="13.2">
      <c r="A42" s="677" t="str">
        <f t="shared" si="0"/>
        <v/>
      </c>
      <c r="B42" s="678"/>
      <c r="C42"/>
      <c r="D42"/>
      <c r="E42" s="689"/>
      <c r="F42" s="690"/>
      <c r="G42" s="680"/>
      <c r="H42" s="683"/>
      <c r="I42" s="683"/>
      <c r="J42" s="683"/>
      <c r="K42" s="684"/>
      <c r="L42" s="683"/>
    </row>
    <row r="43" spans="1:13" s="598" customFormat="1" ht="13.2">
      <c r="A43" s="677" t="str">
        <f t="shared" si="0"/>
        <v>BLENHEIM - GILBOA392Transportation Equipment</v>
      </c>
      <c r="B43" s="678" t="s">
        <v>332</v>
      </c>
      <c r="C43" s="358" t="str">
        <f>CONCATENATE("WP-BC, column 8, line ",VLOOKUP(A43,'WP-BC'!$A$246:$N$352, 2, FALSE))</f>
        <v>WP-BC, column 8, line 12d</v>
      </c>
      <c r="D43" s="679" t="s">
        <v>1122</v>
      </c>
      <c r="E43" s="679"/>
      <c r="F43" s="679"/>
      <c r="G43" s="680">
        <v>392</v>
      </c>
      <c r="H43" s="681"/>
      <c r="I43" s="682" t="s">
        <v>318</v>
      </c>
      <c r="J43" s="683"/>
      <c r="K43" s="684">
        <f>IFERROR(VLOOKUP(A43,'WP-BC'!A$18:AI$352,10,FALSE),0)</f>
        <v>387274</v>
      </c>
      <c r="L43" s="683"/>
      <c r="M43" s="598" t="s">
        <v>1123</v>
      </c>
    </row>
    <row r="44" spans="1:13" s="598" customFormat="1" ht="13.2">
      <c r="A44" s="677" t="str">
        <f t="shared" si="0"/>
        <v>HEADQUARTERS392Transportation Equipment</v>
      </c>
      <c r="B44" s="678" t="s">
        <v>335</v>
      </c>
      <c r="C44" s="358" t="str">
        <f>CONCATENATE("WP-BC, column 8, line ",VLOOKUP(A44,'WP-BC'!$A$246:$N$352, 2, FALSE))</f>
        <v>WP-BC, column 8, line 12o</v>
      </c>
      <c r="D44" s="679" t="s">
        <v>1124</v>
      </c>
      <c r="E44" s="679"/>
      <c r="F44" s="679"/>
      <c r="G44" s="680">
        <v>392</v>
      </c>
      <c r="H44" s="681"/>
      <c r="I44" s="682" t="s">
        <v>318</v>
      </c>
      <c r="J44" s="683"/>
      <c r="K44" s="684">
        <f>IFERROR(VLOOKUP(A44,'WP-BC'!A$18:AI$352,10,FALSE),0)</f>
        <v>84921</v>
      </c>
      <c r="L44" s="683"/>
      <c r="M44" s="598" t="s">
        <v>1123</v>
      </c>
    </row>
    <row r="45" spans="1:13" s="598" customFormat="1" ht="13.2">
      <c r="A45" s="677" t="str">
        <f t="shared" si="0"/>
        <v>MASSENA - MARCY  (Clark)392Transportation Equipment</v>
      </c>
      <c r="B45" s="678" t="s">
        <v>338</v>
      </c>
      <c r="C45" s="358" t="str">
        <f>CONCATENATE("WP-BC, column 8, line ",VLOOKUP(A45,'WP-BC'!$A$246:$N$352, 2, FALSE))</f>
        <v>WP-BC, column 8, line 12aa</v>
      </c>
      <c r="D45" s="679" t="s">
        <v>1126</v>
      </c>
      <c r="E45" s="679"/>
      <c r="F45" s="679"/>
      <c r="G45" s="680">
        <v>392</v>
      </c>
      <c r="H45" s="681"/>
      <c r="I45" s="682" t="s">
        <v>318</v>
      </c>
      <c r="J45" s="683"/>
      <c r="K45" s="684">
        <f>IFERROR(VLOOKUP(A45,'WP-BC'!A$18:AI$352,10,FALSE),0)</f>
        <v>490118</v>
      </c>
      <c r="L45" s="683"/>
      <c r="M45" s="598" t="s">
        <v>1123</v>
      </c>
    </row>
    <row r="46" spans="1:13" s="598" customFormat="1" ht="13.2">
      <c r="A46" s="677" t="str">
        <f t="shared" si="0"/>
        <v>NIAGARA392Transportation Equipment</v>
      </c>
      <c r="B46" s="678" t="s">
        <v>341</v>
      </c>
      <c r="C46" s="358" t="str">
        <f>CONCATENATE("WP-BC, column 8, line ",VLOOKUP(A46,'WP-BC'!$A$246:$N$352, 2, FALSE))</f>
        <v>WP-BC, column 8, line 12al</v>
      </c>
      <c r="D46" s="679" t="s">
        <v>1127</v>
      </c>
      <c r="E46" s="679"/>
      <c r="F46" s="679"/>
      <c r="G46" s="680">
        <v>392</v>
      </c>
      <c r="H46" s="681"/>
      <c r="I46" s="682" t="s">
        <v>318</v>
      </c>
      <c r="J46" s="683"/>
      <c r="K46" s="684">
        <f>IFERROR(VLOOKUP(A46,'WP-BC'!A$18:AI$352,10,FALSE),0)</f>
        <v>347074</v>
      </c>
      <c r="L46" s="683"/>
      <c r="M46" s="598" t="s">
        <v>1123</v>
      </c>
    </row>
    <row r="47" spans="1:13" s="598" customFormat="1" ht="13.2">
      <c r="A47" s="677" t="str">
        <f t="shared" si="0"/>
        <v>St.  LAWRENCE / FDR392Transportation Equipment</v>
      </c>
      <c r="B47" s="678" t="s">
        <v>343</v>
      </c>
      <c r="C47" s="358" t="str">
        <f>CONCATENATE("WP-BC, column 8, line ",VLOOKUP(A47,'WP-BC'!$A$246:$N$352, 2, FALSE))</f>
        <v>WP-BC, column 8, line 12ax</v>
      </c>
      <c r="D47" s="679" t="s">
        <v>1128</v>
      </c>
      <c r="E47" s="679"/>
      <c r="F47" s="679"/>
      <c r="G47" s="680">
        <v>392</v>
      </c>
      <c r="H47" s="681"/>
      <c r="I47" s="682" t="s">
        <v>318</v>
      </c>
      <c r="J47" s="683"/>
      <c r="K47" s="684">
        <f>IFERROR(VLOOKUP(A47,'WP-BC'!A$18:AI$352,10,FALSE),0)</f>
        <v>759504</v>
      </c>
      <c r="L47" s="683"/>
      <c r="M47" s="598" t="s">
        <v>1123</v>
      </c>
    </row>
    <row r="48" spans="1:13" s="598" customFormat="1" ht="13.2">
      <c r="A48" s="677" t="str">
        <f t="shared" si="0"/>
        <v>392</v>
      </c>
      <c r="B48" s="697" t="s">
        <v>146</v>
      </c>
      <c r="C48" s="358"/>
      <c r="D48" s="685"/>
      <c r="E48" s="679"/>
      <c r="F48" s="679"/>
      <c r="G48" s="680">
        <v>392</v>
      </c>
      <c r="H48" s="681"/>
      <c r="I48" s="685"/>
      <c r="J48" s="683"/>
      <c r="K48" s="684">
        <f>IFERROR(VLOOKUP(A48,'WP-BC'!A$18:AI$352,10,FALSE),0)</f>
        <v>0</v>
      </c>
      <c r="L48" s="683"/>
    </row>
    <row r="49" spans="1:13" s="598" customFormat="1" ht="15">
      <c r="A49" s="677" t="str">
        <f t="shared" si="0"/>
        <v>392</v>
      </c>
      <c r="B49" s="697" t="s">
        <v>146</v>
      </c>
      <c r="C49" s="358"/>
      <c r="D49" s="685"/>
      <c r="E49" s="679"/>
      <c r="F49" s="679"/>
      <c r="G49" s="680">
        <v>392</v>
      </c>
      <c r="H49" s="681"/>
      <c r="I49" s="685"/>
      <c r="J49" s="683"/>
      <c r="K49" s="687">
        <f>IFERROR(VLOOKUP(A49,'WP-BC'!A$18:AI$359,10,FALSE),0)</f>
        <v>0</v>
      </c>
      <c r="L49" s="683"/>
    </row>
    <row r="50" spans="1:13" s="598" customFormat="1" ht="13.2">
      <c r="A50" s="677" t="str">
        <f t="shared" si="0"/>
        <v>392</v>
      </c>
      <c r="B50" s="678">
        <v>6</v>
      </c>
      <c r="C50"/>
      <c r="D50"/>
      <c r="E50" s="689"/>
      <c r="F50" s="690"/>
      <c r="G50" s="680">
        <v>392</v>
      </c>
      <c r="H50" s="691" t="s">
        <v>1140</v>
      </c>
      <c r="I50" s="683"/>
      <c r="J50" s="683"/>
      <c r="K50" s="695">
        <f>SUM(K43:K49)</f>
        <v>2068891</v>
      </c>
      <c r="L50" s="683"/>
    </row>
    <row r="51" spans="1:13" s="598" customFormat="1" ht="13.2">
      <c r="A51" s="677" t="str">
        <f t="shared" si="0"/>
        <v/>
      </c>
      <c r="B51" s="678"/>
      <c r="C51"/>
      <c r="D51"/>
      <c r="E51" s="689"/>
      <c r="F51" s="690"/>
      <c r="G51" s="680"/>
      <c r="H51" s="683"/>
      <c r="I51" s="683"/>
      <c r="J51" s="683"/>
      <c r="K51" s="684"/>
      <c r="L51" s="683"/>
    </row>
    <row r="52" spans="1:13" s="598" customFormat="1" ht="13.2">
      <c r="A52" s="677" t="str">
        <f t="shared" si="0"/>
        <v>BLENHEIM - GILBOA393Stores Equipment</v>
      </c>
      <c r="B52" s="678" t="s">
        <v>1141</v>
      </c>
      <c r="C52" s="358" t="str">
        <f>CONCATENATE("WP-BC, column 8, line ",VLOOKUP(A52,'WP-BC'!$A$246:$N$352, 2, FALSE))</f>
        <v>WP-BC, column 8, line 12e</v>
      </c>
      <c r="D52" s="679" t="s">
        <v>1122</v>
      </c>
      <c r="E52" s="679"/>
      <c r="F52" s="679"/>
      <c r="G52" s="680">
        <v>393</v>
      </c>
      <c r="H52" s="681"/>
      <c r="I52" s="682" t="s">
        <v>319</v>
      </c>
      <c r="J52" s="683"/>
      <c r="K52" s="684">
        <f>IFERROR(VLOOKUP(A52,'WP-BC'!A$18:AI$352,10,FALSE),0)</f>
        <v>16195</v>
      </c>
      <c r="L52" s="683"/>
      <c r="M52" s="598" t="s">
        <v>1123</v>
      </c>
    </row>
    <row r="53" spans="1:13" s="598" customFormat="1" ht="13.2">
      <c r="A53" s="677" t="str">
        <f t="shared" si="0"/>
        <v>MASSENA - MARCY  (Clark)393Stores Equipment</v>
      </c>
      <c r="B53" s="678" t="s">
        <v>1142</v>
      </c>
      <c r="C53" s="358" t="str">
        <f>CONCATENATE("WP-BC, column 8, line ",VLOOKUP(A53,'WP-BC'!$A$246:$N$352, 2, FALSE))</f>
        <v>WP-BC, column 8, line 12ab</v>
      </c>
      <c r="D53" s="679" t="s">
        <v>1126</v>
      </c>
      <c r="E53" s="679"/>
      <c r="F53" s="679"/>
      <c r="G53" s="680">
        <v>393</v>
      </c>
      <c r="H53" s="681"/>
      <c r="I53" s="682" t="s">
        <v>319</v>
      </c>
      <c r="J53" s="683"/>
      <c r="K53" s="684">
        <f>IFERROR(VLOOKUP(A53,'WP-BC'!A$18:AI$352,10,FALSE),0)</f>
        <v>9009</v>
      </c>
      <c r="L53" s="683"/>
      <c r="M53" s="598" t="s">
        <v>1123</v>
      </c>
    </row>
    <row r="54" spans="1:13" s="598" customFormat="1" ht="13.2">
      <c r="A54" s="677" t="str">
        <f t="shared" si="0"/>
        <v>NIAGARA393Stores Equipment</v>
      </c>
      <c r="B54" s="678" t="s">
        <v>1143</v>
      </c>
      <c r="C54" s="358" t="str">
        <f>CONCATENATE("WP-BC, column 8, line ",VLOOKUP(A54,'WP-BC'!$A$246:$N$352, 2, FALSE))</f>
        <v>WP-BC, column 8, line 12am</v>
      </c>
      <c r="D54" s="679" t="s">
        <v>1127</v>
      </c>
      <c r="E54" s="679"/>
      <c r="F54" s="679"/>
      <c r="G54" s="680">
        <v>393</v>
      </c>
      <c r="H54" s="681"/>
      <c r="I54" s="682" t="s">
        <v>319</v>
      </c>
      <c r="J54" s="683"/>
      <c r="K54" s="684">
        <f>IFERROR(VLOOKUP(A54,'WP-BC'!A$18:AI$352,10,FALSE),0)</f>
        <v>0</v>
      </c>
      <c r="L54" s="683"/>
      <c r="M54" s="598" t="s">
        <v>1123</v>
      </c>
    </row>
    <row r="55" spans="1:13" s="598" customFormat="1" ht="13.2">
      <c r="A55" s="677" t="str">
        <f t="shared" si="0"/>
        <v>St.  LAWRENCE / FDR393Stores Equipment</v>
      </c>
      <c r="B55" s="678" t="s">
        <v>1144</v>
      </c>
      <c r="C55" s="358" t="str">
        <f>CONCATENATE("WP-BC, column 8, line ",VLOOKUP(A55,'WP-BC'!$A$246:$N$352, 2, FALSE))</f>
        <v>WP-BC, column 8, line 12ay</v>
      </c>
      <c r="D55" s="679" t="s">
        <v>1128</v>
      </c>
      <c r="E55" s="679"/>
      <c r="F55" s="679"/>
      <c r="G55" s="680">
        <v>393</v>
      </c>
      <c r="H55" s="681"/>
      <c r="I55" s="682" t="s">
        <v>319</v>
      </c>
      <c r="J55" s="683"/>
      <c r="K55" s="684">
        <f>IFERROR(VLOOKUP(A55,'WP-BC'!A$18:AI$352,10,FALSE),0)</f>
        <v>8787</v>
      </c>
      <c r="L55" s="683"/>
      <c r="M55" s="598" t="s">
        <v>1123</v>
      </c>
    </row>
    <row r="56" spans="1:13" s="598" customFormat="1" ht="13.2">
      <c r="A56" s="677" t="str">
        <f t="shared" si="0"/>
        <v>393</v>
      </c>
      <c r="B56" s="697" t="s">
        <v>146</v>
      </c>
      <c r="C56" s="358"/>
      <c r="D56" s="685"/>
      <c r="E56" s="679"/>
      <c r="F56" s="679"/>
      <c r="G56" s="680">
        <v>393</v>
      </c>
      <c r="H56" s="681"/>
      <c r="I56" s="685"/>
      <c r="J56" s="683"/>
      <c r="K56" s="684">
        <f>IFERROR(VLOOKUP(A56,'WP-BC'!A$18:AI$352,10,FALSE),0)</f>
        <v>0</v>
      </c>
      <c r="L56" s="683"/>
    </row>
    <row r="57" spans="1:13" s="598" customFormat="1" ht="15">
      <c r="A57" s="677" t="str">
        <f t="shared" si="0"/>
        <v>393</v>
      </c>
      <c r="B57" s="697" t="s">
        <v>146</v>
      </c>
      <c r="C57" s="358"/>
      <c r="D57" s="685"/>
      <c r="E57" s="679"/>
      <c r="F57" s="679"/>
      <c r="G57" s="680">
        <v>393</v>
      </c>
      <c r="H57" s="681"/>
      <c r="I57" s="685"/>
      <c r="J57" s="683"/>
      <c r="K57" s="687">
        <f>IFERROR(VLOOKUP(A57,'WP-BC'!A$18:AI$359,10,FALSE),0)</f>
        <v>0</v>
      </c>
      <c r="L57" s="683"/>
    </row>
    <row r="58" spans="1:13" s="598" customFormat="1" ht="13.2">
      <c r="A58" s="677" t="str">
        <f t="shared" si="0"/>
        <v>393</v>
      </c>
      <c r="B58" s="678">
        <v>8</v>
      </c>
      <c r="C58"/>
      <c r="D58"/>
      <c r="E58" s="689"/>
      <c r="F58" s="690"/>
      <c r="G58" s="680">
        <v>393</v>
      </c>
      <c r="H58" s="691" t="s">
        <v>1145</v>
      </c>
      <c r="I58" s="683"/>
      <c r="J58" s="683"/>
      <c r="K58" s="695">
        <f>SUM(K52:K57)</f>
        <v>33991</v>
      </c>
      <c r="L58" s="683"/>
    </row>
    <row r="59" spans="1:13" s="598" customFormat="1" ht="13.2">
      <c r="A59" s="677" t="str">
        <f t="shared" si="0"/>
        <v/>
      </c>
      <c r="B59" s="678"/>
      <c r="C59"/>
      <c r="D59"/>
      <c r="E59" s="689"/>
      <c r="F59" s="690"/>
      <c r="G59" s="680"/>
      <c r="H59" s="683"/>
      <c r="I59" s="683"/>
      <c r="J59" s="683"/>
      <c r="K59" s="684"/>
      <c r="L59" s="683"/>
    </row>
    <row r="60" spans="1:13" s="598" customFormat="1" ht="13.2">
      <c r="A60" s="677" t="str">
        <f t="shared" si="0"/>
        <v>BLENHEIM - GILBOA394Tools, Shop &amp; Garage Equipment</v>
      </c>
      <c r="B60" s="678" t="s">
        <v>1146</v>
      </c>
      <c r="C60" s="358" t="str">
        <f>CONCATENATE("WP-BC, column 8, line ",VLOOKUP(A60,'WP-BC'!$A$246:$N$352, 2, FALSE))</f>
        <v>WP-BC, column 8, line 12f</v>
      </c>
      <c r="D60" s="679" t="s">
        <v>1122</v>
      </c>
      <c r="E60" s="679"/>
      <c r="F60" s="679"/>
      <c r="G60" s="680">
        <v>394</v>
      </c>
      <c r="H60" s="681"/>
      <c r="I60" s="682" t="s">
        <v>320</v>
      </c>
      <c r="J60" s="683"/>
      <c r="K60" s="684">
        <f>IFERROR(VLOOKUP(A60,'WP-BC'!A$18:AI$352,10,FALSE),0)</f>
        <v>92305</v>
      </c>
      <c r="L60" s="683"/>
      <c r="M60" s="598" t="s">
        <v>1123</v>
      </c>
    </row>
    <row r="61" spans="1:13" s="598" customFormat="1" ht="13.2">
      <c r="A61" s="677" t="str">
        <f t="shared" si="0"/>
        <v>HEADQUARTERS394Tools, Shop &amp; Garage Equipment</v>
      </c>
      <c r="B61" s="678" t="s">
        <v>1147</v>
      </c>
      <c r="C61" s="358" t="str">
        <f>CONCATENATE("WP-BC, column 8, line ",VLOOKUP(A61,'WP-BC'!$A$246:$N$352, 2, FALSE))</f>
        <v>WP-BC, column 8, line 12p</v>
      </c>
      <c r="D61" s="679" t="s">
        <v>1124</v>
      </c>
      <c r="E61" s="679"/>
      <c r="F61" s="679"/>
      <c r="G61" s="680">
        <v>394</v>
      </c>
      <c r="H61" s="681"/>
      <c r="I61" s="682" t="s">
        <v>320</v>
      </c>
      <c r="J61" s="683"/>
      <c r="K61" s="684">
        <f>IFERROR(VLOOKUP(A61,'WP-BC'!A$18:AI$352,10,FALSE),0)</f>
        <v>56349</v>
      </c>
      <c r="L61" s="683"/>
      <c r="M61" s="598" t="s">
        <v>1123</v>
      </c>
    </row>
    <row r="62" spans="1:13" s="598" customFormat="1" ht="13.2">
      <c r="A62" s="677" t="str">
        <f t="shared" si="0"/>
        <v>MASSENA - MARCY  (Clark)394Tools, Shop &amp; Garage Equipment</v>
      </c>
      <c r="B62" s="678" t="s">
        <v>1148</v>
      </c>
      <c r="C62" s="358" t="str">
        <f>CONCATENATE("WP-BC, column 8, line ",VLOOKUP(A62,'WP-BC'!$A$246:$N$352, 2, FALSE))</f>
        <v>WP-BC, column 8, line 12ac</v>
      </c>
      <c r="D62" s="679" t="s">
        <v>1126</v>
      </c>
      <c r="E62" s="679"/>
      <c r="F62" s="679"/>
      <c r="G62" s="680">
        <v>394</v>
      </c>
      <c r="H62" s="681"/>
      <c r="I62" s="682" t="s">
        <v>320</v>
      </c>
      <c r="J62" s="683"/>
      <c r="K62" s="684">
        <f>IFERROR(VLOOKUP(A62,'WP-BC'!A$18:AI$352,10,FALSE),0)</f>
        <v>29950</v>
      </c>
      <c r="L62" s="683"/>
      <c r="M62" s="598" t="s">
        <v>1123</v>
      </c>
    </row>
    <row r="63" spans="1:13" s="598" customFormat="1" ht="13.2">
      <c r="A63" s="677" t="str">
        <f t="shared" si="0"/>
        <v>NIAGARA394Tools, Shop &amp; Garage Equipment</v>
      </c>
      <c r="B63" s="678" t="s">
        <v>1149</v>
      </c>
      <c r="C63" s="358" t="str">
        <f>CONCATENATE("WP-BC, column 8, line ",VLOOKUP(A63,'WP-BC'!$A$246:$N$352, 2, FALSE))</f>
        <v>WP-BC, column 8, line 12an</v>
      </c>
      <c r="D63" s="679" t="s">
        <v>1127</v>
      </c>
      <c r="E63" s="679"/>
      <c r="F63" s="679"/>
      <c r="G63" s="680">
        <v>394</v>
      </c>
      <c r="H63" s="681"/>
      <c r="I63" s="682" t="s">
        <v>320</v>
      </c>
      <c r="J63" s="683"/>
      <c r="K63" s="684">
        <f>IFERROR(VLOOKUP(A63,'WP-BC'!A$18:AI$352,10,FALSE),0)</f>
        <v>68578</v>
      </c>
      <c r="L63" s="683"/>
      <c r="M63" s="598" t="s">
        <v>1123</v>
      </c>
    </row>
    <row r="64" spans="1:13" s="598" customFormat="1" ht="13.2">
      <c r="A64" s="677" t="str">
        <f t="shared" si="0"/>
        <v>St.  LAWRENCE / FDR394Tools, Shop &amp; Garage Equipment</v>
      </c>
      <c r="B64" s="678" t="s">
        <v>1150</v>
      </c>
      <c r="C64" s="358" t="str">
        <f>CONCATENATE("WP-BC, column 8, line ",VLOOKUP(A64,'WP-BC'!$A$246:$N$352, 2, FALSE))</f>
        <v>WP-BC, column 8, line 12az</v>
      </c>
      <c r="D64" s="679" t="s">
        <v>1128</v>
      </c>
      <c r="E64" s="679"/>
      <c r="F64" s="679"/>
      <c r="G64" s="680">
        <v>394</v>
      </c>
      <c r="H64" s="681"/>
      <c r="I64" s="682" t="s">
        <v>320</v>
      </c>
      <c r="J64" s="683"/>
      <c r="K64" s="684">
        <f>IFERROR(VLOOKUP(A64,'WP-BC'!A$18:AI$352,10,FALSE),0)</f>
        <v>423579</v>
      </c>
      <c r="L64" s="683"/>
      <c r="M64" s="598" t="s">
        <v>1123</v>
      </c>
    </row>
    <row r="65" spans="1:13" s="598" customFormat="1" ht="13.2">
      <c r="A65" s="677" t="str">
        <f t="shared" si="0"/>
        <v>394</v>
      </c>
      <c r="B65" s="697" t="s">
        <v>146</v>
      </c>
      <c r="C65" s="358"/>
      <c r="D65" s="685"/>
      <c r="E65" s="679"/>
      <c r="F65" s="679"/>
      <c r="G65" s="680">
        <v>394</v>
      </c>
      <c r="H65" s="681"/>
      <c r="I65" s="685"/>
      <c r="J65" s="683"/>
      <c r="K65" s="684">
        <f>IFERROR(VLOOKUP(A65,'WP-BC'!A$18:AI$352,10,FALSE),0)</f>
        <v>0</v>
      </c>
      <c r="L65" s="683"/>
    </row>
    <row r="66" spans="1:13" s="598" customFormat="1" ht="15">
      <c r="A66" s="677" t="str">
        <f t="shared" si="0"/>
        <v>394</v>
      </c>
      <c r="B66" s="697" t="s">
        <v>146</v>
      </c>
      <c r="C66" s="358"/>
      <c r="D66" s="685"/>
      <c r="E66" s="679"/>
      <c r="F66" s="679"/>
      <c r="G66" s="680">
        <v>394</v>
      </c>
      <c r="H66" s="681"/>
      <c r="I66" s="685"/>
      <c r="J66" s="683"/>
      <c r="K66" s="687">
        <f>IFERROR(VLOOKUP(A66,'WP-BC'!A$18:AI$359,10,FALSE),0)</f>
        <v>0</v>
      </c>
      <c r="L66" s="683"/>
    </row>
    <row r="67" spans="1:13" s="598" customFormat="1" ht="13.2">
      <c r="A67" s="677" t="str">
        <f t="shared" si="0"/>
        <v>394</v>
      </c>
      <c r="B67" s="678">
        <v>10</v>
      </c>
      <c r="C67"/>
      <c r="D67"/>
      <c r="E67" s="689"/>
      <c r="F67" s="690"/>
      <c r="G67" s="680">
        <v>394</v>
      </c>
      <c r="H67" s="691" t="s">
        <v>1151</v>
      </c>
      <c r="I67" s="683"/>
      <c r="J67" s="683"/>
      <c r="K67" s="695">
        <f>SUM(K60:K66)</f>
        <v>670761</v>
      </c>
      <c r="L67" s="683"/>
    </row>
    <row r="68" spans="1:13" s="598" customFormat="1" ht="13.2">
      <c r="A68" s="677" t="str">
        <f t="shared" si="0"/>
        <v/>
      </c>
      <c r="B68" s="678"/>
      <c r="C68"/>
      <c r="D68"/>
      <c r="E68" s="689"/>
      <c r="F68" s="690"/>
      <c r="G68" s="680"/>
      <c r="H68" s="683"/>
      <c r="I68" s="683"/>
      <c r="J68" s="683"/>
      <c r="K68" s="684"/>
      <c r="L68" s="683"/>
    </row>
    <row r="69" spans="1:13" s="598" customFormat="1" ht="13.2">
      <c r="A69" s="677" t="str">
        <f t="shared" si="0"/>
        <v>BLENHEIM - GILBOA395Laboratory Equipment</v>
      </c>
      <c r="B69" s="678" t="s">
        <v>138</v>
      </c>
      <c r="C69" s="358" t="str">
        <f>CONCATENATE("WP-BC, column 8, line ",VLOOKUP(A69,'WP-BC'!$A$246:$N$352, 2, FALSE))</f>
        <v>WP-BC, column 8, line 12g</v>
      </c>
      <c r="D69" s="679" t="s">
        <v>1122</v>
      </c>
      <c r="E69" s="679"/>
      <c r="F69" s="679"/>
      <c r="G69" s="680">
        <v>395</v>
      </c>
      <c r="H69" s="681"/>
      <c r="I69" s="682" t="s">
        <v>321</v>
      </c>
      <c r="J69" s="683"/>
      <c r="K69" s="684">
        <f>IFERROR(VLOOKUP(A69,'WP-BC'!A$18:AI$352,10,FALSE),0)</f>
        <v>37272</v>
      </c>
      <c r="L69" s="683"/>
      <c r="M69" s="598" t="s">
        <v>1123</v>
      </c>
    </row>
    <row r="70" spans="1:13" s="598" customFormat="1" ht="13.2">
      <c r="A70" s="677" t="str">
        <f t="shared" si="0"/>
        <v>HEADQUARTERS395Laboratory Equipment</v>
      </c>
      <c r="B70" s="678" t="s">
        <v>141</v>
      </c>
      <c r="C70" s="358" t="str">
        <f>CONCATENATE("WP-BC, column 8, line ",VLOOKUP(A70,'WP-BC'!$A$246:$N$352, 2, FALSE))</f>
        <v>WP-BC, column 8, line 12q</v>
      </c>
      <c r="D70" s="679" t="s">
        <v>1124</v>
      </c>
      <c r="E70" s="679"/>
      <c r="F70" s="679"/>
      <c r="G70" s="680">
        <v>395</v>
      </c>
      <c r="H70" s="681"/>
      <c r="I70" s="682" t="s">
        <v>321</v>
      </c>
      <c r="J70" s="683"/>
      <c r="K70" s="684">
        <f>IFERROR(VLOOKUP(A70,'WP-BC'!A$18:AI$352,10,FALSE),0)</f>
        <v>5406</v>
      </c>
      <c r="L70" s="683"/>
      <c r="M70" s="598" t="s">
        <v>1123</v>
      </c>
    </row>
    <row r="71" spans="1:13" s="598" customFormat="1" ht="13.2">
      <c r="A71" s="677" t="str">
        <f t="shared" si="0"/>
        <v>MASSENA - MARCY  (Clark)395Laboratory Equipment</v>
      </c>
      <c r="B71" s="678" t="s">
        <v>144</v>
      </c>
      <c r="C71" s="358" t="str">
        <f>CONCATENATE("WP-BC, column 8, line ",VLOOKUP(A71,'WP-BC'!$A$246:$N$352, 2, FALSE))</f>
        <v>WP-BC, column 8, line 12ad</v>
      </c>
      <c r="D71" s="679" t="s">
        <v>1126</v>
      </c>
      <c r="E71" s="679"/>
      <c r="F71" s="679"/>
      <c r="G71" s="680">
        <v>395</v>
      </c>
      <c r="H71" s="681"/>
      <c r="I71" s="682" t="s">
        <v>321</v>
      </c>
      <c r="J71" s="683"/>
      <c r="K71" s="684">
        <f>IFERROR(VLOOKUP(A71,'WP-BC'!A$18:AI$352,10,FALSE),0)</f>
        <v>34130</v>
      </c>
      <c r="L71" s="683"/>
      <c r="M71" s="598" t="s">
        <v>1123</v>
      </c>
    </row>
    <row r="72" spans="1:13" s="598" customFormat="1" ht="13.2">
      <c r="A72" s="677" t="str">
        <f t="shared" si="0"/>
        <v>NIAGARA395Laboratory Equipment</v>
      </c>
      <c r="B72" s="678" t="s">
        <v>145</v>
      </c>
      <c r="C72" s="358" t="str">
        <f>CONCATENATE("WP-BC, column 8, line ",VLOOKUP(A72,'WP-BC'!$A$246:$N$352, 2, FALSE))</f>
        <v>WP-BC, column 8, line 12ao</v>
      </c>
      <c r="D72" s="679" t="s">
        <v>1127</v>
      </c>
      <c r="E72" s="679"/>
      <c r="F72" s="679"/>
      <c r="G72" s="680">
        <v>395</v>
      </c>
      <c r="H72" s="681"/>
      <c r="I72" s="682" t="s">
        <v>321</v>
      </c>
      <c r="J72" s="683"/>
      <c r="K72" s="684">
        <f>IFERROR(VLOOKUP(A72,'WP-BC'!A$18:AI$352,10,FALSE),0)</f>
        <v>31057</v>
      </c>
      <c r="L72" s="683"/>
      <c r="M72" s="598" t="s">
        <v>1123</v>
      </c>
    </row>
    <row r="73" spans="1:13" s="598" customFormat="1" ht="13.2">
      <c r="A73" s="677" t="str">
        <f t="shared" si="0"/>
        <v>St.  LAWRENCE / FDR395Laboratory Equipment</v>
      </c>
      <c r="B73" s="678" t="s">
        <v>1152</v>
      </c>
      <c r="C73" s="358" t="str">
        <f>CONCATENATE("WP-BC, column 8, line ",VLOOKUP(A73,'WP-BC'!$A$246:$N$352, 2, FALSE))</f>
        <v>WP-BC, column 8, line 12ba</v>
      </c>
      <c r="D73" s="679" t="s">
        <v>1128</v>
      </c>
      <c r="E73" s="679"/>
      <c r="F73" s="679"/>
      <c r="G73" s="680">
        <v>395</v>
      </c>
      <c r="H73" s="681"/>
      <c r="I73" s="682" t="s">
        <v>321</v>
      </c>
      <c r="J73" s="683"/>
      <c r="K73" s="684">
        <f>IFERROR(VLOOKUP(A73,'WP-BC'!A$18:AI$352,10,FALSE),0)</f>
        <v>148151</v>
      </c>
      <c r="L73" s="683"/>
      <c r="M73" s="598" t="s">
        <v>1123</v>
      </c>
    </row>
    <row r="74" spans="1:13" s="598" customFormat="1" ht="13.2">
      <c r="A74" s="677" t="str">
        <f t="shared" si="0"/>
        <v>395</v>
      </c>
      <c r="B74" s="697" t="s">
        <v>146</v>
      </c>
      <c r="C74" s="358"/>
      <c r="D74" s="685"/>
      <c r="E74" s="679"/>
      <c r="F74" s="679"/>
      <c r="G74" s="680">
        <v>395</v>
      </c>
      <c r="H74" s="681"/>
      <c r="I74" s="685"/>
      <c r="J74" s="683"/>
      <c r="K74" s="684">
        <f>IFERROR(VLOOKUP(A74,'WP-BC'!A$18:AI$352,10,FALSE),0)</f>
        <v>0</v>
      </c>
      <c r="L74" s="683"/>
    </row>
    <row r="75" spans="1:13" s="598" customFormat="1" ht="15">
      <c r="A75" s="677" t="str">
        <f t="shared" si="0"/>
        <v>395</v>
      </c>
      <c r="B75" s="697" t="s">
        <v>146</v>
      </c>
      <c r="C75" s="358"/>
      <c r="D75" s="685"/>
      <c r="E75" s="679"/>
      <c r="F75" s="679"/>
      <c r="G75" s="680">
        <v>395</v>
      </c>
      <c r="H75" s="681"/>
      <c r="I75" s="685"/>
      <c r="J75" s="683"/>
      <c r="K75" s="687">
        <f>IFERROR(VLOOKUP(A75,'WP-BC'!A$18:AI$359,10,FALSE),0)</f>
        <v>0</v>
      </c>
      <c r="L75" s="683"/>
    </row>
    <row r="76" spans="1:13" s="598" customFormat="1" ht="13.2">
      <c r="A76" s="677" t="str">
        <f t="shared" si="0"/>
        <v>395</v>
      </c>
      <c r="B76" s="678">
        <v>12</v>
      </c>
      <c r="C76"/>
      <c r="D76"/>
      <c r="E76" s="689"/>
      <c r="F76" s="690"/>
      <c r="G76" s="680">
        <v>395</v>
      </c>
      <c r="H76" s="691" t="s">
        <v>1153</v>
      </c>
      <c r="I76" s="683"/>
      <c r="J76" s="683"/>
      <c r="K76" s="695">
        <f>SUM(K69:K75)</f>
        <v>256016</v>
      </c>
      <c r="L76" s="683"/>
    </row>
    <row r="77" spans="1:13" s="598" customFormat="1" ht="13.2">
      <c r="A77" s="677" t="str">
        <f t="shared" si="0"/>
        <v/>
      </c>
      <c r="B77" s="678"/>
      <c r="C77"/>
      <c r="D77"/>
      <c r="E77" s="689"/>
      <c r="F77" s="690"/>
      <c r="G77" s="680"/>
      <c r="H77" s="683"/>
      <c r="I77" s="683"/>
      <c r="J77" s="683"/>
      <c r="K77" s="684"/>
      <c r="L77" s="683"/>
    </row>
    <row r="78" spans="1:13" s="598" customFormat="1" ht="13.2">
      <c r="A78" s="677" t="str">
        <f t="shared" si="0"/>
        <v>BLENHEIM - GILBOA396Power Operated Equipment</v>
      </c>
      <c r="B78" s="678" t="s">
        <v>1154</v>
      </c>
      <c r="C78" s="358" t="str">
        <f>CONCATENATE("WP-BC, column 8, line ",VLOOKUP(A78,'WP-BC'!$A$246:$N$352, 2, FALSE))</f>
        <v>WP-BC, column 8, line 12h</v>
      </c>
      <c r="D78" s="679" t="s">
        <v>1122</v>
      </c>
      <c r="E78" s="679"/>
      <c r="F78" s="679"/>
      <c r="G78" s="680">
        <v>396</v>
      </c>
      <c r="H78" s="681"/>
      <c r="I78" s="682" t="s">
        <v>323</v>
      </c>
      <c r="J78" s="683"/>
      <c r="K78" s="684">
        <f>IFERROR(VLOOKUP(A78,'WP-BC'!A$18:AI$352,10,FALSE),0)</f>
        <v>53592</v>
      </c>
      <c r="L78" s="683"/>
      <c r="M78" s="598" t="s">
        <v>1123</v>
      </c>
    </row>
    <row r="79" spans="1:13" s="598" customFormat="1" ht="13.2">
      <c r="A79" s="677" t="str">
        <f t="shared" si="0"/>
        <v>MARCY-SOUTH396Power Operated Equipment</v>
      </c>
      <c r="B79" s="678" t="s">
        <v>1155</v>
      </c>
      <c r="C79" s="358" t="str">
        <f>CONCATENATE("WP-BC, column 8, line ",VLOOKUP(A79,'WP-BC'!$A$246:$N$352, 2, FALSE))</f>
        <v>WP-BC, column 8, line 12u</v>
      </c>
      <c r="D79" s="679" t="s">
        <v>1125</v>
      </c>
      <c r="E79" s="679"/>
      <c r="F79" s="679"/>
      <c r="G79" s="680">
        <v>396</v>
      </c>
      <c r="H79" s="681"/>
      <c r="I79" s="682" t="s">
        <v>323</v>
      </c>
      <c r="J79" s="683"/>
      <c r="K79" s="684">
        <f>IFERROR(VLOOKUP(A79,'WP-BC'!A$18:AI$352,10,FALSE),0)</f>
        <v>23250</v>
      </c>
      <c r="L79" s="683"/>
      <c r="M79" s="598" t="s">
        <v>1123</v>
      </c>
    </row>
    <row r="80" spans="1:13" s="598" customFormat="1" ht="13.2">
      <c r="A80" s="677" t="str">
        <f t="shared" si="0"/>
        <v>MASSENA - MARCY  (Clark)396Power Operated Equipment</v>
      </c>
      <c r="B80" s="678" t="s">
        <v>1156</v>
      </c>
      <c r="C80" s="358" t="str">
        <f>CONCATENATE("WP-BC, column 8, line ",VLOOKUP(A80,'WP-BC'!$A$246:$N$352, 2, FALSE))</f>
        <v>WP-BC, column 8, line 12ae</v>
      </c>
      <c r="D80" s="679" t="s">
        <v>1126</v>
      </c>
      <c r="E80" s="679"/>
      <c r="F80" s="679"/>
      <c r="G80" s="680">
        <v>396</v>
      </c>
      <c r="H80" s="681"/>
      <c r="I80" s="682" t="s">
        <v>323</v>
      </c>
      <c r="J80" s="683"/>
      <c r="K80" s="684">
        <f>IFERROR(VLOOKUP(A80,'WP-BC'!A$18:AI$352,10,FALSE),0)</f>
        <v>172609</v>
      </c>
      <c r="L80" s="683"/>
      <c r="M80" s="598" t="s">
        <v>1123</v>
      </c>
    </row>
    <row r="81" spans="1:13" s="598" customFormat="1" ht="13.2">
      <c r="A81" s="677" t="str">
        <f t="shared" si="0"/>
        <v>NIAGARA396Power Operated Equipment</v>
      </c>
      <c r="B81" s="678" t="s">
        <v>1157</v>
      </c>
      <c r="C81" s="358" t="str">
        <f>CONCATENATE("WP-BC, column 8, line ",VLOOKUP(A81,'WP-BC'!$A$246:$N$352, 2, FALSE))</f>
        <v>WP-BC, column 8, line 12ap</v>
      </c>
      <c r="D81" s="679" t="s">
        <v>1127</v>
      </c>
      <c r="E81" s="679"/>
      <c r="F81" s="679"/>
      <c r="G81" s="680">
        <v>396</v>
      </c>
      <c r="H81" s="681"/>
      <c r="I81" s="682" t="s">
        <v>323</v>
      </c>
      <c r="J81" s="683"/>
      <c r="K81" s="684">
        <f>IFERROR(VLOOKUP(A81,'WP-BC'!A$18:AI$352,10,FALSE),0)</f>
        <v>340148</v>
      </c>
      <c r="L81" s="683"/>
      <c r="M81" s="598" t="s">
        <v>1123</v>
      </c>
    </row>
    <row r="82" spans="1:13" s="598" customFormat="1" ht="13.2">
      <c r="A82" s="677" t="str">
        <f t="shared" si="0"/>
        <v>St.  LAWRENCE / FDR396Power Operated Equipment</v>
      </c>
      <c r="B82" s="678" t="s">
        <v>1158</v>
      </c>
      <c r="C82" s="358" t="str">
        <f>CONCATENATE("WP-BC, column 8, line ",VLOOKUP(A82,'WP-BC'!$A$246:$N$352, 2, FALSE))</f>
        <v>WP-BC, column 8, line 12bb</v>
      </c>
      <c r="D82" s="679" t="s">
        <v>1128</v>
      </c>
      <c r="E82" s="679"/>
      <c r="F82" s="679"/>
      <c r="G82" s="680">
        <v>396</v>
      </c>
      <c r="H82" s="681"/>
      <c r="I82" s="682" t="s">
        <v>323</v>
      </c>
      <c r="J82" s="683"/>
      <c r="K82" s="684">
        <f>IFERROR(VLOOKUP(A82,'WP-BC'!A$18:AI$352,10,FALSE),0)</f>
        <v>458325</v>
      </c>
      <c r="L82" s="683"/>
      <c r="M82" s="598" t="s">
        <v>1123</v>
      </c>
    </row>
    <row r="83" spans="1:13" s="598" customFormat="1" ht="13.2">
      <c r="A83" s="677" t="str">
        <f t="shared" si="0"/>
        <v>396</v>
      </c>
      <c r="B83" s="697" t="s">
        <v>146</v>
      </c>
      <c r="C83" s="358"/>
      <c r="D83" s="685"/>
      <c r="E83" s="679"/>
      <c r="F83" s="679"/>
      <c r="G83" s="680">
        <v>396</v>
      </c>
      <c r="H83" s="681"/>
      <c r="I83" s="685"/>
      <c r="J83" s="683"/>
      <c r="K83" s="684">
        <f>IFERROR(VLOOKUP(A83,'WP-BC'!A$18:AI$352,10,FALSE),0)</f>
        <v>0</v>
      </c>
      <c r="L83" s="683"/>
    </row>
    <row r="84" spans="1:13" s="598" customFormat="1" ht="15">
      <c r="A84" s="677" t="str">
        <f t="shared" si="0"/>
        <v>396</v>
      </c>
      <c r="B84" s="697" t="s">
        <v>146</v>
      </c>
      <c r="C84" s="358"/>
      <c r="D84" s="685"/>
      <c r="E84" s="679"/>
      <c r="F84" s="679"/>
      <c r="G84" s="680">
        <v>396</v>
      </c>
      <c r="H84" s="681"/>
      <c r="I84" s="685"/>
      <c r="J84" s="683"/>
      <c r="K84" s="687">
        <f>IFERROR(VLOOKUP(A84,'WP-BC'!A$18:AI$359,10,FALSE),0)</f>
        <v>0</v>
      </c>
      <c r="L84" s="683"/>
    </row>
    <row r="85" spans="1:13" s="598" customFormat="1" ht="13.2">
      <c r="A85" s="677" t="str">
        <f t="shared" si="0"/>
        <v>396</v>
      </c>
      <c r="B85" s="678">
        <v>14</v>
      </c>
      <c r="C85"/>
      <c r="D85"/>
      <c r="E85" s="689"/>
      <c r="F85" s="690"/>
      <c r="G85" s="680">
        <v>396</v>
      </c>
      <c r="H85" s="691" t="s">
        <v>1159</v>
      </c>
      <c r="I85" s="683"/>
      <c r="J85" s="683"/>
      <c r="K85" s="695">
        <f>SUM(K78:K84)</f>
        <v>1047924</v>
      </c>
      <c r="L85" s="683"/>
    </row>
    <row r="86" spans="1:13" s="598" customFormat="1" ht="13.2">
      <c r="A86" s="677" t="str">
        <f t="shared" si="0"/>
        <v/>
      </c>
      <c r="B86" s="678"/>
      <c r="C86"/>
      <c r="D86"/>
      <c r="E86" s="689"/>
      <c r="F86" s="690"/>
      <c r="G86" s="680"/>
      <c r="H86" s="683"/>
      <c r="I86" s="683"/>
      <c r="J86" s="683"/>
      <c r="K86" s="684"/>
      <c r="L86" s="683"/>
    </row>
    <row r="87" spans="1:13" s="598" customFormat="1" ht="13.2">
      <c r="A87" s="677" t="str">
        <f t="shared" si="0"/>
        <v>BLENHEIM - GILBOA397Communication Equipment</v>
      </c>
      <c r="B87" s="678" t="s">
        <v>1160</v>
      </c>
      <c r="C87" s="358" t="str">
        <f>CONCATENATE("WP-BC, column 8, line ",VLOOKUP(A87,'WP-BC'!$A$246:$N$352, 2, FALSE))</f>
        <v>WP-BC, column 8, line 12i</v>
      </c>
      <c r="D87" s="679" t="s">
        <v>1122</v>
      </c>
      <c r="E87" s="679"/>
      <c r="F87" s="679"/>
      <c r="G87" s="680">
        <v>397</v>
      </c>
      <c r="H87" s="681"/>
      <c r="I87" s="682" t="s">
        <v>325</v>
      </c>
      <c r="J87" s="683"/>
      <c r="K87" s="684">
        <f>IFERROR(VLOOKUP(A87,'WP-BC'!A$18:AI$352,10,FALSE),0)</f>
        <v>60260</v>
      </c>
      <c r="L87" s="683"/>
      <c r="M87" s="598" t="s">
        <v>1123</v>
      </c>
    </row>
    <row r="88" spans="1:13" s="598" customFormat="1" ht="13.2">
      <c r="A88" s="677" t="str">
        <f t="shared" ref="A88:A153" si="1">CONCATENATE(D88,G88,I88)</f>
        <v>HEADQUARTERS397Communication Equipment</v>
      </c>
      <c r="B88" s="678" t="s">
        <v>1161</v>
      </c>
      <c r="C88" s="358" t="str">
        <f>CONCATENATE("WP-BC, column 8, line ",VLOOKUP(A88,'WP-BC'!$A$246:$N$352, 2, FALSE))</f>
        <v>WP-BC, column 8, line 12r</v>
      </c>
      <c r="D88" s="679" t="s">
        <v>1124</v>
      </c>
      <c r="E88" s="679"/>
      <c r="F88" s="679"/>
      <c r="G88" s="680">
        <v>397</v>
      </c>
      <c r="H88" s="681"/>
      <c r="I88" s="682" t="s">
        <v>325</v>
      </c>
      <c r="J88" s="683"/>
      <c r="K88" s="684">
        <f>IFERROR(VLOOKUP(A88,'WP-BC'!A$18:AI$352,10,FALSE),0)</f>
        <v>1163701</v>
      </c>
      <c r="L88" s="683"/>
      <c r="M88" s="598" t="s">
        <v>1123</v>
      </c>
    </row>
    <row r="89" spans="1:13" s="598" customFormat="1" ht="13.2">
      <c r="A89" s="677" t="str">
        <f t="shared" si="1"/>
        <v>LONG ISLAND SOUND CABLE397Communication Equipment</v>
      </c>
      <c r="B89" s="678" t="s">
        <v>1162</v>
      </c>
      <c r="C89" s="358" t="str">
        <f>CONCATENATE("WP-BC, column 8, line ",VLOOKUP(A89,'WP-BC'!$A$246:$N$352, 2, FALSE))</f>
        <v>WP-BC, column 8, line 12t</v>
      </c>
      <c r="D89" s="679" t="s">
        <v>1163</v>
      </c>
      <c r="E89" s="679"/>
      <c r="F89" s="679"/>
      <c r="G89" s="680">
        <v>397</v>
      </c>
      <c r="H89" s="681"/>
      <c r="I89" s="682" t="s">
        <v>325</v>
      </c>
      <c r="J89" s="683"/>
      <c r="K89" s="684">
        <f>IFERROR(VLOOKUP(A89,'WP-BC'!A$18:AI$352,10,FALSE),0)</f>
        <v>110828</v>
      </c>
      <c r="L89" s="683"/>
      <c r="M89" s="598" t="s">
        <v>1123</v>
      </c>
    </row>
    <row r="90" spans="1:13" s="598" customFormat="1" ht="13.2">
      <c r="A90" s="677" t="str">
        <f t="shared" si="1"/>
        <v>MARCY-SOUTH397Communication Equipment</v>
      </c>
      <c r="B90" s="678" t="s">
        <v>1164</v>
      </c>
      <c r="C90" s="358" t="str">
        <f>CONCATENATE("WP-BC, column 8, line ",VLOOKUP(A90,'WP-BC'!$A$246:$N$352, 2, FALSE))</f>
        <v>WP-BC, column 8, line 12v</v>
      </c>
      <c r="D90" s="679" t="s">
        <v>1125</v>
      </c>
      <c r="E90" s="679"/>
      <c r="F90" s="679"/>
      <c r="G90" s="680">
        <v>397</v>
      </c>
      <c r="H90" s="681"/>
      <c r="I90" s="682" t="s">
        <v>325</v>
      </c>
      <c r="J90" s="683"/>
      <c r="K90" s="684">
        <f>IFERROR(VLOOKUP(A90,'WP-BC'!A$18:AI$352,10,FALSE),0)</f>
        <v>0</v>
      </c>
      <c r="L90" s="683"/>
      <c r="M90" s="598" t="s">
        <v>1123</v>
      </c>
    </row>
    <row r="91" spans="1:13" s="598" customFormat="1" ht="13.2">
      <c r="A91" s="677" t="str">
        <f t="shared" si="1"/>
        <v>MASSENA - MARCY  (Clark)397Communication Equipment</v>
      </c>
      <c r="B91" s="678" t="s">
        <v>1165</v>
      </c>
      <c r="C91" s="358" t="str">
        <f>CONCATENATE("WP-BC, column 8, line ",VLOOKUP(A91,'WP-BC'!$A$246:$N$352, 2, FALSE))</f>
        <v>WP-BC, column 8, line 12af</v>
      </c>
      <c r="D91" s="679" t="s">
        <v>1126</v>
      </c>
      <c r="E91" s="679"/>
      <c r="F91" s="679"/>
      <c r="G91" s="680">
        <v>397</v>
      </c>
      <c r="H91" s="681"/>
      <c r="I91" s="682" t="s">
        <v>325</v>
      </c>
      <c r="J91" s="683"/>
      <c r="K91" s="684">
        <f>IFERROR(VLOOKUP(A91,'WP-BC'!A$18:AI$352,10,FALSE),0)</f>
        <v>631859</v>
      </c>
      <c r="L91" s="683"/>
      <c r="M91" s="598" t="s">
        <v>1123</v>
      </c>
    </row>
    <row r="92" spans="1:13" s="598" customFormat="1" ht="13.2">
      <c r="A92" s="677" t="str">
        <f t="shared" si="1"/>
        <v>NIAGARA397Communication Equipment</v>
      </c>
      <c r="B92" s="678" t="s">
        <v>1166</v>
      </c>
      <c r="C92" s="358" t="str">
        <f>CONCATENATE("WP-BC, column 8, line ",VLOOKUP(A92,'WP-BC'!$A$246:$N$352, 2, FALSE))</f>
        <v>WP-BC, column 8, line 12aq</v>
      </c>
      <c r="D92" s="679" t="s">
        <v>1127</v>
      </c>
      <c r="E92" s="679"/>
      <c r="F92" s="679"/>
      <c r="G92" s="680">
        <v>397</v>
      </c>
      <c r="H92" s="681"/>
      <c r="I92" s="682" t="s">
        <v>325</v>
      </c>
      <c r="J92" s="683"/>
      <c r="K92" s="684">
        <f>IFERROR(VLOOKUP(A92,'WP-BC'!A$18:AI$352,10,FALSE),0)</f>
        <v>301112</v>
      </c>
      <c r="L92" s="683"/>
      <c r="M92" s="598" t="s">
        <v>1123</v>
      </c>
    </row>
    <row r="93" spans="1:13" s="598" customFormat="1" ht="13.2">
      <c r="A93" s="677" t="str">
        <f t="shared" si="1"/>
        <v>St.  LAWRENCE / FDR397Communication Equipment</v>
      </c>
      <c r="B93" s="678" t="s">
        <v>1167</v>
      </c>
      <c r="C93" s="358" t="str">
        <f>CONCATENATE("WP-BC, column 8, line ",VLOOKUP(A93,'WP-BC'!$A$246:$N$352, 2, FALSE))</f>
        <v>WP-BC, column 8, line 12bc</v>
      </c>
      <c r="D93" s="679" t="s">
        <v>1128</v>
      </c>
      <c r="E93" s="679"/>
      <c r="F93" s="679"/>
      <c r="G93" s="680">
        <v>397</v>
      </c>
      <c r="H93" s="681"/>
      <c r="I93" s="682" t="s">
        <v>325</v>
      </c>
      <c r="J93" s="683"/>
      <c r="K93" s="684">
        <f>IFERROR(VLOOKUP(A93,'WP-BC'!A$18:AI$352,10,FALSE),0)</f>
        <v>454977</v>
      </c>
      <c r="L93" s="683"/>
      <c r="M93" s="598" t="s">
        <v>1123</v>
      </c>
    </row>
    <row r="94" spans="1:13" s="598" customFormat="1" ht="13.2">
      <c r="A94" s="677" t="str">
        <f t="shared" si="1"/>
        <v>397</v>
      </c>
      <c r="B94" s="697" t="s">
        <v>146</v>
      </c>
      <c r="C94" s="358"/>
      <c r="D94" s="685"/>
      <c r="E94" s="679"/>
      <c r="F94" s="679"/>
      <c r="G94" s="680">
        <v>397</v>
      </c>
      <c r="H94" s="681"/>
      <c r="I94" s="685"/>
      <c r="J94" s="683"/>
      <c r="K94" s="684">
        <f>IFERROR(VLOOKUP(A94,'WP-BC'!A$18:AI$352,10,FALSE),0)</f>
        <v>0</v>
      </c>
      <c r="L94" s="683"/>
    </row>
    <row r="95" spans="1:13" s="598" customFormat="1" ht="15">
      <c r="A95" s="677" t="str">
        <f t="shared" si="1"/>
        <v>397</v>
      </c>
      <c r="B95" s="697" t="s">
        <v>146</v>
      </c>
      <c r="C95" s="358"/>
      <c r="D95" s="685"/>
      <c r="E95" s="679"/>
      <c r="F95" s="679"/>
      <c r="G95" s="680">
        <v>397</v>
      </c>
      <c r="H95" s="681"/>
      <c r="I95" s="685"/>
      <c r="J95" s="683"/>
      <c r="K95" s="687">
        <f>IFERROR(VLOOKUP(A95,'WP-BC'!A$18:AI$359,10,FALSE),0)</f>
        <v>0</v>
      </c>
      <c r="L95" s="683"/>
    </row>
    <row r="96" spans="1:13" s="598" customFormat="1" ht="13.2">
      <c r="A96" s="677" t="str">
        <f t="shared" si="1"/>
        <v>397</v>
      </c>
      <c r="B96" s="678">
        <v>16</v>
      </c>
      <c r="C96"/>
      <c r="D96"/>
      <c r="E96" s="689"/>
      <c r="F96" s="690"/>
      <c r="G96" s="680">
        <v>397</v>
      </c>
      <c r="H96" s="691" t="s">
        <v>1168</v>
      </c>
      <c r="I96" s="683"/>
      <c r="J96" s="683"/>
      <c r="K96" s="695">
        <f>SUM(K87:K95)</f>
        <v>2722737</v>
      </c>
      <c r="L96" s="683"/>
    </row>
    <row r="97" spans="1:13" s="598" customFormat="1" ht="13.2">
      <c r="A97" s="677" t="str">
        <f t="shared" si="1"/>
        <v/>
      </c>
      <c r="B97" s="678"/>
      <c r="C97"/>
      <c r="D97"/>
      <c r="E97" s="689"/>
      <c r="F97" s="690"/>
      <c r="G97" s="680"/>
      <c r="H97" s="683"/>
      <c r="I97" s="683"/>
      <c r="J97" s="683"/>
      <c r="K97" s="684"/>
      <c r="L97" s="683"/>
    </row>
    <row r="98" spans="1:13" s="598" customFormat="1" ht="13.2">
      <c r="A98" s="677" t="str">
        <f t="shared" si="1"/>
        <v>BLENHEIM - GILBOA398Miscellaneous Equipment</v>
      </c>
      <c r="B98" s="678" t="s">
        <v>1169</v>
      </c>
      <c r="C98" s="358" t="str">
        <f>CONCATENATE("WP-BC, column 8, line ",VLOOKUP(A98,'WP-BC'!$A$246:$N$352, 2, FALSE))</f>
        <v>WP-BC, column 8, line 12j</v>
      </c>
      <c r="D98" s="679" t="s">
        <v>1122</v>
      </c>
      <c r="E98" s="679"/>
      <c r="F98" s="679"/>
      <c r="G98" s="680">
        <v>398</v>
      </c>
      <c r="H98" s="681"/>
      <c r="I98" s="682" t="s">
        <v>327</v>
      </c>
      <c r="J98" s="683"/>
      <c r="K98" s="684">
        <f>IFERROR(VLOOKUP(A98,'WP-BC'!A$18:AI$352,10,FALSE),0)</f>
        <v>1260044</v>
      </c>
      <c r="L98" s="683"/>
      <c r="M98" s="598" t="s">
        <v>1123</v>
      </c>
    </row>
    <row r="99" spans="1:13" s="598" customFormat="1" ht="13.2">
      <c r="A99" s="677" t="str">
        <f t="shared" si="1"/>
        <v>HEADQUARTERS398Miscellaneous Equipment</v>
      </c>
      <c r="B99" s="678" t="s">
        <v>1170</v>
      </c>
      <c r="C99" s="358" t="str">
        <f>CONCATENATE("WP-BC, column 8, line ",VLOOKUP(A99,'WP-BC'!$A$246:$N$352, 2, FALSE))</f>
        <v>WP-BC, column 8, line 12s</v>
      </c>
      <c r="D99" s="679" t="s">
        <v>1124</v>
      </c>
      <c r="E99" s="679"/>
      <c r="F99" s="679"/>
      <c r="G99" s="680">
        <v>398</v>
      </c>
      <c r="H99" s="681"/>
      <c r="I99" s="682" t="s">
        <v>327</v>
      </c>
      <c r="J99" s="683"/>
      <c r="K99" s="684">
        <f>IFERROR(VLOOKUP(A99,'WP-BC'!A$18:AI$352,10,FALSE),0)</f>
        <v>41764</v>
      </c>
      <c r="L99" s="683"/>
      <c r="M99" s="598" t="s">
        <v>1123</v>
      </c>
    </row>
    <row r="100" spans="1:13" s="598" customFormat="1" ht="13.2">
      <c r="A100" s="677" t="str">
        <f t="shared" si="1"/>
        <v>MASSENA - MARCY  (Clark)398Miscellaneous Equipment</v>
      </c>
      <c r="B100" s="678" t="s">
        <v>1171</v>
      </c>
      <c r="C100" s="358" t="str">
        <f>CONCATENATE("WP-BC, column 8, line ",VLOOKUP(A100,'WP-BC'!$A$246:$N$352, 2, FALSE))</f>
        <v>WP-BC, column 8, line 12ag</v>
      </c>
      <c r="D100" s="679" t="s">
        <v>1126</v>
      </c>
      <c r="E100" s="679"/>
      <c r="F100" s="679"/>
      <c r="G100" s="680">
        <v>398</v>
      </c>
      <c r="H100" s="681"/>
      <c r="I100" s="682" t="s">
        <v>327</v>
      </c>
      <c r="J100" s="683"/>
      <c r="K100" s="684">
        <f>IFERROR(VLOOKUP(A100,'WP-BC'!A$18:AI$352,10,FALSE),0)</f>
        <v>36836</v>
      </c>
      <c r="L100" s="683"/>
      <c r="M100" s="598" t="s">
        <v>1123</v>
      </c>
    </row>
    <row r="101" spans="1:13" s="598" customFormat="1" ht="13.2">
      <c r="A101" s="677" t="str">
        <f t="shared" si="1"/>
        <v>NIAGARA398Miscellaneous Equipment</v>
      </c>
      <c r="B101" s="678" t="s">
        <v>1172</v>
      </c>
      <c r="C101" s="358" t="str">
        <f>CONCATENATE("WP-BC, column 8, line ",VLOOKUP(A101,'WP-BC'!$A$246:$N$352, 2, FALSE))</f>
        <v>WP-BC, column 8, line 12ar</v>
      </c>
      <c r="D101" s="679" t="s">
        <v>1127</v>
      </c>
      <c r="E101" s="679"/>
      <c r="F101" s="679"/>
      <c r="G101" s="680">
        <v>398</v>
      </c>
      <c r="H101" s="681"/>
      <c r="I101" s="682" t="s">
        <v>327</v>
      </c>
      <c r="J101" s="683"/>
      <c r="K101" s="684">
        <f>IFERROR(VLOOKUP(A101,'WP-BC'!A$18:AI$352,10,FALSE),0)</f>
        <v>13125429</v>
      </c>
      <c r="L101" s="683"/>
      <c r="M101" s="598" t="s">
        <v>1123</v>
      </c>
    </row>
    <row r="102" spans="1:13" s="598" customFormat="1" ht="13.2">
      <c r="A102" s="677" t="str">
        <f t="shared" si="1"/>
        <v>St.  LAWRENCE / FDR398Miscellaneous Equipment</v>
      </c>
      <c r="B102" s="678" t="s">
        <v>1173</v>
      </c>
      <c r="C102" s="358" t="str">
        <f>CONCATENATE("WP-BC, column 8, line ",VLOOKUP(A102,'WP-BC'!$A$246:$N$352, 2, FALSE))</f>
        <v>WP-BC, column 8, line 12bd</v>
      </c>
      <c r="D102" s="679" t="s">
        <v>1128</v>
      </c>
      <c r="E102" s="679"/>
      <c r="F102" s="679"/>
      <c r="G102" s="680">
        <v>398</v>
      </c>
      <c r="H102" s="681"/>
      <c r="I102" s="682" t="s">
        <v>327</v>
      </c>
      <c r="J102" s="683"/>
      <c r="K102" s="684">
        <f>IFERROR(VLOOKUP(A102,'WP-BC'!A$18:AI$352,10,FALSE),0)</f>
        <v>5424262</v>
      </c>
      <c r="L102" s="683"/>
      <c r="M102" s="598" t="s">
        <v>1123</v>
      </c>
    </row>
    <row r="103" spans="1:13" s="598" customFormat="1" ht="13.2">
      <c r="A103" s="677" t="str">
        <f t="shared" si="1"/>
        <v>398</v>
      </c>
      <c r="B103" s="697" t="s">
        <v>146</v>
      </c>
      <c r="C103" s="358"/>
      <c r="D103" s="685"/>
      <c r="E103" s="679"/>
      <c r="F103" s="679"/>
      <c r="G103" s="680">
        <v>398</v>
      </c>
      <c r="H103" s="681"/>
      <c r="I103" s="685"/>
      <c r="J103" s="683"/>
      <c r="K103" s="684">
        <f>IFERROR(VLOOKUP(A103,'WP-BC'!A$18:AI$352,10,FALSE),0)</f>
        <v>0</v>
      </c>
      <c r="L103" s="683"/>
    </row>
    <row r="104" spans="1:13" s="598" customFormat="1" ht="15">
      <c r="A104" s="677" t="str">
        <f t="shared" si="1"/>
        <v>398</v>
      </c>
      <c r="B104" s="697" t="s">
        <v>146</v>
      </c>
      <c r="C104" s="358"/>
      <c r="D104" s="685"/>
      <c r="E104" s="679"/>
      <c r="F104" s="679"/>
      <c r="G104" s="680">
        <v>398</v>
      </c>
      <c r="H104" s="681"/>
      <c r="I104" s="685"/>
      <c r="J104" s="683"/>
      <c r="K104" s="687">
        <f>IFERROR(VLOOKUP(A104,'WP-BC'!A$18:AI$359,10,FALSE),0)</f>
        <v>0</v>
      </c>
      <c r="L104" s="683"/>
    </row>
    <row r="105" spans="1:13" s="598" customFormat="1" ht="13.2">
      <c r="A105" s="677" t="str">
        <f t="shared" si="1"/>
        <v>398</v>
      </c>
      <c r="B105" s="678">
        <v>18</v>
      </c>
      <c r="C105"/>
      <c r="D105"/>
      <c r="E105" s="689"/>
      <c r="F105" s="690"/>
      <c r="G105" s="680">
        <v>398</v>
      </c>
      <c r="H105" s="691" t="s">
        <v>1174</v>
      </c>
      <c r="I105" s="683"/>
      <c r="J105" s="683"/>
      <c r="K105" s="695">
        <f>SUM(K98:K104)</f>
        <v>19888335</v>
      </c>
      <c r="L105" s="683"/>
    </row>
    <row r="106" spans="1:13" s="598" customFormat="1" ht="13.2">
      <c r="A106" s="677" t="str">
        <f t="shared" si="1"/>
        <v/>
      </c>
      <c r="B106" s="678"/>
      <c r="C106"/>
      <c r="D106"/>
      <c r="E106" s="689"/>
      <c r="F106" s="690"/>
      <c r="G106" s="680"/>
      <c r="H106" s="683"/>
      <c r="I106" s="683"/>
      <c r="J106" s="683"/>
      <c r="K106" s="684"/>
      <c r="L106" s="683"/>
    </row>
    <row r="107" spans="1:13" s="598" customFormat="1" ht="13.2">
      <c r="A107" s="677" t="str">
        <f t="shared" si="1"/>
        <v>NIAGARA399Other Tangible Property</v>
      </c>
      <c r="B107" s="678" t="s">
        <v>1175</v>
      </c>
      <c r="C107" s="358" t="str">
        <f>CONCATENATE("WP-BC, column 8, line ",VLOOKUP(A107,'WP-BC'!$A$246:$N$352, 2, FALSE))</f>
        <v>WP-BC, column 8, line 12as</v>
      </c>
      <c r="D107" s="696" t="s">
        <v>1127</v>
      </c>
      <c r="E107" s="679"/>
      <c r="F107" s="690"/>
      <c r="G107" s="680">
        <v>399</v>
      </c>
      <c r="H107" s="682"/>
      <c r="I107" s="682" t="s">
        <v>329</v>
      </c>
      <c r="J107" s="683"/>
      <c r="K107" s="684">
        <f>IFERROR(VLOOKUP(A107,'WP-BC'!A$18:AI$352,10,FALSE),0)</f>
        <v>85366</v>
      </c>
      <c r="L107" s="683"/>
      <c r="M107" s="598" t="s">
        <v>1176</v>
      </c>
    </row>
    <row r="108" spans="1:13" s="598" customFormat="1" ht="13.2">
      <c r="A108" s="677" t="str">
        <f t="shared" si="1"/>
        <v>St.  LAWRENCE / FDR399Other Tangible Property</v>
      </c>
      <c r="B108" s="678" t="s">
        <v>1177</v>
      </c>
      <c r="C108" s="358" t="str">
        <f>CONCATENATE("WP-BC, column 8, line ",VLOOKUP(A108,'WP-BC'!$A$246:$N$352, 2, FALSE))</f>
        <v>WP-BC, column 8, line 12be</v>
      </c>
      <c r="D108" s="696" t="s">
        <v>1128</v>
      </c>
      <c r="E108" s="679"/>
      <c r="F108" s="690"/>
      <c r="G108" s="680">
        <v>399</v>
      </c>
      <c r="H108" s="682"/>
      <c r="I108" s="682" t="s">
        <v>329</v>
      </c>
      <c r="J108" s="683"/>
      <c r="K108" s="684">
        <f>IFERROR(VLOOKUP(A108,'WP-BC'!A$18:AI$352,10,FALSE),0)</f>
        <v>77474</v>
      </c>
      <c r="L108" s="683"/>
      <c r="M108" s="598" t="s">
        <v>1123</v>
      </c>
    </row>
    <row r="109" spans="1:13" s="598" customFormat="1" ht="13.2">
      <c r="A109" s="677" t="str">
        <f t="shared" si="1"/>
        <v>399</v>
      </c>
      <c r="B109" s="678" t="s">
        <v>1178</v>
      </c>
      <c r="C109" s="358"/>
      <c r="D109" s="696"/>
      <c r="E109" s="679"/>
      <c r="F109" s="690"/>
      <c r="G109" s="680">
        <v>399</v>
      </c>
      <c r="H109" s="682"/>
      <c r="I109" s="682"/>
      <c r="J109" s="683"/>
      <c r="K109" s="684">
        <f>IFERROR(VLOOKUP(A109,'WP-BC'!A$18:AI$352,10,FALSE),0)</f>
        <v>0</v>
      </c>
      <c r="L109" s="683"/>
      <c r="M109" s="598" t="s">
        <v>1123</v>
      </c>
    </row>
    <row r="110" spans="1:13" s="598" customFormat="1" ht="13.2">
      <c r="A110" s="677" t="str">
        <f t="shared" si="1"/>
        <v>399</v>
      </c>
      <c r="B110" s="697" t="s">
        <v>146</v>
      </c>
      <c r="C110" s="358"/>
      <c r="D110" s="685"/>
      <c r="E110" s="679"/>
      <c r="F110" s="689"/>
      <c r="G110" s="680">
        <v>399</v>
      </c>
      <c r="H110" s="681"/>
      <c r="I110" s="685"/>
      <c r="J110" s="683"/>
      <c r="K110" s="684">
        <f>IFERROR(VLOOKUP(A110,'WP-BC'!A$18:AI$352,10,FALSE),0)</f>
        <v>0</v>
      </c>
      <c r="L110" s="683"/>
    </row>
    <row r="111" spans="1:13" s="598" customFormat="1" ht="15">
      <c r="A111" s="677" t="str">
        <f t="shared" si="1"/>
        <v>399</v>
      </c>
      <c r="B111" s="697" t="s">
        <v>146</v>
      </c>
      <c r="C111" s="358"/>
      <c r="D111" s="685"/>
      <c r="E111" s="679"/>
      <c r="F111" s="689"/>
      <c r="G111" s="680">
        <v>399</v>
      </c>
      <c r="H111" s="681"/>
      <c r="I111" s="685"/>
      <c r="J111" s="683"/>
      <c r="K111" s="687">
        <f>IFERROR(VLOOKUP(A111,'WP-BC'!A$18:AI$359,10,FALSE),0)</f>
        <v>0</v>
      </c>
      <c r="L111" s="683"/>
    </row>
    <row r="112" spans="1:13" s="598" customFormat="1" ht="13.2">
      <c r="A112" s="677" t="str">
        <f t="shared" si="1"/>
        <v>399</v>
      </c>
      <c r="B112" s="678">
        <v>20</v>
      </c>
      <c r="D112" s="688"/>
      <c r="E112" s="689"/>
      <c r="F112" s="690"/>
      <c r="G112" s="680">
        <v>399</v>
      </c>
      <c r="H112" s="691" t="s">
        <v>1179</v>
      </c>
      <c r="I112" s="683"/>
      <c r="J112" s="683"/>
      <c r="K112" s="695">
        <f>SUM(K107:K111)</f>
        <v>162840</v>
      </c>
      <c r="L112" s="683"/>
    </row>
    <row r="113" spans="1:13" s="598" customFormat="1" ht="13.2">
      <c r="A113" s="677"/>
      <c r="B113" s="678"/>
      <c r="D113" s="688"/>
      <c r="E113" s="689"/>
      <c r="F113" s="690"/>
      <c r="G113" s="680"/>
      <c r="H113" s="691"/>
      <c r="I113" s="683"/>
      <c r="J113" s="683"/>
      <c r="K113" s="695"/>
      <c r="L113" s="683"/>
    </row>
    <row r="114" spans="1:13" s="598" customFormat="1" ht="13.2">
      <c r="A114" s="677" t="str">
        <f t="shared" si="1"/>
        <v/>
      </c>
      <c r="B114" s="697" t="s">
        <v>146</v>
      </c>
      <c r="C114" s="358"/>
      <c r="D114" s="696"/>
      <c r="E114" s="679"/>
      <c r="F114" s="698"/>
      <c r="G114" s="681"/>
      <c r="H114" s="699"/>
      <c r="I114" s="682"/>
      <c r="J114" s="683"/>
      <c r="K114" s="700"/>
      <c r="L114" s="683"/>
    </row>
    <row r="115" spans="1:13" s="598" customFormat="1" ht="13.2">
      <c r="A115" s="677"/>
      <c r="B115" s="678"/>
      <c r="D115" s="688"/>
      <c r="E115" s="689"/>
      <c r="F115" s="690"/>
      <c r="G115" s="680"/>
      <c r="H115" s="691"/>
      <c r="I115" s="683"/>
      <c r="J115" s="683"/>
      <c r="K115" s="695"/>
      <c r="L115" s="683"/>
    </row>
    <row r="116" spans="1:13" s="598" customFormat="1" ht="15.6">
      <c r="A116" s="677" t="str">
        <f t="shared" si="1"/>
        <v/>
      </c>
      <c r="B116" s="678">
        <v>21</v>
      </c>
      <c r="C116" s="1221" t="s">
        <v>1180</v>
      </c>
      <c r="D116" s="688"/>
      <c r="E116" s="689"/>
      <c r="F116" s="690"/>
      <c r="G116" s="680"/>
      <c r="H116" s="683"/>
      <c r="I116" s="683"/>
      <c r="J116" s="683"/>
      <c r="K116" s="700">
        <f>K112+K105+K96+K85+K76+K67+K58+K50+K41+K23</f>
        <v>71960911</v>
      </c>
      <c r="L116" s="683"/>
    </row>
    <row r="117" spans="1:13" s="598" customFormat="1" ht="13.2">
      <c r="A117" s="677" t="str">
        <f t="shared" si="1"/>
        <v/>
      </c>
      <c r="B117" s="678"/>
      <c r="D117" s="688"/>
      <c r="E117" s="689"/>
      <c r="F117" s="683"/>
      <c r="G117" s="680"/>
      <c r="H117" s="683"/>
      <c r="I117" s="683"/>
      <c r="J117" s="683"/>
      <c r="K117" s="684"/>
      <c r="L117" s="683"/>
    </row>
    <row r="118" spans="1:13" s="598" customFormat="1" ht="15.6">
      <c r="A118" s="677" t="str">
        <f t="shared" si="1"/>
        <v/>
      </c>
      <c r="B118" s="678"/>
      <c r="C118" s="1221" t="s">
        <v>1181</v>
      </c>
      <c r="D118" s="701"/>
      <c r="G118" s="675"/>
      <c r="K118" s="684"/>
    </row>
    <row r="119" spans="1:13" s="598" customFormat="1" ht="13.2">
      <c r="A119" s="677" t="str">
        <f t="shared" si="1"/>
        <v>BLENHEIM - GILBOA352Structures &amp; Improvements</v>
      </c>
      <c r="B119" s="678" t="s">
        <v>1182</v>
      </c>
      <c r="C119" s="358" t="str">
        <f>CONCATENATE("WP-BC, column 8, line ",VLOOKUP(A119,'WP-BC'!$A$170:$N$241, 2, FALSE))</f>
        <v>WP-BC, column 8, line 10a</v>
      </c>
      <c r="D119" s="679" t="s">
        <v>1122</v>
      </c>
      <c r="E119" s="689"/>
      <c r="F119" s="689"/>
      <c r="G119" s="680">
        <v>352</v>
      </c>
      <c r="H119" s="680"/>
      <c r="I119" s="682" t="s">
        <v>308</v>
      </c>
      <c r="J119" s="683"/>
      <c r="K119" s="684">
        <f>IFERROR(VLOOKUP(A119,'WP-BC'!A$18:AI$352,10,FALSE),0)</f>
        <v>76278</v>
      </c>
      <c r="L119" s="683"/>
      <c r="M119" s="598" t="s">
        <v>1123</v>
      </c>
    </row>
    <row r="120" spans="1:13" s="598" customFormat="1" ht="13.2">
      <c r="A120" s="677" t="str">
        <f t="shared" si="1"/>
        <v>J. A. FITZPATRICK352Structures &amp; Improvements</v>
      </c>
      <c r="B120" s="678" t="s">
        <v>1183</v>
      </c>
      <c r="C120" s="358" t="str">
        <f>CONCATENATE("WP-BC, column 8, line ",VLOOKUP(A120,'WP-BC'!$A$170:$N$241, 2, FALSE))</f>
        <v>WP-BC, column 8, line 10g</v>
      </c>
      <c r="D120" s="679" t="s">
        <v>1184</v>
      </c>
      <c r="E120" s="689"/>
      <c r="F120" s="689"/>
      <c r="G120" s="680">
        <v>352</v>
      </c>
      <c r="H120" s="680"/>
      <c r="I120" s="682" t="s">
        <v>308</v>
      </c>
      <c r="J120" s="683"/>
      <c r="K120" s="684">
        <f>IFERROR(VLOOKUP(A120,'WP-BC'!A$18:AI$352,10,FALSE),0)</f>
        <v>0</v>
      </c>
      <c r="L120" s="683"/>
      <c r="M120" s="598" t="s">
        <v>1123</v>
      </c>
    </row>
    <row r="121" spans="1:13" s="598" customFormat="1" ht="13.2">
      <c r="A121" s="677" t="str">
        <f t="shared" si="1"/>
        <v>LONG ISLAND SOUND CABLE352Structures &amp; Improvements</v>
      </c>
      <c r="B121" s="678" t="s">
        <v>1185</v>
      </c>
      <c r="C121" s="358" t="str">
        <f>CONCATENATE("WP-BC, column 8, line ",VLOOKUP(A121,'WP-BC'!$A$170:$N$241, 2, FALSE))</f>
        <v>WP-BC, column 8, line 10l</v>
      </c>
      <c r="D121" s="679" t="s">
        <v>1163</v>
      </c>
      <c r="E121" s="689"/>
      <c r="F121" s="689"/>
      <c r="G121" s="680">
        <v>352</v>
      </c>
      <c r="H121" s="680"/>
      <c r="I121" s="682" t="s">
        <v>308</v>
      </c>
      <c r="J121" s="683"/>
      <c r="K121" s="684">
        <f>IFERROR(VLOOKUP(A121,'WP-BC'!A$18:AI$352,10,FALSE),0)</f>
        <v>105855</v>
      </c>
      <c r="L121" s="683"/>
      <c r="M121" s="598" t="s">
        <v>1123</v>
      </c>
    </row>
    <row r="122" spans="1:13" s="598" customFormat="1" ht="13.2">
      <c r="A122" s="677" t="str">
        <f t="shared" si="1"/>
        <v>MARCY-SOUTH352Structures &amp; Improvements</v>
      </c>
      <c r="B122" s="678" t="s">
        <v>1186</v>
      </c>
      <c r="C122" s="358" t="str">
        <f>CONCATENATE("WP-BC, column 8, line ",VLOOKUP(A122,'WP-BC'!$A$170:$N$241, 2, FALSE))</f>
        <v>WP-BC, column 8, line 10p</v>
      </c>
      <c r="D122" s="679" t="s">
        <v>1125</v>
      </c>
      <c r="E122" s="689"/>
      <c r="F122" s="689"/>
      <c r="G122" s="680">
        <v>352</v>
      </c>
      <c r="H122" s="680"/>
      <c r="I122" s="682" t="s">
        <v>308</v>
      </c>
      <c r="J122" s="683"/>
      <c r="K122" s="684">
        <f>IFERROR(VLOOKUP(A122,'WP-BC'!A$18:AI$352,10,FALSE),0)</f>
        <v>0</v>
      </c>
      <c r="L122" s="683"/>
      <c r="M122" s="598" t="s">
        <v>1123</v>
      </c>
    </row>
    <row r="123" spans="1:13" s="598" customFormat="1" ht="13.2">
      <c r="A123" s="677" t="str">
        <f t="shared" si="1"/>
        <v>MASSENA - MARCY  (Clark)352Structures &amp; Improvements</v>
      </c>
      <c r="B123" s="678" t="s">
        <v>1187</v>
      </c>
      <c r="C123" s="358" t="str">
        <f>CONCATENATE("WP-BC, column 8, line ",VLOOKUP(A123,'WP-BC'!$A$170:$N$241, 2, FALSE))</f>
        <v>WP-BC, column 8, line 10x</v>
      </c>
      <c r="D123" s="679" t="s">
        <v>1126</v>
      </c>
      <c r="E123" s="689"/>
      <c r="F123" s="689"/>
      <c r="G123" s="680">
        <v>352</v>
      </c>
      <c r="H123" s="680"/>
      <c r="I123" s="682" t="s">
        <v>308</v>
      </c>
      <c r="J123" s="683"/>
      <c r="K123" s="684">
        <f>IFERROR(VLOOKUP(A123,'WP-BC'!A$18:AI$352,10,FALSE),0)</f>
        <v>851616</v>
      </c>
      <c r="L123" s="683"/>
      <c r="M123" s="598" t="s">
        <v>1123</v>
      </c>
    </row>
    <row r="124" spans="1:13" s="598" customFormat="1" ht="13.2">
      <c r="A124" s="677" t="str">
        <f t="shared" si="1"/>
        <v>NIAGARA352Structures &amp; Improvements</v>
      </c>
      <c r="B124" s="678" t="s">
        <v>1188</v>
      </c>
      <c r="C124" s="358" t="str">
        <f>CONCATENATE("WP-BC, column 8, line ",VLOOKUP(A124,'WP-BC'!$A$170:$N$241, 2, FALSE))</f>
        <v>WP-BC, column 8, line 10ae</v>
      </c>
      <c r="D124" s="679" t="s">
        <v>1127</v>
      </c>
      <c r="E124" s="689"/>
      <c r="F124" s="689"/>
      <c r="G124" s="680">
        <v>352</v>
      </c>
      <c r="H124" s="680"/>
      <c r="I124" s="682" t="s">
        <v>308</v>
      </c>
      <c r="J124" s="683"/>
      <c r="K124" s="684">
        <f>IFERROR(VLOOKUP(A124,'WP-BC'!A$18:AI$352,10,FALSE),0)</f>
        <v>466699</v>
      </c>
      <c r="L124" s="683"/>
      <c r="M124" s="598" t="s">
        <v>1123</v>
      </c>
    </row>
    <row r="125" spans="1:13" s="598" customFormat="1" ht="13.2">
      <c r="A125" s="677" t="str">
        <f t="shared" si="1"/>
        <v>St.  LAWRENCE / FDR352Structures &amp; Improvements</v>
      </c>
      <c r="B125" s="678" t="s">
        <v>1189</v>
      </c>
      <c r="C125" s="358" t="str">
        <f>CONCATENATE("WP-BC, column 8, line ",VLOOKUP(A125,'WP-BC'!$A$170:$N$241, 2, FALSE))</f>
        <v>WP-BC, column 8, line 10ak</v>
      </c>
      <c r="D125" s="679" t="s">
        <v>1128</v>
      </c>
      <c r="E125" s="689"/>
      <c r="F125" s="689"/>
      <c r="G125" s="680">
        <v>352</v>
      </c>
      <c r="H125" s="680"/>
      <c r="I125" s="682" t="s">
        <v>308</v>
      </c>
      <c r="J125" s="683"/>
      <c r="K125" s="684">
        <f>IFERROR(VLOOKUP(A125,'WP-BC'!A$18:AI$352,10,FALSE),0)</f>
        <v>360086</v>
      </c>
      <c r="L125" s="683"/>
      <c r="M125" s="598" t="s">
        <v>1123</v>
      </c>
    </row>
    <row r="126" spans="1:13" s="598" customFormat="1" ht="13.2">
      <c r="A126" s="677" t="str">
        <f t="shared" si="1"/>
        <v>352</v>
      </c>
      <c r="B126" s="697" t="s">
        <v>146</v>
      </c>
      <c r="C126" s="358"/>
      <c r="D126" s="685"/>
      <c r="E126" s="689"/>
      <c r="F126" s="689"/>
      <c r="G126" s="680">
        <v>352</v>
      </c>
      <c r="H126" s="680"/>
      <c r="I126" s="685"/>
      <c r="J126" s="683"/>
      <c r="K126" s="684">
        <f>IFERROR(VLOOKUP(A126,'WP-BC'!A$18:AI$352,10,FALSE),0)</f>
        <v>0</v>
      </c>
      <c r="L126" s="683"/>
    </row>
    <row r="127" spans="1:13" s="598" customFormat="1" ht="15">
      <c r="A127" s="677" t="str">
        <f t="shared" si="1"/>
        <v>352</v>
      </c>
      <c r="B127" s="697" t="s">
        <v>146</v>
      </c>
      <c r="C127" s="358"/>
      <c r="D127" s="685"/>
      <c r="E127" s="689"/>
      <c r="F127" s="689"/>
      <c r="G127" s="680">
        <v>352</v>
      </c>
      <c r="H127" s="680"/>
      <c r="I127" s="685"/>
      <c r="J127" s="683"/>
      <c r="K127" s="687">
        <f>IFERROR(VLOOKUP(A127,'WP-BC'!A$18:AI$359,10,FALSE),0)</f>
        <v>0</v>
      </c>
      <c r="L127" s="683"/>
    </row>
    <row r="128" spans="1:13" s="598" customFormat="1" ht="13.2">
      <c r="A128" s="677" t="str">
        <f t="shared" si="1"/>
        <v>352</v>
      </c>
      <c r="B128" s="678">
        <v>23</v>
      </c>
      <c r="C128"/>
      <c r="D128"/>
      <c r="E128" s="689"/>
      <c r="F128" s="690"/>
      <c r="G128" s="680">
        <v>352</v>
      </c>
      <c r="H128" s="691" t="s">
        <v>1190</v>
      </c>
      <c r="I128" s="683"/>
      <c r="J128" s="683"/>
      <c r="K128" s="695">
        <f>SUM(K119:K127)</f>
        <v>1860534</v>
      </c>
      <c r="L128" s="683"/>
    </row>
    <row r="129" spans="1:13" s="598" customFormat="1" ht="13.2">
      <c r="A129" s="677" t="str">
        <f t="shared" si="1"/>
        <v/>
      </c>
      <c r="B129" s="678"/>
      <c r="C129"/>
      <c r="D129"/>
      <c r="E129" s="689"/>
      <c r="F129" s="690"/>
      <c r="G129" s="680"/>
      <c r="H129" s="683"/>
      <c r="I129" s="683"/>
      <c r="J129" s="683"/>
      <c r="K129" s="684"/>
      <c r="L129" s="683"/>
    </row>
    <row r="130" spans="1:13" s="598" customFormat="1" ht="13.2">
      <c r="A130" s="677" t="str">
        <f t="shared" si="1"/>
        <v>BLENHEIM - GILBOA353Station Equipment</v>
      </c>
      <c r="B130" s="678" t="s">
        <v>1191</v>
      </c>
      <c r="C130" s="358" t="str">
        <f>CONCATENATE("WP-BC, column 8, line ",VLOOKUP(A130,'WP-BC'!$A$170:$N$241, 2, FALSE))</f>
        <v>WP-BC, column 8, line 10b</v>
      </c>
      <c r="D130" s="679" t="s">
        <v>1122</v>
      </c>
      <c r="E130" s="689"/>
      <c r="F130" s="689"/>
      <c r="G130" s="680">
        <v>353</v>
      </c>
      <c r="H130" s="680"/>
      <c r="I130" s="682" t="s">
        <v>189</v>
      </c>
      <c r="J130" s="683"/>
      <c r="K130" s="684">
        <f>IFERROR(VLOOKUP(A130,'WP-BC'!A$18:AI$352,10,FALSE),0)</f>
        <v>1404827</v>
      </c>
      <c r="L130" s="683"/>
      <c r="M130" s="598" t="s">
        <v>1123</v>
      </c>
    </row>
    <row r="131" spans="1:13" s="598" customFormat="1" ht="13.2">
      <c r="A131" s="677" t="str">
        <f t="shared" si="1"/>
        <v>J. A. FITZPATRICK353Station Equipment</v>
      </c>
      <c r="B131" s="678" t="s">
        <v>1192</v>
      </c>
      <c r="C131" s="358" t="str">
        <f>CONCATENATE("WP-BC, column 8, line ",VLOOKUP(A131,'WP-BC'!$A$170:$N$241, 2, FALSE))</f>
        <v>WP-BC, column 8, line 10h</v>
      </c>
      <c r="D131" s="679" t="s">
        <v>1184</v>
      </c>
      <c r="E131" s="689"/>
      <c r="F131" s="689"/>
      <c r="G131" s="680">
        <v>353</v>
      </c>
      <c r="H131" s="680"/>
      <c r="I131" s="682" t="s">
        <v>189</v>
      </c>
      <c r="J131" s="683"/>
      <c r="K131" s="684">
        <f>IFERROR(VLOOKUP(A131,'WP-BC'!A$18:AI$352,10,FALSE),0)</f>
        <v>0</v>
      </c>
      <c r="L131" s="683"/>
      <c r="M131" s="598" t="s">
        <v>1123</v>
      </c>
    </row>
    <row r="132" spans="1:13" s="598" customFormat="1" ht="13.2">
      <c r="A132" s="677" t="str">
        <f t="shared" si="1"/>
        <v>LONG ISLAND SOUND CABLE353Station Equipment</v>
      </c>
      <c r="B132" s="678" t="s">
        <v>1193</v>
      </c>
      <c r="C132" s="358" t="str">
        <f>CONCATENATE("WP-BC, column 8, line ",VLOOKUP(A132,'WP-BC'!$A$170:$N$241, 2, FALSE))</f>
        <v>WP-BC, column 8, line 10m</v>
      </c>
      <c r="D132" s="679" t="s">
        <v>1163</v>
      </c>
      <c r="E132" s="689"/>
      <c r="F132" s="689"/>
      <c r="G132" s="680">
        <v>353</v>
      </c>
      <c r="H132" s="680"/>
      <c r="I132" s="682" t="s">
        <v>189</v>
      </c>
      <c r="J132" s="683"/>
      <c r="K132" s="684">
        <f>IFERROR(VLOOKUP(A132,'WP-BC'!A$18:AI$352,10,FALSE),0)</f>
        <v>563473</v>
      </c>
      <c r="L132" s="683"/>
      <c r="M132" s="598" t="s">
        <v>1123</v>
      </c>
    </row>
    <row r="133" spans="1:13" s="598" customFormat="1" ht="13.2">
      <c r="A133" s="677" t="str">
        <f t="shared" si="1"/>
        <v>MARCY-SOUTH353Station Equipment</v>
      </c>
      <c r="B133" s="678" t="s">
        <v>1194</v>
      </c>
      <c r="C133" s="358" t="str">
        <f>CONCATENATE("WP-BC, column 8, line ",VLOOKUP(A133,'WP-BC'!$A$170:$N$241, 2, FALSE))</f>
        <v>WP-BC, column 8, line 10q</v>
      </c>
      <c r="D133" s="679" t="s">
        <v>1125</v>
      </c>
      <c r="E133" s="689"/>
      <c r="F133" s="689"/>
      <c r="G133" s="680">
        <v>353</v>
      </c>
      <c r="H133" s="680"/>
      <c r="I133" s="682" t="s">
        <v>189</v>
      </c>
      <c r="J133" s="683"/>
      <c r="K133" s="684">
        <f>IFERROR(VLOOKUP(A133,'WP-BC'!A$18:AI$352,10,FALSE),0)</f>
        <v>1286718</v>
      </c>
      <c r="L133" s="683"/>
      <c r="M133" s="598" t="s">
        <v>1123</v>
      </c>
    </row>
    <row r="134" spans="1:13" s="598" customFormat="1" ht="13.2">
      <c r="A134" s="677" t="str">
        <f t="shared" si="1"/>
        <v>MASSENA - MARCY  (Clark)353Station Equipment</v>
      </c>
      <c r="B134" s="678" t="s">
        <v>1195</v>
      </c>
      <c r="C134" s="358" t="str">
        <f>CONCATENATE("WP-BC, column 8, line ",VLOOKUP(A134,'WP-BC'!$A$170:$N$241, 2, FALSE))</f>
        <v>WP-BC, column 8, line 10y</v>
      </c>
      <c r="D134" s="679" t="s">
        <v>1126</v>
      </c>
      <c r="E134" s="689"/>
      <c r="F134" s="689"/>
      <c r="G134" s="680">
        <v>353</v>
      </c>
      <c r="H134" s="680"/>
      <c r="I134" s="682" t="s">
        <v>189</v>
      </c>
      <c r="J134" s="683"/>
      <c r="K134" s="684">
        <f>IFERROR(VLOOKUP(A134,'WP-BC'!A$18:AI$352,10,FALSE),0)</f>
        <v>5153307</v>
      </c>
      <c r="L134" s="683"/>
      <c r="M134" s="598" t="s">
        <v>1123</v>
      </c>
    </row>
    <row r="135" spans="1:13" s="598" customFormat="1" ht="13.2">
      <c r="A135" s="677" t="str">
        <f t="shared" si="1"/>
        <v>MASSENA - MARCY  (Clark)353Station Equipment - Windfarm Assets acq. 12-1-11</v>
      </c>
      <c r="B135" s="678" t="s">
        <v>1196</v>
      </c>
      <c r="C135" s="358" t="str">
        <f>CONCATENATE("WP-BC, column 8, line ",VLOOKUP(A135,'WP-BC'!$A$170:$N$241, 2, FALSE))</f>
        <v>WP-BC, column 8, line 10z</v>
      </c>
      <c r="D135" s="679" t="s">
        <v>1126</v>
      </c>
      <c r="E135" s="689"/>
      <c r="F135" s="689"/>
      <c r="G135" s="680">
        <v>353</v>
      </c>
      <c r="H135" s="680"/>
      <c r="I135" s="682" t="s">
        <v>1197</v>
      </c>
      <c r="J135" s="683"/>
      <c r="K135" s="684">
        <f>IFERROR(VLOOKUP(A135,'WP-BC'!A$18:AI$352,10,FALSE),0)</f>
        <v>1838654</v>
      </c>
      <c r="L135" s="683"/>
      <c r="M135" s="598" t="s">
        <v>1123</v>
      </c>
    </row>
    <row r="136" spans="1:13" s="598" customFormat="1" ht="13.2">
      <c r="A136" s="677" t="str">
        <f t="shared" si="1"/>
        <v>NIAGARA353Station Equipment</v>
      </c>
      <c r="B136" s="678" t="s">
        <v>1198</v>
      </c>
      <c r="C136" s="358" t="str">
        <f>CONCATENATE("WP-BC, column 8, line ",VLOOKUP(A136,'WP-BC'!$A$170:$N$241, 2, FALSE))</f>
        <v>WP-BC, column 8, line 10af</v>
      </c>
      <c r="D136" s="679" t="s">
        <v>1127</v>
      </c>
      <c r="E136" s="689"/>
      <c r="F136" s="689"/>
      <c r="G136" s="680">
        <v>353</v>
      </c>
      <c r="H136" s="680"/>
      <c r="I136" s="682" t="s">
        <v>189</v>
      </c>
      <c r="J136" s="683"/>
      <c r="K136" s="684">
        <f>IFERROR(VLOOKUP(A136,'WP-BC'!A$18:AI$352,10,FALSE),0)</f>
        <v>4729935</v>
      </c>
      <c r="L136" s="683"/>
      <c r="M136" s="598" t="s">
        <v>1123</v>
      </c>
    </row>
    <row r="137" spans="1:13" s="598" customFormat="1" ht="13.2">
      <c r="A137" s="677" t="str">
        <f t="shared" si="1"/>
        <v>St.  LAWRENCE / FDR353Station Equipment</v>
      </c>
      <c r="B137" s="678" t="s">
        <v>1199</v>
      </c>
      <c r="C137" s="358" t="str">
        <f>CONCATENATE("WP-BC, column 8, line ",VLOOKUP(A137,'WP-BC'!$A$170:$N$241, 2, FALSE))</f>
        <v>WP-BC, column 8, line 10al</v>
      </c>
      <c r="D137" s="679" t="s">
        <v>1128</v>
      </c>
      <c r="E137" s="689"/>
      <c r="F137" s="689"/>
      <c r="G137" s="680">
        <v>353</v>
      </c>
      <c r="H137" s="680"/>
      <c r="I137" s="682" t="s">
        <v>189</v>
      </c>
      <c r="J137" s="683"/>
      <c r="K137" s="684">
        <f>IFERROR(VLOOKUP(A137,'WP-BC'!A$18:AI$352,10,FALSE),0)</f>
        <v>7330807</v>
      </c>
      <c r="L137" s="683"/>
      <c r="M137" s="598" t="s">
        <v>1123</v>
      </c>
    </row>
    <row r="138" spans="1:13" s="598" customFormat="1" ht="13.2">
      <c r="A138" s="677" t="str">
        <f t="shared" si="1"/>
        <v>353</v>
      </c>
      <c r="B138" s="697" t="s">
        <v>146</v>
      </c>
      <c r="C138" s="358"/>
      <c r="D138" s="685"/>
      <c r="E138" s="689"/>
      <c r="F138" s="689"/>
      <c r="G138" s="680">
        <v>353</v>
      </c>
      <c r="H138" s="680"/>
      <c r="I138" s="685"/>
      <c r="J138" s="683"/>
      <c r="K138" s="684">
        <f>IFERROR(VLOOKUP(A138,'WP-BC'!A$18:AI$352,10,FALSE),0)</f>
        <v>0</v>
      </c>
      <c r="L138" s="683"/>
    </row>
    <row r="139" spans="1:13" s="598" customFormat="1" ht="15">
      <c r="A139" s="677" t="str">
        <f t="shared" si="1"/>
        <v>353</v>
      </c>
      <c r="B139" s="697" t="s">
        <v>146</v>
      </c>
      <c r="C139" s="358"/>
      <c r="D139" s="685"/>
      <c r="E139" s="689"/>
      <c r="F139" s="689"/>
      <c r="G139" s="680">
        <v>353</v>
      </c>
      <c r="H139" s="680"/>
      <c r="I139" s="685"/>
      <c r="J139" s="683"/>
      <c r="K139" s="687">
        <f>IFERROR(VLOOKUP(A139,'WP-BC'!A$18:AI$359,10,FALSE),0)</f>
        <v>0</v>
      </c>
      <c r="L139" s="683"/>
    </row>
    <row r="140" spans="1:13" s="598" customFormat="1" ht="13.2">
      <c r="A140" s="677" t="str">
        <f t="shared" si="1"/>
        <v>353</v>
      </c>
      <c r="B140" s="678">
        <v>25</v>
      </c>
      <c r="C140"/>
      <c r="D140"/>
      <c r="E140" s="689"/>
      <c r="F140" s="690"/>
      <c r="G140" s="680">
        <v>353</v>
      </c>
      <c r="H140" s="691" t="s">
        <v>1200</v>
      </c>
      <c r="I140" s="683"/>
      <c r="J140" s="683"/>
      <c r="K140" s="695">
        <f>SUM(K130:K139)</f>
        <v>22307721</v>
      </c>
      <c r="L140" s="683"/>
    </row>
    <row r="141" spans="1:13" s="598" customFormat="1" ht="13.2">
      <c r="A141" s="677" t="str">
        <f t="shared" si="1"/>
        <v/>
      </c>
      <c r="B141" s="678"/>
      <c r="C141"/>
      <c r="D141"/>
      <c r="E141" s="689"/>
      <c r="F141" s="690"/>
      <c r="G141" s="680"/>
      <c r="H141" s="683"/>
      <c r="I141" s="683"/>
      <c r="J141" s="683"/>
      <c r="K141" s="684"/>
      <c r="L141" s="683"/>
    </row>
    <row r="142" spans="1:13" s="598" customFormat="1" ht="13.2">
      <c r="A142" s="677" t="str">
        <f t="shared" si="1"/>
        <v>BLENHEIM - GILBOA354Towers &amp; Fixtures</v>
      </c>
      <c r="B142" s="678" t="s">
        <v>1201</v>
      </c>
      <c r="C142" s="358" t="str">
        <f>CONCATENATE("WP-BC, column 8, line ",VLOOKUP(A142,'WP-BC'!$A$170:$N$241, 2, FALSE))</f>
        <v>WP-BC, column 8, line 10c</v>
      </c>
      <c r="D142" s="679" t="s">
        <v>1122</v>
      </c>
      <c r="E142" s="689"/>
      <c r="F142" s="689"/>
      <c r="G142" s="680">
        <v>354</v>
      </c>
      <c r="H142" s="680"/>
      <c r="I142" s="682" t="s">
        <v>310</v>
      </c>
      <c r="J142" s="683"/>
      <c r="K142" s="684">
        <f>IFERROR(VLOOKUP(A142,'WP-BC'!A$18:AI$352,10,FALSE),0)</f>
        <v>503988</v>
      </c>
      <c r="L142" s="683"/>
      <c r="M142" s="598" t="s">
        <v>1123</v>
      </c>
    </row>
    <row r="143" spans="1:13" s="598" customFormat="1" ht="13.2">
      <c r="A143" s="677" t="str">
        <f t="shared" si="1"/>
        <v>J. A. FITZPATRICK354Towers &amp; Fixtures</v>
      </c>
      <c r="B143" s="678" t="s">
        <v>1202</v>
      </c>
      <c r="C143" s="358" t="str">
        <f>CONCATENATE("WP-BC, column 8, line ",VLOOKUP(A143,'WP-BC'!$A$170:$N$241, 2, FALSE))</f>
        <v>WP-BC, column 8, line 10i</v>
      </c>
      <c r="D143" s="679" t="s">
        <v>1184</v>
      </c>
      <c r="E143" s="689"/>
      <c r="F143" s="689"/>
      <c r="G143" s="680">
        <v>354</v>
      </c>
      <c r="H143" s="680"/>
      <c r="I143" s="682" t="s">
        <v>310</v>
      </c>
      <c r="J143" s="683"/>
      <c r="K143" s="684">
        <f>IFERROR(VLOOKUP(A143,'WP-BC'!A$18:AI$352,10,FALSE),0)</f>
        <v>100518</v>
      </c>
      <c r="L143" s="683"/>
      <c r="M143" s="598" t="s">
        <v>1123</v>
      </c>
    </row>
    <row r="144" spans="1:13" s="598" customFormat="1" ht="13.2">
      <c r="A144" s="677" t="str">
        <f t="shared" si="1"/>
        <v>MARCY-SOUTH354Towers &amp; Fixtures</v>
      </c>
      <c r="B144" s="678" t="s">
        <v>1203</v>
      </c>
      <c r="C144" s="358" t="str">
        <f>CONCATENATE("WP-BC, column 8, line ",VLOOKUP(A144,'WP-BC'!$A$170:$N$241, 2, FALSE))</f>
        <v>WP-BC, column 8, line 10r</v>
      </c>
      <c r="D144" s="679" t="s">
        <v>1125</v>
      </c>
      <c r="E144" s="689"/>
      <c r="F144" s="689"/>
      <c r="G144" s="680">
        <v>354</v>
      </c>
      <c r="H144" s="680"/>
      <c r="I144" s="682" t="s">
        <v>310</v>
      </c>
      <c r="J144" s="683"/>
      <c r="K144" s="684">
        <f>IFERROR(VLOOKUP(A144,'WP-BC'!A$18:AI$352,10,FALSE),0)</f>
        <v>1496510</v>
      </c>
      <c r="L144" s="683"/>
      <c r="M144" s="598" t="s">
        <v>1123</v>
      </c>
    </row>
    <row r="145" spans="1:13" s="598" customFormat="1" ht="13.2">
      <c r="A145" s="677" t="str">
        <f t="shared" si="1"/>
        <v>MASSENA - MARCY  (Clark)354Towers &amp; Fixtures</v>
      </c>
      <c r="B145" s="678" t="s">
        <v>1204</v>
      </c>
      <c r="C145" s="358" t="str">
        <f>CONCATENATE("WP-BC, column 8, line ",VLOOKUP(A145,'WP-BC'!$A$170:$N$241, 2, FALSE))</f>
        <v>WP-BC, column 8, line 10aa</v>
      </c>
      <c r="D145" s="679" t="s">
        <v>1126</v>
      </c>
      <c r="E145" s="689"/>
      <c r="F145" s="689"/>
      <c r="G145" s="680">
        <v>354</v>
      </c>
      <c r="H145" s="680"/>
      <c r="I145" s="682" t="s">
        <v>310</v>
      </c>
      <c r="J145" s="683"/>
      <c r="K145" s="684">
        <f>IFERROR(VLOOKUP(A145,'WP-BC'!A$18:AI$352,10,FALSE),0)</f>
        <v>1263495</v>
      </c>
      <c r="L145" s="683"/>
      <c r="M145" s="598" t="s">
        <v>1123</v>
      </c>
    </row>
    <row r="146" spans="1:13" s="598" customFormat="1" ht="13.2">
      <c r="A146" s="677" t="str">
        <f t="shared" si="1"/>
        <v>NIAGARA354Towers &amp; Fixtures</v>
      </c>
      <c r="B146" s="678" t="s">
        <v>1205</v>
      </c>
      <c r="C146" s="358" t="str">
        <f>CONCATENATE("WP-BC, column 8, line ",VLOOKUP(A146,'WP-BC'!$A$170:$N$241, 2, FALSE))</f>
        <v>WP-BC, column 8, line 10ag</v>
      </c>
      <c r="D146" s="679" t="s">
        <v>1127</v>
      </c>
      <c r="E146" s="689"/>
      <c r="F146" s="689"/>
      <c r="G146" s="680">
        <v>354</v>
      </c>
      <c r="H146" s="680"/>
      <c r="I146" s="682" t="s">
        <v>310</v>
      </c>
      <c r="J146" s="683"/>
      <c r="K146" s="684">
        <f>IFERROR(VLOOKUP(A146,'WP-BC'!A$18:AI$352,10,FALSE),0)</f>
        <v>549594</v>
      </c>
      <c r="L146" s="683"/>
      <c r="M146" s="598" t="s">
        <v>1123</v>
      </c>
    </row>
    <row r="147" spans="1:13" s="598" customFormat="1" ht="13.2">
      <c r="A147" s="677" t="str">
        <f t="shared" si="1"/>
        <v>St.  LAWRENCE / FDR354Towers &amp; Fixtures</v>
      </c>
      <c r="B147" s="678" t="s">
        <v>1206</v>
      </c>
      <c r="C147" s="358" t="str">
        <f>CONCATENATE("WP-BC, column 8, line ",VLOOKUP(A147,'WP-BC'!$A$170:$N$241, 2, FALSE))</f>
        <v>WP-BC, column 8, line 10am</v>
      </c>
      <c r="D147" s="679" t="s">
        <v>1128</v>
      </c>
      <c r="E147" s="689"/>
      <c r="F147" s="689"/>
      <c r="G147" s="680">
        <v>354</v>
      </c>
      <c r="H147" s="680"/>
      <c r="I147" s="682" t="s">
        <v>310</v>
      </c>
      <c r="J147" s="683"/>
      <c r="K147" s="684">
        <f>IFERROR(VLOOKUP(A147,'WP-BC'!A$18:AI$352,10,FALSE),0)</f>
        <v>414243</v>
      </c>
      <c r="L147" s="683"/>
      <c r="M147" s="598" t="s">
        <v>1123</v>
      </c>
    </row>
    <row r="148" spans="1:13" s="598" customFormat="1" ht="13.2">
      <c r="A148" s="677" t="str">
        <f t="shared" si="1"/>
        <v>354</v>
      </c>
      <c r="B148" s="697" t="s">
        <v>146</v>
      </c>
      <c r="C148" s="358"/>
      <c r="D148" s="685"/>
      <c r="E148" s="689"/>
      <c r="F148" s="689"/>
      <c r="G148" s="680">
        <v>354</v>
      </c>
      <c r="H148" s="680"/>
      <c r="I148" s="685"/>
      <c r="J148" s="683"/>
      <c r="K148" s="684">
        <f>IFERROR(VLOOKUP(A148,'WP-BC'!A$18:AI$352,10,FALSE),0)</f>
        <v>0</v>
      </c>
      <c r="L148" s="683"/>
    </row>
    <row r="149" spans="1:13" s="598" customFormat="1" ht="15">
      <c r="A149" s="677" t="str">
        <f t="shared" si="1"/>
        <v>354</v>
      </c>
      <c r="B149" s="697" t="s">
        <v>146</v>
      </c>
      <c r="C149" s="358"/>
      <c r="D149" s="685"/>
      <c r="E149" s="689"/>
      <c r="F149" s="689"/>
      <c r="G149" s="680">
        <v>354</v>
      </c>
      <c r="H149" s="680"/>
      <c r="I149" s="685"/>
      <c r="J149" s="683"/>
      <c r="K149" s="687">
        <f>IFERROR(VLOOKUP(A149,'WP-BC'!A$18:AI$359,10,FALSE),0)</f>
        <v>0</v>
      </c>
      <c r="L149" s="683"/>
    </row>
    <row r="150" spans="1:13" s="598" customFormat="1" ht="13.2">
      <c r="A150" s="677" t="str">
        <f t="shared" si="1"/>
        <v>354</v>
      </c>
      <c r="B150" s="678">
        <v>27</v>
      </c>
      <c r="C150"/>
      <c r="D150"/>
      <c r="E150" s="689"/>
      <c r="F150" s="690"/>
      <c r="G150" s="680">
        <v>354</v>
      </c>
      <c r="H150" s="691" t="s">
        <v>1207</v>
      </c>
      <c r="I150" s="683"/>
      <c r="J150" s="683"/>
      <c r="K150" s="695">
        <f>SUM(K142:K149)</f>
        <v>4328348</v>
      </c>
      <c r="L150" s="683"/>
    </row>
    <row r="151" spans="1:13" s="598" customFormat="1" ht="13.2">
      <c r="A151" s="677" t="str">
        <f t="shared" si="1"/>
        <v/>
      </c>
      <c r="B151" s="678"/>
      <c r="C151"/>
      <c r="D151"/>
      <c r="E151" s="689"/>
      <c r="F151" s="690"/>
      <c r="G151" s="680"/>
      <c r="H151" s="683"/>
      <c r="I151" s="683"/>
      <c r="J151" s="683"/>
      <c r="K151" s="684"/>
      <c r="L151" s="683"/>
    </row>
    <row r="152" spans="1:13" s="598" customFormat="1" ht="13.2">
      <c r="A152" s="677" t="str">
        <f t="shared" si="1"/>
        <v>BLENHEIM - GILBOA355Poles &amp; Fixtures</v>
      </c>
      <c r="B152" s="678" t="s">
        <v>1208</v>
      </c>
      <c r="C152" s="358" t="str">
        <f>CONCATENATE("WP-BC, column 8, line ",VLOOKUP(A152,'WP-BC'!$A$170:$N$241, 2, FALSE))</f>
        <v>WP-BC, column 8, line 10d</v>
      </c>
      <c r="D152" s="696" t="s">
        <v>1122</v>
      </c>
      <c r="E152" s="689"/>
      <c r="F152" s="690"/>
      <c r="G152" s="680">
        <v>355</v>
      </c>
      <c r="H152" s="683"/>
      <c r="I152" s="682" t="s">
        <v>311</v>
      </c>
      <c r="J152" s="683"/>
      <c r="K152" s="684">
        <f>IFERROR(VLOOKUP(A152,'WP-BC'!A$18:AI$352,10,FALSE),0)</f>
        <v>46444</v>
      </c>
      <c r="L152" s="683"/>
      <c r="M152" s="598" t="s">
        <v>1123</v>
      </c>
    </row>
    <row r="153" spans="1:13" s="598" customFormat="1" ht="13.2">
      <c r="A153" s="677" t="str">
        <f t="shared" si="1"/>
        <v>MARCY-SOUTH355Poles &amp; Fixtures</v>
      </c>
      <c r="B153" s="678" t="s">
        <v>1209</v>
      </c>
      <c r="C153" s="358" t="str">
        <f>CONCATENATE("WP-BC, column 8, line ",VLOOKUP(A153,'WP-BC'!$A$170:$N$241, 2, FALSE))</f>
        <v>WP-BC, column 8, line 10s</v>
      </c>
      <c r="D153" s="696" t="s">
        <v>1125</v>
      </c>
      <c r="E153" s="689"/>
      <c r="F153" s="690"/>
      <c r="G153" s="680">
        <v>355</v>
      </c>
      <c r="H153" s="683"/>
      <c r="I153" s="682" t="s">
        <v>311</v>
      </c>
      <c r="J153" s="683"/>
      <c r="K153" s="684">
        <f>IFERROR(VLOOKUP(A153,'WP-BC'!A$18:AI$352,10,FALSE),0)</f>
        <v>4308389</v>
      </c>
      <c r="L153" s="683"/>
      <c r="M153" s="598" t="s">
        <v>1123</v>
      </c>
    </row>
    <row r="154" spans="1:13" s="598" customFormat="1" ht="13.2">
      <c r="A154" s="677" t="str">
        <f t="shared" ref="A154:A197" si="2">CONCATENATE(D154,G154,I154)</f>
        <v>MASSENA - MARCY  (Clark)355Poles &amp; Fixtures</v>
      </c>
      <c r="B154" s="678" t="s">
        <v>1210</v>
      </c>
      <c r="C154" s="358" t="str">
        <f>CONCATENATE("WP-BC, column 8, line ",VLOOKUP(A154,'WP-BC'!$A$170:$N$241, 2, FALSE))</f>
        <v>WP-BC, column 8, line 10ab</v>
      </c>
      <c r="D154" s="696" t="s">
        <v>1126</v>
      </c>
      <c r="E154" s="689"/>
      <c r="F154" s="690"/>
      <c r="G154" s="680">
        <v>355</v>
      </c>
      <c r="H154" s="683"/>
      <c r="I154" s="682" t="s">
        <v>311</v>
      </c>
      <c r="J154" s="683"/>
      <c r="K154" s="684">
        <f>IFERROR(VLOOKUP(A154,'WP-BC'!A$18:AI$352,10,FALSE),0)</f>
        <v>358995</v>
      </c>
      <c r="L154" s="683"/>
      <c r="M154" s="598" t="s">
        <v>1123</v>
      </c>
    </row>
    <row r="155" spans="1:13" s="598" customFormat="1" ht="13.2">
      <c r="A155" s="677" t="str">
        <f t="shared" si="2"/>
        <v>NIAGARA355Poles &amp; Fixtures</v>
      </c>
      <c r="B155" s="678" t="s">
        <v>1211</v>
      </c>
      <c r="C155" s="358" t="str">
        <f>CONCATENATE("WP-BC, column 8, line ",VLOOKUP(A155,'WP-BC'!$A$170:$N$241, 2, FALSE))</f>
        <v>WP-BC, column 8, line 10ah</v>
      </c>
      <c r="D155" s="696" t="s">
        <v>1127</v>
      </c>
      <c r="E155" s="689"/>
      <c r="F155" s="690"/>
      <c r="G155" s="680">
        <v>355</v>
      </c>
      <c r="H155" s="683"/>
      <c r="I155" s="682" t="s">
        <v>311</v>
      </c>
      <c r="J155" s="683"/>
      <c r="K155" s="684">
        <f>IFERROR(VLOOKUP(A155,'WP-BC'!A$18:AI$352,10,FALSE),0)</f>
        <v>673</v>
      </c>
      <c r="L155" s="683"/>
      <c r="M155" s="598" t="s">
        <v>1123</v>
      </c>
    </row>
    <row r="156" spans="1:13" s="598" customFormat="1" ht="13.2">
      <c r="A156" s="677" t="str">
        <f t="shared" si="2"/>
        <v>St.  LAWRENCE / FDR355Poles &amp; Fixtures</v>
      </c>
      <c r="B156" s="678" t="s">
        <v>1212</v>
      </c>
      <c r="C156" s="358" t="str">
        <f>CONCATENATE("WP-BC, column 8, line ",VLOOKUP(A156,'WP-BC'!$A$170:$N$241, 2, FALSE))</f>
        <v>WP-BC, column 8, line 10an</v>
      </c>
      <c r="D156" s="696" t="s">
        <v>1128</v>
      </c>
      <c r="E156" s="689"/>
      <c r="F156" s="690"/>
      <c r="G156" s="680">
        <v>355</v>
      </c>
      <c r="H156" s="683"/>
      <c r="I156" s="682" t="s">
        <v>311</v>
      </c>
      <c r="J156" s="683"/>
      <c r="K156" s="684">
        <f>IFERROR(VLOOKUP(A156,'WP-BC'!A$18:AI$352,10,FALSE),0)</f>
        <v>6318383</v>
      </c>
      <c r="L156" s="683"/>
      <c r="M156" s="598" t="s">
        <v>1123</v>
      </c>
    </row>
    <row r="157" spans="1:13" s="598" customFormat="1" ht="13.2">
      <c r="A157" s="677" t="str">
        <f t="shared" si="2"/>
        <v>355</v>
      </c>
      <c r="B157" s="697" t="s">
        <v>146</v>
      </c>
      <c r="C157" s="358"/>
      <c r="D157" s="685"/>
      <c r="E157" s="689"/>
      <c r="F157" s="689"/>
      <c r="G157" s="680">
        <v>355</v>
      </c>
      <c r="H157" s="680"/>
      <c r="I157" s="685"/>
      <c r="J157" s="683"/>
      <c r="K157" s="684">
        <f>IFERROR(VLOOKUP(A157,'WP-BC'!A$18:AI$352,10,FALSE),0)</f>
        <v>0</v>
      </c>
      <c r="L157" s="683"/>
    </row>
    <row r="158" spans="1:13" s="598" customFormat="1" ht="15">
      <c r="A158" s="677" t="str">
        <f t="shared" si="2"/>
        <v>355</v>
      </c>
      <c r="B158" s="697" t="s">
        <v>146</v>
      </c>
      <c r="C158" s="358"/>
      <c r="D158" s="685"/>
      <c r="E158" s="689"/>
      <c r="F158" s="689"/>
      <c r="G158" s="680">
        <v>355</v>
      </c>
      <c r="H158" s="680"/>
      <c r="I158" s="685"/>
      <c r="J158" s="683"/>
      <c r="K158" s="687">
        <f>IFERROR(VLOOKUP(A158,'WP-BC'!A$18:AI$359,10,FALSE),0)</f>
        <v>0</v>
      </c>
      <c r="L158" s="683"/>
    </row>
    <row r="159" spans="1:13" s="598" customFormat="1" ht="13.2">
      <c r="A159" s="677" t="str">
        <f t="shared" si="2"/>
        <v>355</v>
      </c>
      <c r="B159" s="678">
        <v>29</v>
      </c>
      <c r="C159"/>
      <c r="D159"/>
      <c r="E159" s="689"/>
      <c r="F159" s="690"/>
      <c r="G159" s="680">
        <v>355</v>
      </c>
      <c r="H159" s="691" t="s">
        <v>1213</v>
      </c>
      <c r="I159" s="683"/>
      <c r="J159" s="683"/>
      <c r="K159" s="695">
        <f>SUM(K152:K158)</f>
        <v>11032884</v>
      </c>
      <c r="L159" s="683"/>
    </row>
    <row r="160" spans="1:13" s="598" customFormat="1" ht="13.2">
      <c r="A160" s="677" t="str">
        <f t="shared" si="2"/>
        <v/>
      </c>
      <c r="B160" s="678"/>
      <c r="C160"/>
      <c r="D160"/>
      <c r="E160" s="689"/>
      <c r="F160" s="690"/>
      <c r="G160" s="680"/>
      <c r="H160" s="683"/>
      <c r="I160" s="683"/>
      <c r="J160" s="683"/>
      <c r="K160" s="684"/>
      <c r="L160" s="683"/>
    </row>
    <row r="161" spans="1:13" s="598" customFormat="1" ht="13.2">
      <c r="A161" s="677" t="str">
        <f t="shared" si="2"/>
        <v>BLENHEIM - GILBOA356Overhead Conductors &amp; Devices</v>
      </c>
      <c r="B161" s="678" t="s">
        <v>1214</v>
      </c>
      <c r="C161" s="358" t="str">
        <f>CONCATENATE("WP-BC, column 8, line ",VLOOKUP(A161,'WP-BC'!$A$170:$N$241, 2, FALSE))</f>
        <v>WP-BC, column 8, line 10e</v>
      </c>
      <c r="D161" s="696" t="s">
        <v>1122</v>
      </c>
      <c r="E161" s="689"/>
      <c r="F161" s="690"/>
      <c r="G161" s="680">
        <v>356</v>
      </c>
      <c r="H161" s="683"/>
      <c r="I161" s="682" t="s">
        <v>312</v>
      </c>
      <c r="J161" s="683"/>
      <c r="K161" s="684">
        <f>IFERROR(VLOOKUP(A161,'WP-BC'!A$18:AI$352,10,FALSE),0)</f>
        <v>140561</v>
      </c>
      <c r="L161" s="683"/>
      <c r="M161" s="598" t="s">
        <v>1123</v>
      </c>
    </row>
    <row r="162" spans="1:13" s="598" customFormat="1" ht="13.2">
      <c r="A162" s="677" t="str">
        <f t="shared" si="2"/>
        <v>J. A. FITZPATRICK356Overhead Conductors &amp; Devices</v>
      </c>
      <c r="B162" s="678" t="s">
        <v>1215</v>
      </c>
      <c r="C162" s="358" t="str">
        <f>CONCATENATE("WP-BC, column 8, line ",VLOOKUP(A162,'WP-BC'!$A$170:$N$241, 2, FALSE))</f>
        <v>WP-BC, column 8, line 10j</v>
      </c>
      <c r="D162" s="696" t="s">
        <v>1184</v>
      </c>
      <c r="E162" s="689"/>
      <c r="F162" s="690"/>
      <c r="G162" s="680">
        <v>356</v>
      </c>
      <c r="H162" s="683"/>
      <c r="I162" s="682" t="s">
        <v>312</v>
      </c>
      <c r="J162" s="683"/>
      <c r="K162" s="684">
        <f>IFERROR(VLOOKUP(A162,'WP-BC'!A$18:AI$352,10,FALSE),0)</f>
        <v>47317</v>
      </c>
      <c r="L162" s="683"/>
      <c r="M162" s="598" t="s">
        <v>1123</v>
      </c>
    </row>
    <row r="163" spans="1:13" s="598" customFormat="1" ht="13.2">
      <c r="A163" s="677" t="str">
        <f t="shared" si="2"/>
        <v>MARCY-SOUTH356Overhead Conductors &amp; Devices</v>
      </c>
      <c r="B163" s="678" t="s">
        <v>1216</v>
      </c>
      <c r="C163" s="358" t="str">
        <f>CONCATENATE("WP-BC, column 8, line ",VLOOKUP(A163,'WP-BC'!$A$170:$N$241, 2, FALSE))</f>
        <v>WP-BC, column 8, line 10t</v>
      </c>
      <c r="D163" s="696" t="s">
        <v>1125</v>
      </c>
      <c r="E163" s="689"/>
      <c r="F163" s="690"/>
      <c r="G163" s="680">
        <v>356</v>
      </c>
      <c r="H163" s="683"/>
      <c r="I163" s="682" t="s">
        <v>312</v>
      </c>
      <c r="J163" s="683"/>
      <c r="K163" s="684">
        <f>IFERROR(VLOOKUP(A163,'WP-BC'!A$18:AI$352,10,FALSE),0)</f>
        <v>2235221</v>
      </c>
      <c r="L163" s="683"/>
      <c r="M163" s="598" t="s">
        <v>1123</v>
      </c>
    </row>
    <row r="164" spans="1:13" s="598" customFormat="1" ht="13.2">
      <c r="A164" s="677" t="str">
        <f t="shared" si="2"/>
        <v>MASSENA - MARCY  (Clark)356Overhead Conductors &amp; Devices</v>
      </c>
      <c r="B164" s="678" t="s">
        <v>1217</v>
      </c>
      <c r="C164" s="358" t="str">
        <f>CONCATENATE("WP-BC, column 8, line ",VLOOKUP(A164,'WP-BC'!$A$170:$N$241, 2, FALSE))</f>
        <v>WP-BC, column 8, line 10ac</v>
      </c>
      <c r="D164" s="696" t="s">
        <v>1126</v>
      </c>
      <c r="E164" s="689"/>
      <c r="F164" s="690"/>
      <c r="G164" s="680">
        <v>356</v>
      </c>
      <c r="H164" s="683"/>
      <c r="I164" s="682" t="s">
        <v>312</v>
      </c>
      <c r="J164" s="683"/>
      <c r="K164" s="684">
        <f>IFERROR(VLOOKUP(A164,'WP-BC'!A$18:AI$352,10,FALSE),0)</f>
        <v>1035135</v>
      </c>
      <c r="L164" s="683"/>
      <c r="M164" s="598" t="s">
        <v>1123</v>
      </c>
    </row>
    <row r="165" spans="1:13" s="598" customFormat="1" ht="13.2">
      <c r="A165" s="677" t="str">
        <f t="shared" si="2"/>
        <v>NIAGARA356Overhead Conductors &amp; Devices</v>
      </c>
      <c r="B165" s="678" t="s">
        <v>1218</v>
      </c>
      <c r="C165" s="358" t="str">
        <f>CONCATENATE("WP-BC, column 8, line ",VLOOKUP(A165,'WP-BC'!$A$170:$N$241, 2, FALSE))</f>
        <v>WP-BC, column 8, line 10ai</v>
      </c>
      <c r="D165" s="696" t="s">
        <v>1127</v>
      </c>
      <c r="E165" s="689"/>
      <c r="F165" s="690"/>
      <c r="G165" s="680">
        <v>356</v>
      </c>
      <c r="H165" s="683"/>
      <c r="I165" s="682" t="s">
        <v>312</v>
      </c>
      <c r="J165" s="683"/>
      <c r="K165" s="684">
        <f>IFERROR(VLOOKUP(A165,'WP-BC'!A$18:AI$352,10,FALSE),0)</f>
        <v>1664861</v>
      </c>
      <c r="L165" s="683"/>
      <c r="M165" s="598" t="s">
        <v>1123</v>
      </c>
    </row>
    <row r="166" spans="1:13" s="598" customFormat="1" ht="13.2">
      <c r="A166" s="677" t="str">
        <f t="shared" si="2"/>
        <v>St.  LAWRENCE / FDR356Overhead Conductors &amp; Devices</v>
      </c>
      <c r="B166" s="678" t="s">
        <v>1219</v>
      </c>
      <c r="C166" s="358" t="str">
        <f>CONCATENATE("WP-BC, column 8, line ",VLOOKUP(A166,'WP-BC'!$A$170:$N$241, 2, FALSE))</f>
        <v>WP-BC, column 8, line 10ao</v>
      </c>
      <c r="D166" s="696" t="s">
        <v>1128</v>
      </c>
      <c r="E166" s="689"/>
      <c r="F166" s="690"/>
      <c r="G166" s="680">
        <v>356</v>
      </c>
      <c r="H166" s="683"/>
      <c r="I166" s="682" t="s">
        <v>312</v>
      </c>
      <c r="J166" s="683"/>
      <c r="K166" s="684">
        <f>IFERROR(VLOOKUP(A166,'WP-BC'!A$18:AI$352,10,FALSE),0)</f>
        <v>1904550</v>
      </c>
      <c r="L166" s="683"/>
      <c r="M166" s="598" t="s">
        <v>1123</v>
      </c>
    </row>
    <row r="167" spans="1:13" s="598" customFormat="1" ht="13.2">
      <c r="A167" s="677" t="str">
        <f t="shared" ref="A167:A168" si="3">CONCATENATE(D167,G167,I167)</f>
        <v>356</v>
      </c>
      <c r="B167" s="697" t="s">
        <v>146</v>
      </c>
      <c r="C167" s="358"/>
      <c r="D167" s="685"/>
      <c r="E167" s="689"/>
      <c r="F167" s="689"/>
      <c r="G167" s="680">
        <v>356</v>
      </c>
      <c r="H167" s="680"/>
      <c r="I167" s="685"/>
      <c r="J167" s="683"/>
      <c r="K167" s="684">
        <f>IFERROR(VLOOKUP(A167,'WP-BC'!A$18:AI$352,10,FALSE),0)</f>
        <v>0</v>
      </c>
      <c r="L167" s="683"/>
    </row>
    <row r="168" spans="1:13" s="598" customFormat="1" ht="15">
      <c r="A168" s="677" t="str">
        <f t="shared" si="3"/>
        <v>356</v>
      </c>
      <c r="B168" s="697" t="s">
        <v>146</v>
      </c>
      <c r="C168" s="358"/>
      <c r="D168" s="685"/>
      <c r="E168" s="689"/>
      <c r="F168" s="689"/>
      <c r="G168" s="680">
        <v>356</v>
      </c>
      <c r="H168" s="680"/>
      <c r="I168" s="685"/>
      <c r="J168" s="683"/>
      <c r="K168" s="687">
        <f>IFERROR(VLOOKUP(A168,'WP-BC'!A$18:AI$359,10,FALSE),0)</f>
        <v>0</v>
      </c>
      <c r="L168" s="683"/>
    </row>
    <row r="169" spans="1:13" s="598" customFormat="1" ht="13.2">
      <c r="A169" s="677" t="str">
        <f t="shared" si="2"/>
        <v>356</v>
      </c>
      <c r="B169" s="678">
        <v>31</v>
      </c>
      <c r="C169"/>
      <c r="D169"/>
      <c r="E169" s="689"/>
      <c r="F169" s="690"/>
      <c r="G169" s="680">
        <v>356</v>
      </c>
      <c r="H169" s="691" t="s">
        <v>1220</v>
      </c>
      <c r="I169" s="683"/>
      <c r="J169" s="683"/>
      <c r="K169" s="695">
        <f>SUM(K161:K168)</f>
        <v>7027645</v>
      </c>
      <c r="L169" s="683"/>
    </row>
    <row r="170" spans="1:13" s="598" customFormat="1" ht="13.2">
      <c r="A170" s="677" t="str">
        <f t="shared" si="2"/>
        <v/>
      </c>
      <c r="B170" s="678"/>
      <c r="C170"/>
      <c r="D170"/>
      <c r="E170" s="689"/>
      <c r="F170" s="690"/>
      <c r="G170" s="680"/>
      <c r="H170" s="683"/>
      <c r="I170" s="683"/>
      <c r="J170" s="683"/>
      <c r="K170" s="684"/>
      <c r="L170" s="683"/>
    </row>
    <row r="171" spans="1:13" s="598" customFormat="1" ht="13.2">
      <c r="A171" s="677" t="str">
        <f t="shared" si="2"/>
        <v>LONG ISLAND SOUND CABLE357Underground Conduit</v>
      </c>
      <c r="B171" s="678" t="s">
        <v>1221</v>
      </c>
      <c r="C171" s="358" t="str">
        <f>CONCATENATE("WP-BC, column 8, line ",VLOOKUP(A171,'WP-BC'!A170:N241, 2, FALSE))</f>
        <v>WP-BC, column 8, line 10n</v>
      </c>
      <c r="D171" s="696" t="s">
        <v>1163</v>
      </c>
      <c r="E171" s="689"/>
      <c r="F171" s="690"/>
      <c r="G171" s="680">
        <v>357</v>
      </c>
      <c r="H171" s="683"/>
      <c r="I171" s="682" t="s">
        <v>313</v>
      </c>
      <c r="J171" s="683"/>
      <c r="K171" s="684">
        <f>IFERROR(VLOOKUP(A171,'WP-BC'!A$18:AI$352,10,FALSE),0)</f>
        <v>47945</v>
      </c>
      <c r="L171" s="683"/>
      <c r="M171" s="598" t="s">
        <v>1123</v>
      </c>
    </row>
    <row r="172" spans="1:13" s="598" customFormat="1" ht="13.2">
      <c r="A172" s="677" t="str">
        <f t="shared" si="2"/>
        <v>MARCY-SOUTH357Underground Conduit</v>
      </c>
      <c r="B172" s="678" t="s">
        <v>1222</v>
      </c>
      <c r="C172" s="358" t="str">
        <f>CONCATENATE("WP-BC, column 8, line ",VLOOKUP(A172,'WP-BC'!A171:N242, 2, FALSE))</f>
        <v>WP-BC, column 8, line 10u</v>
      </c>
      <c r="D172" s="696" t="s">
        <v>1125</v>
      </c>
      <c r="E172" s="689"/>
      <c r="F172" s="690"/>
      <c r="G172" s="680">
        <v>357</v>
      </c>
      <c r="H172" s="683"/>
      <c r="I172" s="682" t="s">
        <v>313</v>
      </c>
      <c r="J172" s="683"/>
      <c r="K172" s="684">
        <f>IFERROR(VLOOKUP(A172,'WP-BC'!A$18:AI$352,10,FALSE),0)</f>
        <v>601301</v>
      </c>
      <c r="L172" s="683"/>
      <c r="M172" s="598" t="s">
        <v>1123</v>
      </c>
    </row>
    <row r="173" spans="1:13" s="598" customFormat="1" ht="13.2">
      <c r="A173" s="677" t="str">
        <f t="shared" si="2"/>
        <v>St.  LAWRENCE / FDR357Underground Conduit</v>
      </c>
      <c r="B173" s="678" t="s">
        <v>1223</v>
      </c>
      <c r="C173" s="358" t="str">
        <f>CONCATENATE("WP-BC, column 8, line ",VLOOKUP(A173,'WP-BC'!A172:N243, 2, FALSE))</f>
        <v>WP-BC, column 8, line 10ap</v>
      </c>
      <c r="D173" s="696" t="s">
        <v>1128</v>
      </c>
      <c r="E173" s="689"/>
      <c r="F173" s="690"/>
      <c r="G173" s="680">
        <v>357</v>
      </c>
      <c r="H173" s="683"/>
      <c r="I173" s="682" t="s">
        <v>313</v>
      </c>
      <c r="J173" s="683"/>
      <c r="K173" s="684">
        <f>IFERROR(VLOOKUP(A173,'WP-BC'!A$18:AI$352,10,FALSE),0)</f>
        <v>261</v>
      </c>
      <c r="L173" s="683"/>
      <c r="M173" s="598" t="s">
        <v>1123</v>
      </c>
    </row>
    <row r="174" spans="1:13" s="598" customFormat="1" ht="13.2">
      <c r="A174" s="677" t="str">
        <f t="shared" si="2"/>
        <v>357</v>
      </c>
      <c r="B174" s="697" t="s">
        <v>146</v>
      </c>
      <c r="C174" s="358"/>
      <c r="D174" s="685"/>
      <c r="E174" s="689"/>
      <c r="F174" s="689"/>
      <c r="G174" s="680">
        <v>357</v>
      </c>
      <c r="H174" s="680"/>
      <c r="I174" s="685"/>
      <c r="J174" s="683"/>
      <c r="K174" s="684">
        <f>IFERROR(VLOOKUP(A174,'WP-BC'!A$18:AI$352,10,FALSE),0)</f>
        <v>0</v>
      </c>
      <c r="L174" s="683"/>
    </row>
    <row r="175" spans="1:13" s="598" customFormat="1" ht="15">
      <c r="A175" s="677" t="str">
        <f t="shared" si="2"/>
        <v>357</v>
      </c>
      <c r="B175" s="697" t="s">
        <v>146</v>
      </c>
      <c r="C175" s="358"/>
      <c r="D175" s="685"/>
      <c r="E175" s="689"/>
      <c r="F175" s="689"/>
      <c r="G175" s="680">
        <v>357</v>
      </c>
      <c r="H175" s="680"/>
      <c r="I175" s="685"/>
      <c r="J175" s="683"/>
      <c r="K175" s="687">
        <f>IFERROR(VLOOKUP(A175,'WP-BC'!A$18:AI$359,10,FALSE),0)</f>
        <v>0</v>
      </c>
      <c r="L175" s="683"/>
    </row>
    <row r="176" spans="1:13" s="598" customFormat="1" ht="13.2">
      <c r="A176" s="677" t="str">
        <f t="shared" si="2"/>
        <v>357</v>
      </c>
      <c r="B176" s="678">
        <v>33</v>
      </c>
      <c r="C176"/>
      <c r="D176"/>
      <c r="E176" s="689"/>
      <c r="F176" s="690"/>
      <c r="G176" s="680">
        <v>357</v>
      </c>
      <c r="H176" s="691" t="s">
        <v>1224</v>
      </c>
      <c r="I176" s="683"/>
      <c r="J176" s="683"/>
      <c r="K176" s="695">
        <f>SUM(K171:K175)</f>
        <v>649507</v>
      </c>
      <c r="L176" s="683"/>
    </row>
    <row r="177" spans="1:13" s="598" customFormat="1" ht="13.2">
      <c r="A177" s="677" t="str">
        <f t="shared" si="2"/>
        <v/>
      </c>
      <c r="B177" s="678"/>
      <c r="C177"/>
      <c r="D177"/>
      <c r="E177" s="689"/>
      <c r="F177" s="690"/>
      <c r="G177" s="680"/>
      <c r="H177" s="683"/>
      <c r="I177" s="683"/>
      <c r="J177" s="683"/>
      <c r="K177" s="684"/>
      <c r="L177" s="683"/>
    </row>
    <row r="178" spans="1:13" s="598" customFormat="1" ht="13.2">
      <c r="A178" s="677" t="str">
        <f t="shared" si="2"/>
        <v>LONG ISLAND SOUND CABLE358Underground Conductors &amp; Devices</v>
      </c>
      <c r="B178" s="678" t="s">
        <v>1225</v>
      </c>
      <c r="C178" s="358" t="str">
        <f>CONCATENATE("WP-BC, column 8, line ",VLOOKUP(A178,'WP-BC'!$A$170:$N$241, 2, FALSE))</f>
        <v>WP-BC, column 8, line 10o</v>
      </c>
      <c r="D178" s="696" t="s">
        <v>1163</v>
      </c>
      <c r="E178" s="689"/>
      <c r="F178" s="690"/>
      <c r="G178" s="680">
        <v>358</v>
      </c>
      <c r="H178" s="683"/>
      <c r="I178" s="682" t="s">
        <v>314</v>
      </c>
      <c r="J178" s="683"/>
      <c r="K178" s="684">
        <f>IFERROR(VLOOKUP(A178,'WP-BC'!A$18:AI$352,10,FALSE),0)</f>
        <v>300035</v>
      </c>
      <c r="L178" s="683"/>
      <c r="M178" s="598" t="s">
        <v>1123</v>
      </c>
    </row>
    <row r="179" spans="1:13" s="598" customFormat="1" ht="13.2">
      <c r="A179" s="677" t="str">
        <f t="shared" si="2"/>
        <v>MARCY-SOUTH358Underground Conductors &amp; Devices</v>
      </c>
      <c r="B179" s="678" t="s">
        <v>1226</v>
      </c>
      <c r="C179" s="358" t="str">
        <f>CONCATENATE("WP-BC, column 8, line ",VLOOKUP(A179,'WP-BC'!$A$170:$N$241, 2, FALSE))</f>
        <v>WP-BC, column 8, line 10v</v>
      </c>
      <c r="D179" s="696" t="s">
        <v>1125</v>
      </c>
      <c r="E179" s="689"/>
      <c r="F179" s="690"/>
      <c r="G179" s="680">
        <v>358</v>
      </c>
      <c r="H179" s="683"/>
      <c r="I179" s="682" t="s">
        <v>314</v>
      </c>
      <c r="J179" s="683"/>
      <c r="K179" s="684">
        <f>IFERROR(VLOOKUP(A179,'WP-BC'!A$18:AI$352,10,FALSE),0)</f>
        <v>241026</v>
      </c>
      <c r="L179" s="683"/>
      <c r="M179" s="598" t="s">
        <v>1123</v>
      </c>
    </row>
    <row r="180" spans="1:13" s="598" customFormat="1" ht="13.2">
      <c r="A180" s="677" t="str">
        <f t="shared" si="2"/>
        <v>St.  LAWRENCE / FDR358Underground Conductors &amp; Devices</v>
      </c>
      <c r="B180" s="678" t="s">
        <v>1227</v>
      </c>
      <c r="C180" s="358" t="str">
        <f>CONCATENATE("WP-BC, column 8, line ",VLOOKUP(A180,'WP-BC'!$A$170:$N$241, 2, FALSE))</f>
        <v>WP-BC, column 8, line 10aq</v>
      </c>
      <c r="D180" s="696" t="s">
        <v>1128</v>
      </c>
      <c r="E180" s="689"/>
      <c r="F180" s="690"/>
      <c r="G180" s="680">
        <v>358</v>
      </c>
      <c r="H180" s="683"/>
      <c r="I180" s="682" t="s">
        <v>314</v>
      </c>
      <c r="J180" s="683"/>
      <c r="K180" s="684">
        <f>IFERROR(VLOOKUP(A180,'WP-BC'!A$18:AI$352,10,FALSE),0)</f>
        <v>550727</v>
      </c>
      <c r="L180" s="683"/>
      <c r="M180" s="598" t="s">
        <v>1123</v>
      </c>
    </row>
    <row r="181" spans="1:13" s="598" customFormat="1" ht="13.2">
      <c r="A181" s="677" t="str">
        <f t="shared" ref="A181:A182" si="4">CONCATENATE(D181,G181,I181)</f>
        <v>358</v>
      </c>
      <c r="B181" s="697" t="s">
        <v>146</v>
      </c>
      <c r="C181" s="358"/>
      <c r="D181" s="685"/>
      <c r="E181" s="689"/>
      <c r="F181" s="689"/>
      <c r="G181" s="680">
        <v>358</v>
      </c>
      <c r="H181" s="680"/>
      <c r="I181" s="685"/>
      <c r="J181" s="683"/>
      <c r="K181" s="684">
        <f>IFERROR(VLOOKUP(A181,'WP-BC'!A$18:AI$352,10,FALSE),0)</f>
        <v>0</v>
      </c>
      <c r="L181" s="683"/>
    </row>
    <row r="182" spans="1:13" s="598" customFormat="1" ht="15">
      <c r="A182" s="677" t="str">
        <f t="shared" si="4"/>
        <v>358</v>
      </c>
      <c r="B182" s="697" t="s">
        <v>146</v>
      </c>
      <c r="C182" s="358"/>
      <c r="D182" s="685"/>
      <c r="E182" s="689"/>
      <c r="F182" s="689"/>
      <c r="G182" s="680">
        <v>358</v>
      </c>
      <c r="H182" s="680"/>
      <c r="I182" s="685"/>
      <c r="J182" s="683"/>
      <c r="K182" s="687">
        <f>IFERROR(VLOOKUP(A182,'WP-BC'!A$18:AI$359,10,FALSE),0)</f>
        <v>0</v>
      </c>
      <c r="L182" s="683"/>
    </row>
    <row r="183" spans="1:13" s="598" customFormat="1" ht="13.2">
      <c r="A183" s="677" t="str">
        <f t="shared" si="2"/>
        <v>358</v>
      </c>
      <c r="B183" s="678">
        <v>35</v>
      </c>
      <c r="C183"/>
      <c r="D183" s="688"/>
      <c r="E183" s="689"/>
      <c r="F183" s="690"/>
      <c r="G183" s="680">
        <v>358</v>
      </c>
      <c r="H183" s="691" t="s">
        <v>1228</v>
      </c>
      <c r="I183" s="691"/>
      <c r="J183" s="683"/>
      <c r="K183" s="695">
        <f>SUM(K178:K182)</f>
        <v>1091788</v>
      </c>
      <c r="L183" s="683"/>
    </row>
    <row r="184" spans="1:13" s="598" customFormat="1" ht="13.2">
      <c r="A184" s="677" t="str">
        <f t="shared" si="2"/>
        <v/>
      </c>
      <c r="B184" s="678"/>
      <c r="C184"/>
      <c r="D184" s="688"/>
      <c r="E184" s="689"/>
      <c r="F184" s="690"/>
      <c r="G184" s="680"/>
      <c r="H184" s="683"/>
      <c r="I184" s="683"/>
      <c r="J184" s="683"/>
      <c r="K184" s="684"/>
      <c r="L184" s="683"/>
    </row>
    <row r="185" spans="1:13" s="598" customFormat="1" ht="13.2">
      <c r="A185" s="677" t="str">
        <f t="shared" si="2"/>
        <v>BLENHEIM - GILBOA359Roads &amp; Trails</v>
      </c>
      <c r="B185" s="678" t="s">
        <v>1229</v>
      </c>
      <c r="C185" s="358" t="str">
        <f>CONCATENATE("WP-BC, column 8, line ",VLOOKUP(A185,'WP-BC'!$A$170:$N$241, 2, FALSE))</f>
        <v>WP-BC, column 8, line 10f</v>
      </c>
      <c r="D185" s="696" t="s">
        <v>1122</v>
      </c>
      <c r="E185" s="689"/>
      <c r="F185" s="690"/>
      <c r="G185" s="680">
        <v>359</v>
      </c>
      <c r="H185" s="683"/>
      <c r="I185" s="682" t="s">
        <v>315</v>
      </c>
      <c r="J185" s="683"/>
      <c r="K185" s="684">
        <f>IFERROR(VLOOKUP(A185,'WP-BC'!A$18:AI$352,10,FALSE),0)</f>
        <v>8212</v>
      </c>
      <c r="L185" s="683"/>
      <c r="M185" s="598" t="s">
        <v>1123</v>
      </c>
    </row>
    <row r="186" spans="1:13" s="598" customFormat="1" ht="13.2">
      <c r="A186" s="677" t="str">
        <f t="shared" si="2"/>
        <v>J. A. FITZPATRICK359Roads &amp; Trails</v>
      </c>
      <c r="B186" s="678" t="s">
        <v>1230</v>
      </c>
      <c r="C186" s="358" t="str">
        <f>CONCATENATE("WP-BC, column 8, line ",VLOOKUP(A186,'WP-BC'!$A$170:$N$241, 2, FALSE))</f>
        <v>WP-BC, column 8, line 10k</v>
      </c>
      <c r="D186" s="696" t="s">
        <v>1184</v>
      </c>
      <c r="E186" s="689"/>
      <c r="F186" s="690"/>
      <c r="G186" s="680">
        <v>359</v>
      </c>
      <c r="H186" s="683"/>
      <c r="I186" s="682" t="s">
        <v>315</v>
      </c>
      <c r="J186" s="683"/>
      <c r="K186" s="684">
        <f>IFERROR(VLOOKUP(A186,'WP-BC'!A$18:AI$352,10,FALSE),0)</f>
        <v>769</v>
      </c>
      <c r="L186" s="683"/>
      <c r="M186" s="598" t="s">
        <v>1123</v>
      </c>
    </row>
    <row r="187" spans="1:13" s="598" customFormat="1" ht="13.2">
      <c r="A187" s="677" t="str">
        <f t="shared" si="2"/>
        <v>MARCY-SOUTH359Roads &amp; Trails</v>
      </c>
      <c r="B187" s="678" t="s">
        <v>1231</v>
      </c>
      <c r="C187" s="358" t="str">
        <f>CONCATENATE("WP-BC, column 8, line ",VLOOKUP(A187,'WP-BC'!$A$170:$N$241, 2, FALSE))</f>
        <v>WP-BC, column 8, line 10w</v>
      </c>
      <c r="D187" s="696" t="s">
        <v>1125</v>
      </c>
      <c r="E187" s="689"/>
      <c r="F187" s="690"/>
      <c r="G187" s="680">
        <v>359</v>
      </c>
      <c r="H187" s="683"/>
      <c r="I187" s="682" t="s">
        <v>315</v>
      </c>
      <c r="J187" s="683"/>
      <c r="K187" s="684">
        <f>IFERROR(VLOOKUP(A187,'WP-BC'!A$18:AI$352,10,FALSE),0)</f>
        <v>230625</v>
      </c>
      <c r="L187" s="683"/>
      <c r="M187" s="598" t="s">
        <v>1123</v>
      </c>
    </row>
    <row r="188" spans="1:13" s="598" customFormat="1" ht="13.2">
      <c r="A188" s="677" t="str">
        <f t="shared" si="2"/>
        <v>MASSENA - MARCY  (Clark)359Roads &amp; Trails</v>
      </c>
      <c r="B188" s="678" t="s">
        <v>1232</v>
      </c>
      <c r="C188" s="358" t="str">
        <f>CONCATENATE("WP-BC, column 8, line ",VLOOKUP(A188,'WP-BC'!$A$170:$N$241, 2, FALSE))</f>
        <v>WP-BC, column 8, line 10ad</v>
      </c>
      <c r="D188" s="696" t="s">
        <v>1126</v>
      </c>
      <c r="E188" s="689"/>
      <c r="F188" s="690"/>
      <c r="G188" s="680">
        <v>359</v>
      </c>
      <c r="H188" s="683"/>
      <c r="I188" s="682" t="s">
        <v>315</v>
      </c>
      <c r="J188" s="683"/>
      <c r="K188" s="684">
        <f>IFERROR(VLOOKUP(A188,'WP-BC'!A$18:AI$352,10,FALSE),0)</f>
        <v>43652</v>
      </c>
      <c r="L188" s="683"/>
      <c r="M188" s="598" t="s">
        <v>1123</v>
      </c>
    </row>
    <row r="189" spans="1:13" s="598" customFormat="1" ht="13.2">
      <c r="A189" s="677" t="str">
        <f t="shared" si="2"/>
        <v>NIAGARA359Roads &amp; Trails</v>
      </c>
      <c r="B189" s="678" t="s">
        <v>1233</v>
      </c>
      <c r="C189" s="358" t="str">
        <f>CONCATENATE("WP-BC, column 8, line ",VLOOKUP(A189,'WP-BC'!$A$170:$N$241, 2, FALSE))</f>
        <v>WP-BC, column 8, line 10aj</v>
      </c>
      <c r="D189" s="696" t="s">
        <v>1127</v>
      </c>
      <c r="E189" s="689"/>
      <c r="F189" s="690"/>
      <c r="G189" s="680">
        <v>359</v>
      </c>
      <c r="H189" s="683"/>
      <c r="I189" s="682" t="s">
        <v>315</v>
      </c>
      <c r="J189" s="683"/>
      <c r="K189" s="684">
        <f>IFERROR(VLOOKUP(A189,'WP-BC'!A$18:AI$352,10,FALSE),0)</f>
        <v>302</v>
      </c>
      <c r="L189" s="683"/>
      <c r="M189" s="598" t="s">
        <v>1123</v>
      </c>
    </row>
    <row r="190" spans="1:13" s="598" customFormat="1" ht="13.2">
      <c r="A190" s="677" t="str">
        <f t="shared" si="2"/>
        <v>St.  LAWRENCE / FDR359Roads &amp; Trails</v>
      </c>
      <c r="B190" s="678" t="s">
        <v>1234</v>
      </c>
      <c r="C190" s="358" t="str">
        <f>CONCATENATE("WP-BC, column 8, line ",VLOOKUP(A190,'WP-BC'!$A$170:$N$241, 2, FALSE))</f>
        <v>WP-BC, column 8, line 10ar</v>
      </c>
      <c r="D190" s="696" t="s">
        <v>1128</v>
      </c>
      <c r="E190" s="689"/>
      <c r="F190" s="690"/>
      <c r="G190" s="680">
        <v>359</v>
      </c>
      <c r="H190" s="683"/>
      <c r="I190" s="682" t="s">
        <v>315</v>
      </c>
      <c r="J190" s="683"/>
      <c r="K190" s="684">
        <f>IFERROR(VLOOKUP(A190,'WP-BC'!A$18:AI$352,10,FALSE),0)</f>
        <v>468392</v>
      </c>
      <c r="L190" s="683"/>
      <c r="M190" s="598" t="s">
        <v>1123</v>
      </c>
    </row>
    <row r="191" spans="1:13" s="598" customFormat="1" ht="13.2">
      <c r="A191" s="677" t="str">
        <f t="shared" si="2"/>
        <v>359</v>
      </c>
      <c r="B191" s="697" t="s">
        <v>146</v>
      </c>
      <c r="C191" s="358"/>
      <c r="D191" s="685"/>
      <c r="E191" s="689"/>
      <c r="F191" s="689"/>
      <c r="G191" s="680">
        <v>359</v>
      </c>
      <c r="H191" s="680"/>
      <c r="I191" s="685"/>
      <c r="J191" s="683"/>
      <c r="K191" s="684">
        <f>IFERROR(VLOOKUP(A191,'WP-BC'!A$18:AI$352,10,FALSE),0)</f>
        <v>0</v>
      </c>
      <c r="L191" s="683"/>
    </row>
    <row r="192" spans="1:13" s="598" customFormat="1" ht="15">
      <c r="A192" s="677" t="str">
        <f t="shared" si="2"/>
        <v>359</v>
      </c>
      <c r="B192" s="697" t="s">
        <v>146</v>
      </c>
      <c r="C192" s="358"/>
      <c r="D192" s="685"/>
      <c r="E192" s="689"/>
      <c r="F192" s="689"/>
      <c r="G192" s="680">
        <v>359</v>
      </c>
      <c r="H192" s="680"/>
      <c r="I192" s="685"/>
      <c r="J192" s="683"/>
      <c r="K192" s="687">
        <f>IFERROR(VLOOKUP(A192,'WP-BC'!A$18:AI$359,10,FALSE),0)</f>
        <v>0</v>
      </c>
      <c r="L192" s="683"/>
    </row>
    <row r="193" spans="1:14" s="598" customFormat="1" ht="13.2">
      <c r="A193" s="677" t="str">
        <f t="shared" si="2"/>
        <v>359</v>
      </c>
      <c r="B193" s="678">
        <v>37</v>
      </c>
      <c r="D193" s="701"/>
      <c r="G193" s="680">
        <v>359</v>
      </c>
      <c r="H193" s="691" t="s">
        <v>1235</v>
      </c>
      <c r="I193" s="691"/>
      <c r="K193" s="695">
        <f>SUM(K185:K192)</f>
        <v>751952</v>
      </c>
    </row>
    <row r="194" spans="1:14" s="598" customFormat="1" ht="13.2">
      <c r="A194" s="677"/>
      <c r="B194" s="678"/>
      <c r="D194" s="701"/>
      <c r="G194" s="680"/>
      <c r="H194" s="691"/>
      <c r="I194" s="691"/>
      <c r="K194" s="695"/>
    </row>
    <row r="195" spans="1:14" s="598" customFormat="1" ht="13.2">
      <c r="A195" s="677" t="str">
        <f t="shared" si="2"/>
        <v/>
      </c>
      <c r="B195" s="358" t="s">
        <v>146</v>
      </c>
      <c r="C195" s="358"/>
      <c r="D195" s="702"/>
      <c r="E195" s="358"/>
      <c r="F195" s="358"/>
      <c r="G195" s="681"/>
      <c r="H195" s="682"/>
      <c r="I195" s="682"/>
      <c r="J195" s="358"/>
      <c r="K195" s="700"/>
    </row>
    <row r="196" spans="1:14" s="598" customFormat="1" ht="13.2">
      <c r="A196" s="703"/>
      <c r="D196" s="701"/>
      <c r="G196" s="680"/>
      <c r="H196" s="683"/>
      <c r="I196" s="683"/>
      <c r="K196" s="695"/>
    </row>
    <row r="197" spans="1:14" s="598" customFormat="1" ht="15.6">
      <c r="A197" s="677" t="str">
        <f t="shared" si="2"/>
        <v/>
      </c>
      <c r="B197" s="678">
        <v>38</v>
      </c>
      <c r="C197" s="579" t="s">
        <v>1236</v>
      </c>
      <c r="D197" s="701"/>
      <c r="G197" s="675"/>
      <c r="K197" s="700">
        <f>K193+K183+K176+K169+K159+K150+K140+K128</f>
        <v>49050379</v>
      </c>
    </row>
    <row r="198" spans="1:14" s="598" customFormat="1" ht="15.6">
      <c r="A198" s="674"/>
      <c r="C198" s="579"/>
      <c r="D198" s="701"/>
      <c r="G198" s="675"/>
      <c r="K198" s="695"/>
    </row>
    <row r="199" spans="1:14" s="588" customFormat="1" ht="15.6">
      <c r="A199" s="659"/>
      <c r="C199" s="661"/>
      <c r="D199" s="671"/>
      <c r="G199" s="672"/>
      <c r="K199" s="704"/>
    </row>
    <row r="200" spans="1:14" s="588" customFormat="1" ht="15.6">
      <c r="A200" s="659"/>
      <c r="C200" s="661"/>
      <c r="D200" s="671"/>
      <c r="G200" s="672"/>
      <c r="K200" s="704"/>
    </row>
    <row r="201" spans="1:14" s="588" customFormat="1" ht="15.6">
      <c r="A201" s="659"/>
      <c r="C201" s="661"/>
      <c r="D201" s="671"/>
      <c r="G201" s="672"/>
      <c r="K201" s="704"/>
    </row>
    <row r="202" spans="1:14" s="588" customFormat="1" ht="15.6">
      <c r="A202" s="659"/>
      <c r="C202" s="661"/>
      <c r="D202" s="671"/>
      <c r="G202" s="672"/>
      <c r="K202" s="704"/>
    </row>
    <row r="203" spans="1:14" s="588" customFormat="1" ht="13.8">
      <c r="A203" s="659"/>
      <c r="D203" s="671"/>
      <c r="G203" s="672"/>
      <c r="K203" s="673"/>
    </row>
    <row r="204" spans="1:14" s="588" customFormat="1" ht="13.8">
      <c r="A204" s="659"/>
      <c r="D204" s="671"/>
      <c r="G204" s="672"/>
      <c r="K204" s="673"/>
    </row>
    <row r="205" spans="1:14" s="588" customFormat="1" ht="13.8">
      <c r="A205" s="659"/>
      <c r="D205" s="671"/>
      <c r="G205" s="672"/>
      <c r="K205" s="673"/>
    </row>
    <row r="206" spans="1:14" s="222" customFormat="1" ht="18">
      <c r="A206" s="705"/>
      <c r="D206" s="706"/>
      <c r="E206" s="707"/>
      <c r="F206" s="707"/>
      <c r="G206" s="708"/>
      <c r="H206" s="707"/>
      <c r="I206" s="707"/>
      <c r="J206" s="707"/>
      <c r="K206" s="709"/>
      <c r="L206" s="707"/>
      <c r="M206" s="707"/>
      <c r="N206" s="707"/>
    </row>
    <row r="207" spans="1:14" s="222" customFormat="1" ht="18">
      <c r="A207" s="705"/>
      <c r="D207" s="706"/>
      <c r="E207" s="707"/>
      <c r="F207" s="707"/>
      <c r="G207" s="708"/>
      <c r="H207" s="707"/>
      <c r="I207" s="707"/>
      <c r="J207" s="707"/>
      <c r="K207" s="709"/>
      <c r="M207" s="707"/>
      <c r="N207" s="707"/>
    </row>
    <row r="208" spans="1:14" s="222" customFormat="1" ht="18">
      <c r="A208" s="705"/>
      <c r="D208" s="706"/>
      <c r="E208" s="707"/>
      <c r="F208" s="707"/>
      <c r="G208" s="708"/>
      <c r="H208" s="707"/>
      <c r="I208" s="707"/>
      <c r="J208" s="707"/>
      <c r="K208" s="709"/>
      <c r="M208" s="707"/>
      <c r="N208" s="707"/>
    </row>
    <row r="209" spans="1:14" s="222" customFormat="1" ht="18">
      <c r="A209" s="705"/>
      <c r="D209" s="706"/>
      <c r="E209" s="707"/>
      <c r="F209" s="707"/>
      <c r="G209" s="707"/>
      <c r="H209" s="707"/>
      <c r="I209" s="707"/>
      <c r="J209" s="707"/>
      <c r="K209" s="709"/>
      <c r="M209" s="708"/>
      <c r="N209" s="707"/>
    </row>
    <row r="210" spans="1:14" s="222" customFormat="1" ht="18">
      <c r="A210" s="705"/>
      <c r="D210" s="706"/>
      <c r="E210" s="707"/>
      <c r="F210" s="707"/>
      <c r="G210" s="707"/>
      <c r="H210" s="707"/>
      <c r="I210" s="707"/>
      <c r="J210" s="707"/>
      <c r="K210" s="709"/>
      <c r="L210" s="708"/>
      <c r="M210" s="708"/>
      <c r="N210" s="707"/>
    </row>
    <row r="211" spans="1:14" s="222" customFormat="1" ht="18">
      <c r="A211" s="705"/>
      <c r="D211" s="706"/>
      <c r="E211" s="707"/>
      <c r="F211" s="710"/>
      <c r="G211" s="707"/>
      <c r="H211" s="707"/>
      <c r="I211" s="707"/>
      <c r="J211" s="710"/>
      <c r="K211" s="709"/>
      <c r="L211" s="710"/>
      <c r="M211" s="710"/>
      <c r="N211" s="707"/>
    </row>
    <row r="212" spans="1:14" s="222" customFormat="1" ht="18">
      <c r="A212" s="705"/>
      <c r="D212" s="706"/>
      <c r="E212" s="707"/>
      <c r="F212" s="707"/>
      <c r="G212" s="707"/>
      <c r="H212" s="707"/>
      <c r="I212" s="707"/>
      <c r="J212" s="708"/>
      <c r="K212" s="709"/>
      <c r="L212" s="708"/>
      <c r="M212" s="708"/>
      <c r="N212" s="707"/>
    </row>
    <row r="213" spans="1:14" s="222" customFormat="1" ht="18">
      <c r="A213" s="705"/>
      <c r="D213" s="706"/>
      <c r="E213" s="707"/>
      <c r="F213" s="707"/>
      <c r="G213" s="707"/>
      <c r="H213" s="707"/>
      <c r="I213" s="707"/>
      <c r="J213" s="708"/>
      <c r="K213" s="709"/>
      <c r="L213" s="708"/>
      <c r="M213" s="708"/>
      <c r="N213" s="707"/>
    </row>
    <row r="214" spans="1:14" s="222" customFormat="1" ht="18">
      <c r="A214" s="705"/>
      <c r="D214" s="711"/>
      <c r="E214" s="712"/>
      <c r="F214" s="712"/>
      <c r="G214" s="707"/>
      <c r="H214" s="707"/>
      <c r="I214" s="707"/>
      <c r="J214" s="713"/>
      <c r="K214" s="709"/>
      <c r="L214" s="707"/>
      <c r="M214" s="707"/>
      <c r="N214" s="707"/>
    </row>
    <row r="215" spans="1:14" s="222" customFormat="1" ht="18">
      <c r="A215" s="705"/>
      <c r="D215" s="711"/>
      <c r="E215" s="712"/>
      <c r="F215" s="712"/>
      <c r="G215" s="707"/>
      <c r="H215" s="707"/>
      <c r="I215" s="707"/>
      <c r="J215" s="713"/>
      <c r="K215" s="709"/>
      <c r="L215" s="707"/>
      <c r="M215" s="707"/>
      <c r="N215" s="707"/>
    </row>
    <row r="216" spans="1:14" s="222" customFormat="1" ht="18">
      <c r="A216" s="705"/>
      <c r="D216" s="711"/>
      <c r="E216" s="712"/>
      <c r="F216" s="712"/>
      <c r="G216" s="707"/>
      <c r="H216" s="707"/>
      <c r="I216" s="707"/>
      <c r="J216" s="713"/>
      <c r="K216" s="709"/>
      <c r="L216" s="707"/>
      <c r="M216" s="707"/>
      <c r="N216" s="707"/>
    </row>
    <row r="217" spans="1:14" s="222" customFormat="1" ht="18">
      <c r="A217" s="705"/>
      <c r="D217" s="711"/>
      <c r="E217" s="712"/>
      <c r="F217" s="712"/>
      <c r="G217" s="707"/>
      <c r="H217" s="707"/>
      <c r="I217" s="707"/>
      <c r="J217" s="713"/>
      <c r="K217" s="709"/>
      <c r="L217" s="707"/>
      <c r="M217" s="707"/>
      <c r="N217" s="707"/>
    </row>
    <row r="218" spans="1:14" s="222" customFormat="1" ht="18">
      <c r="A218" s="705"/>
      <c r="D218" s="711"/>
      <c r="E218" s="712"/>
      <c r="F218" s="712"/>
      <c r="G218" s="707"/>
      <c r="H218" s="707"/>
      <c r="I218" s="707"/>
      <c r="J218" s="713"/>
      <c r="K218" s="709"/>
      <c r="L218" s="707"/>
      <c r="M218" s="707"/>
      <c r="N218" s="707"/>
    </row>
    <row r="219" spans="1:14" s="222" customFormat="1" ht="18">
      <c r="A219" s="705"/>
      <c r="D219" s="711"/>
      <c r="E219" s="712"/>
      <c r="F219" s="712"/>
      <c r="G219" s="707"/>
      <c r="H219" s="707"/>
      <c r="I219" s="714"/>
      <c r="J219" s="715"/>
      <c r="K219" s="709"/>
      <c r="L219" s="707"/>
      <c r="M219" s="707"/>
      <c r="N219" s="707"/>
    </row>
    <row r="220" spans="1:14" s="222" customFormat="1" ht="18">
      <c r="A220" s="705"/>
      <c r="D220" s="711"/>
      <c r="E220" s="712"/>
      <c r="F220" s="712"/>
      <c r="G220" s="707"/>
      <c r="H220" s="707"/>
      <c r="I220" s="707"/>
      <c r="J220" s="713"/>
      <c r="K220" s="709"/>
      <c r="L220" s="707"/>
      <c r="M220" s="707"/>
      <c r="N220" s="707"/>
    </row>
    <row r="221" spans="1:14" s="222" customFormat="1" ht="18">
      <c r="A221" s="705"/>
      <c r="D221" s="711"/>
      <c r="E221" s="712"/>
      <c r="F221" s="712"/>
      <c r="G221" s="707"/>
      <c r="H221" s="707"/>
      <c r="I221" s="707"/>
      <c r="J221" s="713"/>
      <c r="K221" s="709"/>
      <c r="L221" s="707"/>
      <c r="M221" s="707"/>
      <c r="N221" s="707"/>
    </row>
    <row r="222" spans="1:14" s="222" customFormat="1" ht="18">
      <c r="A222" s="705"/>
      <c r="D222" s="711"/>
      <c r="E222" s="712"/>
      <c r="F222" s="712"/>
      <c r="G222" s="707"/>
      <c r="H222" s="707"/>
      <c r="I222" s="707"/>
      <c r="J222" s="713"/>
      <c r="K222" s="709"/>
      <c r="L222" s="707"/>
      <c r="M222" s="707"/>
      <c r="N222" s="707"/>
    </row>
    <row r="223" spans="1:14" ht="17.399999999999999">
      <c r="D223" s="716"/>
      <c r="E223" s="245"/>
      <c r="F223" s="717"/>
      <c r="G223" s="218"/>
      <c r="H223" s="218"/>
      <c r="I223" s="718"/>
      <c r="J223" s="718"/>
      <c r="K223" s="719"/>
      <c r="L223" s="218"/>
      <c r="M223" s="218"/>
      <c r="N223" s="218"/>
    </row>
    <row r="224" spans="1:14" ht="17.399999999999999">
      <c r="D224" s="716"/>
      <c r="E224" s="245"/>
      <c r="F224" s="218"/>
      <c r="G224" s="218"/>
      <c r="H224" s="218"/>
      <c r="I224" s="218"/>
      <c r="J224" s="718"/>
      <c r="K224" s="719"/>
      <c r="L224" s="218"/>
      <c r="M224" s="218"/>
      <c r="N224" s="218"/>
    </row>
    <row r="225" spans="4:14" ht="17.399999999999999">
      <c r="D225" s="656"/>
      <c r="E225" s="218"/>
      <c r="F225" s="218"/>
      <c r="G225" s="218"/>
      <c r="H225" s="218"/>
      <c r="I225" s="218"/>
      <c r="J225" s="218"/>
      <c r="K225" s="719"/>
      <c r="L225" s="218"/>
      <c r="M225" s="218"/>
      <c r="N225" s="218"/>
    </row>
    <row r="226" spans="4:14" ht="17.399999999999999">
      <c r="D226" s="656"/>
      <c r="E226" s="218"/>
      <c r="F226" s="218"/>
      <c r="G226" s="218"/>
      <c r="H226" s="218"/>
      <c r="I226" s="218"/>
      <c r="J226" s="720"/>
      <c r="K226" s="655"/>
      <c r="L226" s="218"/>
      <c r="M226" s="218"/>
      <c r="N226" s="218"/>
    </row>
    <row r="227" spans="4:14" ht="17.399999999999999">
      <c r="D227" s="656"/>
      <c r="E227" s="218"/>
      <c r="F227" s="218"/>
      <c r="G227" s="218"/>
      <c r="H227" s="218"/>
      <c r="I227" s="218"/>
      <c r="J227" s="721"/>
      <c r="K227" s="655"/>
      <c r="L227" s="218"/>
      <c r="M227" s="218"/>
      <c r="N227" s="218"/>
    </row>
    <row r="228" spans="4:14" ht="17.399999999999999">
      <c r="D228" s="656"/>
      <c r="E228" s="218"/>
      <c r="F228" s="218"/>
      <c r="G228" s="218"/>
      <c r="H228" s="218"/>
      <c r="I228" s="218"/>
      <c r="J228" s="218"/>
      <c r="K228" s="655"/>
      <c r="L228" s="218"/>
      <c r="M228" s="218"/>
      <c r="N228" s="218"/>
    </row>
    <row r="229" spans="4:14" ht="17.399999999999999">
      <c r="D229" s="656"/>
      <c r="E229" s="218"/>
      <c r="F229" s="1264"/>
      <c r="G229" s="218"/>
      <c r="H229" s="218"/>
      <c r="I229" s="218"/>
      <c r="J229" s="718"/>
      <c r="K229" s="655"/>
      <c r="L229" s="722"/>
      <c r="M229" s="718"/>
      <c r="N229" s="221"/>
    </row>
    <row r="230" spans="4:14" ht="17.399999999999999">
      <c r="D230" s="656"/>
      <c r="E230" s="218"/>
      <c r="F230" s="218"/>
      <c r="G230" s="218"/>
      <c r="H230" s="218"/>
      <c r="I230" s="218"/>
      <c r="J230" s="218"/>
      <c r="K230" s="655"/>
      <c r="L230" s="218"/>
      <c r="M230" s="218"/>
      <c r="N230" s="218"/>
    </row>
    <row r="231" spans="4:14" ht="17.399999999999999">
      <c r="D231" s="656"/>
      <c r="E231" s="218"/>
      <c r="F231" s="218"/>
      <c r="G231" s="218"/>
      <c r="H231" s="218"/>
      <c r="I231" s="218"/>
      <c r="J231" s="218"/>
      <c r="K231" s="655"/>
      <c r="L231" s="218"/>
      <c r="M231" s="218"/>
      <c r="N231" s="218"/>
    </row>
    <row r="232" spans="4:14" ht="17.399999999999999">
      <c r="D232" s="656"/>
      <c r="E232" s="218"/>
      <c r="F232" s="218"/>
      <c r="G232" s="218"/>
      <c r="H232" s="218"/>
      <c r="I232" s="218"/>
      <c r="J232" s="218"/>
      <c r="K232" s="655"/>
      <c r="L232" s="218"/>
      <c r="M232" s="218"/>
      <c r="N232" s="218"/>
    </row>
    <row r="233" spans="4:14" ht="17.399999999999999">
      <c r="D233" s="723"/>
      <c r="E233" s="221"/>
      <c r="F233" s="221"/>
      <c r="G233" s="221"/>
      <c r="H233" s="221"/>
      <c r="I233" s="218"/>
      <c r="J233" s="218"/>
      <c r="K233" s="655"/>
      <c r="L233" s="218"/>
      <c r="M233" s="218"/>
      <c r="N233" s="218"/>
    </row>
    <row r="234" spans="4:14" ht="17.399999999999999">
      <c r="D234" s="723"/>
      <c r="E234" s="221"/>
      <c r="F234" s="221"/>
      <c r="G234" s="221"/>
      <c r="H234" s="221"/>
      <c r="I234" s="218"/>
      <c r="J234" s="720"/>
      <c r="K234" s="655"/>
      <c r="L234" s="218"/>
      <c r="M234" s="218"/>
      <c r="N234" s="218"/>
    </row>
    <row r="235" spans="4:14" ht="17.399999999999999">
      <c r="D235" s="656"/>
      <c r="E235" s="218"/>
      <c r="F235" s="218"/>
      <c r="G235" s="218"/>
      <c r="H235" s="218"/>
      <c r="I235" s="218"/>
      <c r="J235" s="218"/>
      <c r="K235" s="655"/>
      <c r="L235" s="218"/>
      <c r="M235" s="218"/>
      <c r="N235" s="218"/>
    </row>
    <row r="236" spans="4:14" ht="17.399999999999999">
      <c r="D236" s="656"/>
      <c r="E236" s="218"/>
      <c r="F236" s="218"/>
      <c r="G236" s="218"/>
      <c r="H236" s="218"/>
      <c r="I236" s="218"/>
      <c r="J236" s="218"/>
      <c r="K236" s="655"/>
      <c r="L236" s="218"/>
      <c r="M236" s="218"/>
      <c r="N236" s="218"/>
    </row>
    <row r="237" spans="4:14" ht="17.399999999999999">
      <c r="D237" s="656"/>
      <c r="E237" s="218"/>
      <c r="F237" s="218"/>
      <c r="G237" s="218"/>
      <c r="H237" s="218"/>
      <c r="I237" s="218"/>
      <c r="J237" s="218"/>
      <c r="K237" s="655"/>
      <c r="L237" s="218"/>
      <c r="M237" s="218"/>
      <c r="N237" s="218"/>
    </row>
    <row r="238" spans="4:14" ht="17.399999999999999">
      <c r="D238" s="656"/>
      <c r="E238" s="218"/>
      <c r="F238" s="218"/>
      <c r="G238" s="218"/>
      <c r="H238" s="218"/>
      <c r="I238" s="218"/>
      <c r="J238" s="218"/>
      <c r="K238" s="655"/>
      <c r="L238" s="218"/>
      <c r="M238" s="218"/>
      <c r="N238" s="218"/>
    </row>
  </sheetData>
  <customSheetViews>
    <customSheetView guid="{343BF296-013A-41F5-BDAB-AD6220EA7F78}" scale="85" colorId="22" showPageBreaks="1" showGridLines="0" printArea="1" hiddenColumns="1" view="pageBreakPreview" topLeftCell="B1">
      <selection activeCell="D33" sqref="D33"/>
      <rowBreaks count="1" manualBreakCount="1">
        <brk id="105" min="1" max="13" man="1"/>
      </rowBreaks>
      <colBreaks count="1" manualBreakCount="1">
        <brk id="17" max="1048575" man="1"/>
      </colBreaks>
      <pageMargins left="0" right="0" top="0" bottom="0" header="0" footer="0"/>
      <printOptions horizontalCentered="1"/>
      <pageSetup scale="50" orientation="portrait" r:id="rId1"/>
      <headerFooter alignWithMargins="0"/>
    </customSheetView>
    <customSheetView guid="{B321D76C-CDE5-48BB-9CDE-80FF97D58FCF}" scale="85" colorId="22" showPageBreaks="1" showGridLines="0" printArea="1" hiddenColumns="1" view="pageBreakPreview" topLeftCell="B163">
      <selection activeCell="D33" sqref="D33"/>
      <rowBreaks count="1" manualBreakCount="1">
        <brk id="105" min="1" max="13" man="1"/>
      </rowBreaks>
      <colBreaks count="1" manualBreakCount="1">
        <brk id="17" max="1048575" man="1"/>
      </colBreaks>
      <pageMargins left="0" right="0" top="0" bottom="0" header="0" footer="0"/>
      <printOptions horizontalCentered="1"/>
      <pageSetup scale="50" orientation="portrait" r:id="rId2"/>
      <headerFooter alignWithMargins="0"/>
    </customSheetView>
  </customSheetViews>
  <mergeCells count="6">
    <mergeCell ref="B7:N7"/>
    <mergeCell ref="B10:N10"/>
    <mergeCell ref="B3:N3"/>
    <mergeCell ref="B4:N4"/>
    <mergeCell ref="B8:N8"/>
    <mergeCell ref="B5:N5"/>
  </mergeCells>
  <printOptions horizontalCentered="1"/>
  <pageMargins left="0.5" right="0.5" top="0.25" bottom="0.25" header="0" footer="0"/>
  <pageSetup scale="48" fitToHeight="2" orientation="portrait" r:id="rId3"/>
  <headerFooter alignWithMargins="0"/>
  <rowBreaks count="2" manualBreakCount="2">
    <brk id="105" min="1" max="13" man="1"/>
    <brk id="116" min="1" max="13" man="1"/>
  </rowBreaks>
  <ignoredErrors>
    <ignoredError sqref="D11:K11" numberStoredAsText="1"/>
  </ignoredErrors>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0070C0"/>
  </sheetPr>
  <dimension ref="A1:Y147"/>
  <sheetViews>
    <sheetView view="pageBreakPreview" topLeftCell="E1" zoomScale="70" zoomScaleNormal="100" zoomScaleSheetLayoutView="70" workbookViewId="0">
      <selection activeCell="AE138" sqref="AE138"/>
    </sheetView>
  </sheetViews>
  <sheetFormatPr defaultColWidth="19.33203125" defaultRowHeight="15.6"/>
  <cols>
    <col min="1" max="1" width="6.21875" style="584" hidden="1" customWidth="1"/>
    <col min="2" max="2" width="2.33203125" style="584" hidden="1" customWidth="1"/>
    <col min="3" max="3" width="34" style="585" hidden="1" customWidth="1"/>
    <col min="4" max="4" width="36.33203125" style="585" hidden="1" customWidth="1"/>
    <col min="5" max="5" width="10.21875" style="586" customWidth="1"/>
    <col min="6" max="6" width="22.109375" style="586" customWidth="1"/>
    <col min="7" max="7" width="5.77734375" style="586" customWidth="1"/>
    <col min="8" max="8" width="33.33203125" style="647" bestFit="1" customWidth="1"/>
    <col min="9" max="9" width="43.33203125" style="584" customWidth="1"/>
    <col min="10" max="10" width="2.21875" style="584" customWidth="1"/>
    <col min="11" max="11" width="29.109375" style="584" customWidth="1"/>
    <col min="12" max="12" width="21" style="584" bestFit="1" customWidth="1"/>
    <col min="13" max="13" width="20.21875" style="584" bestFit="1" customWidth="1"/>
    <col min="14" max="14" width="17.33203125" style="584" customWidth="1"/>
    <col min="15" max="15" width="16.33203125" style="584" bestFit="1" customWidth="1"/>
    <col min="16" max="16" width="20.77734375" style="584" customWidth="1"/>
    <col min="17" max="17" width="20.21875" style="584" bestFit="1" customWidth="1"/>
    <col min="18" max="18" width="17.33203125" style="424" customWidth="1"/>
    <col min="19" max="19" width="19.33203125" style="584" hidden="1" customWidth="1"/>
    <col min="20" max="20" width="2.21875" style="584" hidden="1" customWidth="1"/>
    <col min="21" max="21" width="19.33203125" style="584" hidden="1" customWidth="1"/>
    <col min="22" max="22" width="2.21875" style="584" hidden="1" customWidth="1"/>
    <col min="23" max="24" width="19.33203125" style="584" hidden="1" customWidth="1"/>
    <col min="25" max="248" width="19.33203125" style="584"/>
    <col min="249" max="249" width="6.33203125" style="584" customWidth="1"/>
    <col min="250" max="250" width="10.33203125" style="584" customWidth="1"/>
    <col min="251" max="251" width="6.21875" style="584" customWidth="1"/>
    <col min="252" max="252" width="35.33203125" style="584" customWidth="1"/>
    <col min="253" max="253" width="4.77734375" style="584" customWidth="1"/>
    <col min="254" max="254" width="39" style="584" customWidth="1"/>
    <col min="255" max="255" width="5" style="584" customWidth="1"/>
    <col min="256" max="256" width="19.33203125" style="584" customWidth="1"/>
    <col min="257" max="257" width="2.33203125" style="584" customWidth="1"/>
    <col min="258" max="258" width="19.33203125" style="584" customWidth="1"/>
    <col min="259" max="259" width="2.33203125" style="584" customWidth="1"/>
    <col min="260" max="260" width="19.33203125" style="584" customWidth="1"/>
    <col min="261" max="261" width="19.33203125" style="584"/>
    <col min="262" max="262" width="6.33203125" style="584" customWidth="1"/>
    <col min="263" max="263" width="19.33203125" style="584" customWidth="1"/>
    <col min="264" max="264" width="2.33203125" style="584" customWidth="1"/>
    <col min="265" max="265" width="19.33203125" style="584" customWidth="1"/>
    <col min="266" max="266" width="2.33203125" style="584" customWidth="1"/>
    <col min="267" max="267" width="19.33203125" style="584"/>
    <col min="268" max="268" width="6.33203125" style="584" customWidth="1"/>
    <col min="269" max="269" width="19.33203125" style="584" customWidth="1"/>
    <col min="270" max="270" width="2.33203125" style="584" customWidth="1"/>
    <col min="271" max="271" width="19.33203125" style="584" customWidth="1"/>
    <col min="272" max="272" width="2.33203125" style="584" customWidth="1"/>
    <col min="273" max="273" width="19.33203125" style="584" customWidth="1"/>
    <col min="274" max="274" width="6.33203125" style="584" customWidth="1"/>
    <col min="275" max="275" width="19.33203125" style="584" customWidth="1"/>
    <col min="276" max="276" width="2.21875" style="584" customWidth="1"/>
    <col min="277" max="277" width="19.33203125" style="584"/>
    <col min="278" max="278" width="2.21875" style="584" customWidth="1"/>
    <col min="279" max="504" width="19.33203125" style="584"/>
    <col min="505" max="505" width="6.33203125" style="584" customWidth="1"/>
    <col min="506" max="506" width="10.33203125" style="584" customWidth="1"/>
    <col min="507" max="507" width="6.21875" style="584" customWidth="1"/>
    <col min="508" max="508" width="35.33203125" style="584" customWidth="1"/>
    <col min="509" max="509" width="4.77734375" style="584" customWidth="1"/>
    <col min="510" max="510" width="39" style="584" customWidth="1"/>
    <col min="511" max="511" width="5" style="584" customWidth="1"/>
    <col min="512" max="512" width="19.33203125" style="584" customWidth="1"/>
    <col min="513" max="513" width="2.33203125" style="584" customWidth="1"/>
    <col min="514" max="514" width="19.33203125" style="584" customWidth="1"/>
    <col min="515" max="515" width="2.33203125" style="584" customWidth="1"/>
    <col min="516" max="516" width="19.33203125" style="584" customWidth="1"/>
    <col min="517" max="517" width="19.33203125" style="584"/>
    <col min="518" max="518" width="6.33203125" style="584" customWidth="1"/>
    <col min="519" max="519" width="19.33203125" style="584" customWidth="1"/>
    <col min="520" max="520" width="2.33203125" style="584" customWidth="1"/>
    <col min="521" max="521" width="19.33203125" style="584" customWidth="1"/>
    <col min="522" max="522" width="2.33203125" style="584" customWidth="1"/>
    <col min="523" max="523" width="19.33203125" style="584"/>
    <col min="524" max="524" width="6.33203125" style="584" customWidth="1"/>
    <col min="525" max="525" width="19.33203125" style="584" customWidth="1"/>
    <col min="526" max="526" width="2.33203125" style="584" customWidth="1"/>
    <col min="527" max="527" width="19.33203125" style="584" customWidth="1"/>
    <col min="528" max="528" width="2.33203125" style="584" customWidth="1"/>
    <col min="529" max="529" width="19.33203125" style="584" customWidth="1"/>
    <col min="530" max="530" width="6.33203125" style="584" customWidth="1"/>
    <col min="531" max="531" width="19.33203125" style="584" customWidth="1"/>
    <col min="532" max="532" width="2.21875" style="584" customWidth="1"/>
    <col min="533" max="533" width="19.33203125" style="584"/>
    <col min="534" max="534" width="2.21875" style="584" customWidth="1"/>
    <col min="535" max="760" width="19.33203125" style="584"/>
    <col min="761" max="761" width="6.33203125" style="584" customWidth="1"/>
    <col min="762" max="762" width="10.33203125" style="584" customWidth="1"/>
    <col min="763" max="763" width="6.21875" style="584" customWidth="1"/>
    <col min="764" max="764" width="35.33203125" style="584" customWidth="1"/>
    <col min="765" max="765" width="4.77734375" style="584" customWidth="1"/>
    <col min="766" max="766" width="39" style="584" customWidth="1"/>
    <col min="767" max="767" width="5" style="584" customWidth="1"/>
    <col min="768" max="768" width="19.33203125" style="584" customWidth="1"/>
    <col min="769" max="769" width="2.33203125" style="584" customWidth="1"/>
    <col min="770" max="770" width="19.33203125" style="584" customWidth="1"/>
    <col min="771" max="771" width="2.33203125" style="584" customWidth="1"/>
    <col min="772" max="772" width="19.33203125" style="584" customWidth="1"/>
    <col min="773" max="773" width="19.33203125" style="584"/>
    <col min="774" max="774" width="6.33203125" style="584" customWidth="1"/>
    <col min="775" max="775" width="19.33203125" style="584" customWidth="1"/>
    <col min="776" max="776" width="2.33203125" style="584" customWidth="1"/>
    <col min="777" max="777" width="19.33203125" style="584" customWidth="1"/>
    <col min="778" max="778" width="2.33203125" style="584" customWidth="1"/>
    <col min="779" max="779" width="19.33203125" style="584"/>
    <col min="780" max="780" width="6.33203125" style="584" customWidth="1"/>
    <col min="781" max="781" width="19.33203125" style="584" customWidth="1"/>
    <col min="782" max="782" width="2.33203125" style="584" customWidth="1"/>
    <col min="783" max="783" width="19.33203125" style="584" customWidth="1"/>
    <col min="784" max="784" width="2.33203125" style="584" customWidth="1"/>
    <col min="785" max="785" width="19.33203125" style="584" customWidth="1"/>
    <col min="786" max="786" width="6.33203125" style="584" customWidth="1"/>
    <col min="787" max="787" width="19.33203125" style="584" customWidth="1"/>
    <col min="788" max="788" width="2.21875" style="584" customWidth="1"/>
    <col min="789" max="789" width="19.33203125" style="584"/>
    <col min="790" max="790" width="2.21875" style="584" customWidth="1"/>
    <col min="791" max="1016" width="19.33203125" style="584"/>
    <col min="1017" max="1017" width="6.33203125" style="584" customWidth="1"/>
    <col min="1018" max="1018" width="10.33203125" style="584" customWidth="1"/>
    <col min="1019" max="1019" width="6.21875" style="584" customWidth="1"/>
    <col min="1020" max="1020" width="35.33203125" style="584" customWidth="1"/>
    <col min="1021" max="1021" width="4.77734375" style="584" customWidth="1"/>
    <col min="1022" max="1022" width="39" style="584" customWidth="1"/>
    <col min="1023" max="1023" width="5" style="584" customWidth="1"/>
    <col min="1024" max="1024" width="19.33203125" style="584" customWidth="1"/>
    <col min="1025" max="1025" width="2.33203125" style="584" customWidth="1"/>
    <col min="1026" max="1026" width="19.33203125" style="584" customWidth="1"/>
    <col min="1027" max="1027" width="2.33203125" style="584" customWidth="1"/>
    <col min="1028" max="1028" width="19.33203125" style="584" customWidth="1"/>
    <col min="1029" max="1029" width="19.33203125" style="584"/>
    <col min="1030" max="1030" width="6.33203125" style="584" customWidth="1"/>
    <col min="1031" max="1031" width="19.33203125" style="584" customWidth="1"/>
    <col min="1032" max="1032" width="2.33203125" style="584" customWidth="1"/>
    <col min="1033" max="1033" width="19.33203125" style="584" customWidth="1"/>
    <col min="1034" max="1034" width="2.33203125" style="584" customWidth="1"/>
    <col min="1035" max="1035" width="19.33203125" style="584"/>
    <col min="1036" max="1036" width="6.33203125" style="584" customWidth="1"/>
    <col min="1037" max="1037" width="19.33203125" style="584" customWidth="1"/>
    <col min="1038" max="1038" width="2.33203125" style="584" customWidth="1"/>
    <col min="1039" max="1039" width="19.33203125" style="584" customWidth="1"/>
    <col min="1040" max="1040" width="2.33203125" style="584" customWidth="1"/>
    <col min="1041" max="1041" width="19.33203125" style="584" customWidth="1"/>
    <col min="1042" max="1042" width="6.33203125" style="584" customWidth="1"/>
    <col min="1043" max="1043" width="19.33203125" style="584" customWidth="1"/>
    <col min="1044" max="1044" width="2.21875" style="584" customWidth="1"/>
    <col min="1045" max="1045" width="19.33203125" style="584"/>
    <col min="1046" max="1046" width="2.21875" style="584" customWidth="1"/>
    <col min="1047" max="1272" width="19.33203125" style="584"/>
    <col min="1273" max="1273" width="6.33203125" style="584" customWidth="1"/>
    <col min="1274" max="1274" width="10.33203125" style="584" customWidth="1"/>
    <col min="1275" max="1275" width="6.21875" style="584" customWidth="1"/>
    <col min="1276" max="1276" width="35.33203125" style="584" customWidth="1"/>
    <col min="1277" max="1277" width="4.77734375" style="584" customWidth="1"/>
    <col min="1278" max="1278" width="39" style="584" customWidth="1"/>
    <col min="1279" max="1279" width="5" style="584" customWidth="1"/>
    <col min="1280" max="1280" width="19.33203125" style="584" customWidth="1"/>
    <col min="1281" max="1281" width="2.33203125" style="584" customWidth="1"/>
    <col min="1282" max="1282" width="19.33203125" style="584" customWidth="1"/>
    <col min="1283" max="1283" width="2.33203125" style="584" customWidth="1"/>
    <col min="1284" max="1284" width="19.33203125" style="584" customWidth="1"/>
    <col min="1285" max="1285" width="19.33203125" style="584"/>
    <col min="1286" max="1286" width="6.33203125" style="584" customWidth="1"/>
    <col min="1287" max="1287" width="19.33203125" style="584" customWidth="1"/>
    <col min="1288" max="1288" width="2.33203125" style="584" customWidth="1"/>
    <col min="1289" max="1289" width="19.33203125" style="584" customWidth="1"/>
    <col min="1290" max="1290" width="2.33203125" style="584" customWidth="1"/>
    <col min="1291" max="1291" width="19.33203125" style="584"/>
    <col min="1292" max="1292" width="6.33203125" style="584" customWidth="1"/>
    <col min="1293" max="1293" width="19.33203125" style="584" customWidth="1"/>
    <col min="1294" max="1294" width="2.33203125" style="584" customWidth="1"/>
    <col min="1295" max="1295" width="19.33203125" style="584" customWidth="1"/>
    <col min="1296" max="1296" width="2.33203125" style="584" customWidth="1"/>
    <col min="1297" max="1297" width="19.33203125" style="584" customWidth="1"/>
    <col min="1298" max="1298" width="6.33203125" style="584" customWidth="1"/>
    <col min="1299" max="1299" width="19.33203125" style="584" customWidth="1"/>
    <col min="1300" max="1300" width="2.21875" style="584" customWidth="1"/>
    <col min="1301" max="1301" width="19.33203125" style="584"/>
    <col min="1302" max="1302" width="2.21875" style="584" customWidth="1"/>
    <col min="1303" max="1528" width="19.33203125" style="584"/>
    <col min="1529" max="1529" width="6.33203125" style="584" customWidth="1"/>
    <col min="1530" max="1530" width="10.33203125" style="584" customWidth="1"/>
    <col min="1531" max="1531" width="6.21875" style="584" customWidth="1"/>
    <col min="1532" max="1532" width="35.33203125" style="584" customWidth="1"/>
    <col min="1533" max="1533" width="4.77734375" style="584" customWidth="1"/>
    <col min="1534" max="1534" width="39" style="584" customWidth="1"/>
    <col min="1535" max="1535" width="5" style="584" customWidth="1"/>
    <col min="1536" max="1536" width="19.33203125" style="584" customWidth="1"/>
    <col min="1537" max="1537" width="2.33203125" style="584" customWidth="1"/>
    <col min="1538" max="1538" width="19.33203125" style="584" customWidth="1"/>
    <col min="1539" max="1539" width="2.33203125" style="584" customWidth="1"/>
    <col min="1540" max="1540" width="19.33203125" style="584" customWidth="1"/>
    <col min="1541" max="1541" width="19.33203125" style="584"/>
    <col min="1542" max="1542" width="6.33203125" style="584" customWidth="1"/>
    <col min="1543" max="1543" width="19.33203125" style="584" customWidth="1"/>
    <col min="1544" max="1544" width="2.33203125" style="584" customWidth="1"/>
    <col min="1545" max="1545" width="19.33203125" style="584" customWidth="1"/>
    <col min="1546" max="1546" width="2.33203125" style="584" customWidth="1"/>
    <col min="1547" max="1547" width="19.33203125" style="584"/>
    <col min="1548" max="1548" width="6.33203125" style="584" customWidth="1"/>
    <col min="1549" max="1549" width="19.33203125" style="584" customWidth="1"/>
    <col min="1550" max="1550" width="2.33203125" style="584" customWidth="1"/>
    <col min="1551" max="1551" width="19.33203125" style="584" customWidth="1"/>
    <col min="1552" max="1552" width="2.33203125" style="584" customWidth="1"/>
    <col min="1553" max="1553" width="19.33203125" style="584" customWidth="1"/>
    <col min="1554" max="1554" width="6.33203125" style="584" customWidth="1"/>
    <col min="1555" max="1555" width="19.33203125" style="584" customWidth="1"/>
    <col min="1556" max="1556" width="2.21875" style="584" customWidth="1"/>
    <col min="1557" max="1557" width="19.33203125" style="584"/>
    <col min="1558" max="1558" width="2.21875" style="584" customWidth="1"/>
    <col min="1559" max="1784" width="19.33203125" style="584"/>
    <col min="1785" max="1785" width="6.33203125" style="584" customWidth="1"/>
    <col min="1786" max="1786" width="10.33203125" style="584" customWidth="1"/>
    <col min="1787" max="1787" width="6.21875" style="584" customWidth="1"/>
    <col min="1788" max="1788" width="35.33203125" style="584" customWidth="1"/>
    <col min="1789" max="1789" width="4.77734375" style="584" customWidth="1"/>
    <col min="1790" max="1790" width="39" style="584" customWidth="1"/>
    <col min="1791" max="1791" width="5" style="584" customWidth="1"/>
    <col min="1792" max="1792" width="19.33203125" style="584" customWidth="1"/>
    <col min="1793" max="1793" width="2.33203125" style="584" customWidth="1"/>
    <col min="1794" max="1794" width="19.33203125" style="584" customWidth="1"/>
    <col min="1795" max="1795" width="2.33203125" style="584" customWidth="1"/>
    <col min="1796" max="1796" width="19.33203125" style="584" customWidth="1"/>
    <col min="1797" max="1797" width="19.33203125" style="584"/>
    <col min="1798" max="1798" width="6.33203125" style="584" customWidth="1"/>
    <col min="1799" max="1799" width="19.33203125" style="584" customWidth="1"/>
    <col min="1800" max="1800" width="2.33203125" style="584" customWidth="1"/>
    <col min="1801" max="1801" width="19.33203125" style="584" customWidth="1"/>
    <col min="1802" max="1802" width="2.33203125" style="584" customWidth="1"/>
    <col min="1803" max="1803" width="19.33203125" style="584"/>
    <col min="1804" max="1804" width="6.33203125" style="584" customWidth="1"/>
    <col min="1805" max="1805" width="19.33203125" style="584" customWidth="1"/>
    <col min="1806" max="1806" width="2.33203125" style="584" customWidth="1"/>
    <col min="1807" max="1807" width="19.33203125" style="584" customWidth="1"/>
    <col min="1808" max="1808" width="2.33203125" style="584" customWidth="1"/>
    <col min="1809" max="1809" width="19.33203125" style="584" customWidth="1"/>
    <col min="1810" max="1810" width="6.33203125" style="584" customWidth="1"/>
    <col min="1811" max="1811" width="19.33203125" style="584" customWidth="1"/>
    <col min="1812" max="1812" width="2.21875" style="584" customWidth="1"/>
    <col min="1813" max="1813" width="19.33203125" style="584"/>
    <col min="1814" max="1814" width="2.21875" style="584" customWidth="1"/>
    <col min="1815" max="2040" width="19.33203125" style="584"/>
    <col min="2041" max="2041" width="6.33203125" style="584" customWidth="1"/>
    <col min="2042" max="2042" width="10.33203125" style="584" customWidth="1"/>
    <col min="2043" max="2043" width="6.21875" style="584" customWidth="1"/>
    <col min="2044" max="2044" width="35.33203125" style="584" customWidth="1"/>
    <col min="2045" max="2045" width="4.77734375" style="584" customWidth="1"/>
    <col min="2046" max="2046" width="39" style="584" customWidth="1"/>
    <col min="2047" max="2047" width="5" style="584" customWidth="1"/>
    <col min="2048" max="2048" width="19.33203125" style="584" customWidth="1"/>
    <col min="2049" max="2049" width="2.33203125" style="584" customWidth="1"/>
    <col min="2050" max="2050" width="19.33203125" style="584" customWidth="1"/>
    <col min="2051" max="2051" width="2.33203125" style="584" customWidth="1"/>
    <col min="2052" max="2052" width="19.33203125" style="584" customWidth="1"/>
    <col min="2053" max="2053" width="19.33203125" style="584"/>
    <col min="2054" max="2054" width="6.33203125" style="584" customWidth="1"/>
    <col min="2055" max="2055" width="19.33203125" style="584" customWidth="1"/>
    <col min="2056" max="2056" width="2.33203125" style="584" customWidth="1"/>
    <col min="2057" max="2057" width="19.33203125" style="584" customWidth="1"/>
    <col min="2058" max="2058" width="2.33203125" style="584" customWidth="1"/>
    <col min="2059" max="2059" width="19.33203125" style="584"/>
    <col min="2060" max="2060" width="6.33203125" style="584" customWidth="1"/>
    <col min="2061" max="2061" width="19.33203125" style="584" customWidth="1"/>
    <col min="2062" max="2062" width="2.33203125" style="584" customWidth="1"/>
    <col min="2063" max="2063" width="19.33203125" style="584" customWidth="1"/>
    <col min="2064" max="2064" width="2.33203125" style="584" customWidth="1"/>
    <col min="2065" max="2065" width="19.33203125" style="584" customWidth="1"/>
    <col min="2066" max="2066" width="6.33203125" style="584" customWidth="1"/>
    <col min="2067" max="2067" width="19.33203125" style="584" customWidth="1"/>
    <col min="2068" max="2068" width="2.21875" style="584" customWidth="1"/>
    <col min="2069" max="2069" width="19.33203125" style="584"/>
    <col min="2070" max="2070" width="2.21875" style="584" customWidth="1"/>
    <col min="2071" max="2296" width="19.33203125" style="584"/>
    <col min="2297" max="2297" width="6.33203125" style="584" customWidth="1"/>
    <col min="2298" max="2298" width="10.33203125" style="584" customWidth="1"/>
    <col min="2299" max="2299" width="6.21875" style="584" customWidth="1"/>
    <col min="2300" max="2300" width="35.33203125" style="584" customWidth="1"/>
    <col min="2301" max="2301" width="4.77734375" style="584" customWidth="1"/>
    <col min="2302" max="2302" width="39" style="584" customWidth="1"/>
    <col min="2303" max="2303" width="5" style="584" customWidth="1"/>
    <col min="2304" max="2304" width="19.33203125" style="584" customWidth="1"/>
    <col min="2305" max="2305" width="2.33203125" style="584" customWidth="1"/>
    <col min="2306" max="2306" width="19.33203125" style="584" customWidth="1"/>
    <col min="2307" max="2307" width="2.33203125" style="584" customWidth="1"/>
    <col min="2308" max="2308" width="19.33203125" style="584" customWidth="1"/>
    <col min="2309" max="2309" width="19.33203125" style="584"/>
    <col min="2310" max="2310" width="6.33203125" style="584" customWidth="1"/>
    <col min="2311" max="2311" width="19.33203125" style="584" customWidth="1"/>
    <col min="2312" max="2312" width="2.33203125" style="584" customWidth="1"/>
    <col min="2313" max="2313" width="19.33203125" style="584" customWidth="1"/>
    <col min="2314" max="2314" width="2.33203125" style="584" customWidth="1"/>
    <col min="2315" max="2315" width="19.33203125" style="584"/>
    <col min="2316" max="2316" width="6.33203125" style="584" customWidth="1"/>
    <col min="2317" max="2317" width="19.33203125" style="584" customWidth="1"/>
    <col min="2318" max="2318" width="2.33203125" style="584" customWidth="1"/>
    <col min="2319" max="2319" width="19.33203125" style="584" customWidth="1"/>
    <col min="2320" max="2320" width="2.33203125" style="584" customWidth="1"/>
    <col min="2321" max="2321" width="19.33203125" style="584" customWidth="1"/>
    <col min="2322" max="2322" width="6.33203125" style="584" customWidth="1"/>
    <col min="2323" max="2323" width="19.33203125" style="584" customWidth="1"/>
    <col min="2324" max="2324" width="2.21875" style="584" customWidth="1"/>
    <col min="2325" max="2325" width="19.33203125" style="584"/>
    <col min="2326" max="2326" width="2.21875" style="584" customWidth="1"/>
    <col min="2327" max="2552" width="19.33203125" style="584"/>
    <col min="2553" max="2553" width="6.33203125" style="584" customWidth="1"/>
    <col min="2554" max="2554" width="10.33203125" style="584" customWidth="1"/>
    <col min="2555" max="2555" width="6.21875" style="584" customWidth="1"/>
    <col min="2556" max="2556" width="35.33203125" style="584" customWidth="1"/>
    <col min="2557" max="2557" width="4.77734375" style="584" customWidth="1"/>
    <col min="2558" max="2558" width="39" style="584" customWidth="1"/>
    <col min="2559" max="2559" width="5" style="584" customWidth="1"/>
    <col min="2560" max="2560" width="19.33203125" style="584" customWidth="1"/>
    <col min="2561" max="2561" width="2.33203125" style="584" customWidth="1"/>
    <col min="2562" max="2562" width="19.33203125" style="584" customWidth="1"/>
    <col min="2563" max="2563" width="2.33203125" style="584" customWidth="1"/>
    <col min="2564" max="2564" width="19.33203125" style="584" customWidth="1"/>
    <col min="2565" max="2565" width="19.33203125" style="584"/>
    <col min="2566" max="2566" width="6.33203125" style="584" customWidth="1"/>
    <col min="2567" max="2567" width="19.33203125" style="584" customWidth="1"/>
    <col min="2568" max="2568" width="2.33203125" style="584" customWidth="1"/>
    <col min="2569" max="2569" width="19.33203125" style="584" customWidth="1"/>
    <col min="2570" max="2570" width="2.33203125" style="584" customWidth="1"/>
    <col min="2571" max="2571" width="19.33203125" style="584"/>
    <col min="2572" max="2572" width="6.33203125" style="584" customWidth="1"/>
    <col min="2573" max="2573" width="19.33203125" style="584" customWidth="1"/>
    <col min="2574" max="2574" width="2.33203125" style="584" customWidth="1"/>
    <col min="2575" max="2575" width="19.33203125" style="584" customWidth="1"/>
    <col min="2576" max="2576" width="2.33203125" style="584" customWidth="1"/>
    <col min="2577" max="2577" width="19.33203125" style="584" customWidth="1"/>
    <col min="2578" max="2578" width="6.33203125" style="584" customWidth="1"/>
    <col min="2579" max="2579" width="19.33203125" style="584" customWidth="1"/>
    <col min="2580" max="2580" width="2.21875" style="584" customWidth="1"/>
    <col min="2581" max="2581" width="19.33203125" style="584"/>
    <col min="2582" max="2582" width="2.21875" style="584" customWidth="1"/>
    <col min="2583" max="2808" width="19.33203125" style="584"/>
    <col min="2809" max="2809" width="6.33203125" style="584" customWidth="1"/>
    <col min="2810" max="2810" width="10.33203125" style="584" customWidth="1"/>
    <col min="2811" max="2811" width="6.21875" style="584" customWidth="1"/>
    <col min="2812" max="2812" width="35.33203125" style="584" customWidth="1"/>
    <col min="2813" max="2813" width="4.77734375" style="584" customWidth="1"/>
    <col min="2814" max="2814" width="39" style="584" customWidth="1"/>
    <col min="2815" max="2815" width="5" style="584" customWidth="1"/>
    <col min="2816" max="2816" width="19.33203125" style="584" customWidth="1"/>
    <col min="2817" max="2817" width="2.33203125" style="584" customWidth="1"/>
    <col min="2818" max="2818" width="19.33203125" style="584" customWidth="1"/>
    <col min="2819" max="2819" width="2.33203125" style="584" customWidth="1"/>
    <col min="2820" max="2820" width="19.33203125" style="584" customWidth="1"/>
    <col min="2821" max="2821" width="19.33203125" style="584"/>
    <col min="2822" max="2822" width="6.33203125" style="584" customWidth="1"/>
    <col min="2823" max="2823" width="19.33203125" style="584" customWidth="1"/>
    <col min="2824" max="2824" width="2.33203125" style="584" customWidth="1"/>
    <col min="2825" max="2825" width="19.33203125" style="584" customWidth="1"/>
    <col min="2826" max="2826" width="2.33203125" style="584" customWidth="1"/>
    <col min="2827" max="2827" width="19.33203125" style="584"/>
    <col min="2828" max="2828" width="6.33203125" style="584" customWidth="1"/>
    <col min="2829" max="2829" width="19.33203125" style="584" customWidth="1"/>
    <col min="2830" max="2830" width="2.33203125" style="584" customWidth="1"/>
    <col min="2831" max="2831" width="19.33203125" style="584" customWidth="1"/>
    <col min="2832" max="2832" width="2.33203125" style="584" customWidth="1"/>
    <col min="2833" max="2833" width="19.33203125" style="584" customWidth="1"/>
    <col min="2834" max="2834" width="6.33203125" style="584" customWidth="1"/>
    <col min="2835" max="2835" width="19.33203125" style="584" customWidth="1"/>
    <col min="2836" max="2836" width="2.21875" style="584" customWidth="1"/>
    <col min="2837" max="2837" width="19.33203125" style="584"/>
    <col min="2838" max="2838" width="2.21875" style="584" customWidth="1"/>
    <col min="2839" max="3064" width="19.33203125" style="584"/>
    <col min="3065" max="3065" width="6.33203125" style="584" customWidth="1"/>
    <col min="3066" max="3066" width="10.33203125" style="584" customWidth="1"/>
    <col min="3067" max="3067" width="6.21875" style="584" customWidth="1"/>
    <col min="3068" max="3068" width="35.33203125" style="584" customWidth="1"/>
    <col min="3069" max="3069" width="4.77734375" style="584" customWidth="1"/>
    <col min="3070" max="3070" width="39" style="584" customWidth="1"/>
    <col min="3071" max="3071" width="5" style="584" customWidth="1"/>
    <col min="3072" max="3072" width="19.33203125" style="584" customWidth="1"/>
    <col min="3073" max="3073" width="2.33203125" style="584" customWidth="1"/>
    <col min="3074" max="3074" width="19.33203125" style="584" customWidth="1"/>
    <col min="3075" max="3075" width="2.33203125" style="584" customWidth="1"/>
    <col min="3076" max="3076" width="19.33203125" style="584" customWidth="1"/>
    <col min="3077" max="3077" width="19.33203125" style="584"/>
    <col min="3078" max="3078" width="6.33203125" style="584" customWidth="1"/>
    <col min="3079" max="3079" width="19.33203125" style="584" customWidth="1"/>
    <col min="3080" max="3080" width="2.33203125" style="584" customWidth="1"/>
    <col min="3081" max="3081" width="19.33203125" style="584" customWidth="1"/>
    <col min="3082" max="3082" width="2.33203125" style="584" customWidth="1"/>
    <col min="3083" max="3083" width="19.33203125" style="584"/>
    <col min="3084" max="3084" width="6.33203125" style="584" customWidth="1"/>
    <col min="3085" max="3085" width="19.33203125" style="584" customWidth="1"/>
    <col min="3086" max="3086" width="2.33203125" style="584" customWidth="1"/>
    <col min="3087" max="3087" width="19.33203125" style="584" customWidth="1"/>
    <col min="3088" max="3088" width="2.33203125" style="584" customWidth="1"/>
    <col min="3089" max="3089" width="19.33203125" style="584" customWidth="1"/>
    <col min="3090" max="3090" width="6.33203125" style="584" customWidth="1"/>
    <col min="3091" max="3091" width="19.33203125" style="584" customWidth="1"/>
    <col min="3092" max="3092" width="2.21875" style="584" customWidth="1"/>
    <col min="3093" max="3093" width="19.33203125" style="584"/>
    <col min="3094" max="3094" width="2.21875" style="584" customWidth="1"/>
    <col min="3095" max="3320" width="19.33203125" style="584"/>
    <col min="3321" max="3321" width="6.33203125" style="584" customWidth="1"/>
    <col min="3322" max="3322" width="10.33203125" style="584" customWidth="1"/>
    <col min="3323" max="3323" width="6.21875" style="584" customWidth="1"/>
    <col min="3324" max="3324" width="35.33203125" style="584" customWidth="1"/>
    <col min="3325" max="3325" width="4.77734375" style="584" customWidth="1"/>
    <col min="3326" max="3326" width="39" style="584" customWidth="1"/>
    <col min="3327" max="3327" width="5" style="584" customWidth="1"/>
    <col min="3328" max="3328" width="19.33203125" style="584" customWidth="1"/>
    <col min="3329" max="3329" width="2.33203125" style="584" customWidth="1"/>
    <col min="3330" max="3330" width="19.33203125" style="584" customWidth="1"/>
    <col min="3331" max="3331" width="2.33203125" style="584" customWidth="1"/>
    <col min="3332" max="3332" width="19.33203125" style="584" customWidth="1"/>
    <col min="3333" max="3333" width="19.33203125" style="584"/>
    <col min="3334" max="3334" width="6.33203125" style="584" customWidth="1"/>
    <col min="3335" max="3335" width="19.33203125" style="584" customWidth="1"/>
    <col min="3336" max="3336" width="2.33203125" style="584" customWidth="1"/>
    <col min="3337" max="3337" width="19.33203125" style="584" customWidth="1"/>
    <col min="3338" max="3338" width="2.33203125" style="584" customWidth="1"/>
    <col min="3339" max="3339" width="19.33203125" style="584"/>
    <col min="3340" max="3340" width="6.33203125" style="584" customWidth="1"/>
    <col min="3341" max="3341" width="19.33203125" style="584" customWidth="1"/>
    <col min="3342" max="3342" width="2.33203125" style="584" customWidth="1"/>
    <col min="3343" max="3343" width="19.33203125" style="584" customWidth="1"/>
    <col min="3344" max="3344" width="2.33203125" style="584" customWidth="1"/>
    <col min="3345" max="3345" width="19.33203125" style="584" customWidth="1"/>
    <col min="3346" max="3346" width="6.33203125" style="584" customWidth="1"/>
    <col min="3347" max="3347" width="19.33203125" style="584" customWidth="1"/>
    <col min="3348" max="3348" width="2.21875" style="584" customWidth="1"/>
    <col min="3349" max="3349" width="19.33203125" style="584"/>
    <col min="3350" max="3350" width="2.21875" style="584" customWidth="1"/>
    <col min="3351" max="3576" width="19.33203125" style="584"/>
    <col min="3577" max="3577" width="6.33203125" style="584" customWidth="1"/>
    <col min="3578" max="3578" width="10.33203125" style="584" customWidth="1"/>
    <col min="3579" max="3579" width="6.21875" style="584" customWidth="1"/>
    <col min="3580" max="3580" width="35.33203125" style="584" customWidth="1"/>
    <col min="3581" max="3581" width="4.77734375" style="584" customWidth="1"/>
    <col min="3582" max="3582" width="39" style="584" customWidth="1"/>
    <col min="3583" max="3583" width="5" style="584" customWidth="1"/>
    <col min="3584" max="3584" width="19.33203125" style="584" customWidth="1"/>
    <col min="3585" max="3585" width="2.33203125" style="584" customWidth="1"/>
    <col min="3586" max="3586" width="19.33203125" style="584" customWidth="1"/>
    <col min="3587" max="3587" width="2.33203125" style="584" customWidth="1"/>
    <col min="3588" max="3588" width="19.33203125" style="584" customWidth="1"/>
    <col min="3589" max="3589" width="19.33203125" style="584"/>
    <col min="3590" max="3590" width="6.33203125" style="584" customWidth="1"/>
    <col min="3591" max="3591" width="19.33203125" style="584" customWidth="1"/>
    <col min="3592" max="3592" width="2.33203125" style="584" customWidth="1"/>
    <col min="3593" max="3593" width="19.33203125" style="584" customWidth="1"/>
    <col min="3594" max="3594" width="2.33203125" style="584" customWidth="1"/>
    <col min="3595" max="3595" width="19.33203125" style="584"/>
    <col min="3596" max="3596" width="6.33203125" style="584" customWidth="1"/>
    <col min="3597" max="3597" width="19.33203125" style="584" customWidth="1"/>
    <col min="3598" max="3598" width="2.33203125" style="584" customWidth="1"/>
    <col min="3599" max="3599" width="19.33203125" style="584" customWidth="1"/>
    <col min="3600" max="3600" width="2.33203125" style="584" customWidth="1"/>
    <col min="3601" max="3601" width="19.33203125" style="584" customWidth="1"/>
    <col min="3602" max="3602" width="6.33203125" style="584" customWidth="1"/>
    <col min="3603" max="3603" width="19.33203125" style="584" customWidth="1"/>
    <col min="3604" max="3604" width="2.21875" style="584" customWidth="1"/>
    <col min="3605" max="3605" width="19.33203125" style="584"/>
    <col min="3606" max="3606" width="2.21875" style="584" customWidth="1"/>
    <col min="3607" max="3832" width="19.33203125" style="584"/>
    <col min="3833" max="3833" width="6.33203125" style="584" customWidth="1"/>
    <col min="3834" max="3834" width="10.33203125" style="584" customWidth="1"/>
    <col min="3835" max="3835" width="6.21875" style="584" customWidth="1"/>
    <col min="3836" max="3836" width="35.33203125" style="584" customWidth="1"/>
    <col min="3837" max="3837" width="4.77734375" style="584" customWidth="1"/>
    <col min="3838" max="3838" width="39" style="584" customWidth="1"/>
    <col min="3839" max="3839" width="5" style="584" customWidth="1"/>
    <col min="3840" max="3840" width="19.33203125" style="584" customWidth="1"/>
    <col min="3841" max="3841" width="2.33203125" style="584" customWidth="1"/>
    <col min="3842" max="3842" width="19.33203125" style="584" customWidth="1"/>
    <col min="3843" max="3843" width="2.33203125" style="584" customWidth="1"/>
    <col min="3844" max="3844" width="19.33203125" style="584" customWidth="1"/>
    <col min="3845" max="3845" width="19.33203125" style="584"/>
    <col min="3846" max="3846" width="6.33203125" style="584" customWidth="1"/>
    <col min="3847" max="3847" width="19.33203125" style="584" customWidth="1"/>
    <col min="3848" max="3848" width="2.33203125" style="584" customWidth="1"/>
    <col min="3849" max="3849" width="19.33203125" style="584" customWidth="1"/>
    <col min="3850" max="3850" width="2.33203125" style="584" customWidth="1"/>
    <col min="3851" max="3851" width="19.33203125" style="584"/>
    <col min="3852" max="3852" width="6.33203125" style="584" customWidth="1"/>
    <col min="3853" max="3853" width="19.33203125" style="584" customWidth="1"/>
    <col min="3854" max="3854" width="2.33203125" style="584" customWidth="1"/>
    <col min="3855" max="3855" width="19.33203125" style="584" customWidth="1"/>
    <col min="3856" max="3856" width="2.33203125" style="584" customWidth="1"/>
    <col min="3857" max="3857" width="19.33203125" style="584" customWidth="1"/>
    <col min="3858" max="3858" width="6.33203125" style="584" customWidth="1"/>
    <col min="3859" max="3859" width="19.33203125" style="584" customWidth="1"/>
    <col min="3860" max="3860" width="2.21875" style="584" customWidth="1"/>
    <col min="3861" max="3861" width="19.33203125" style="584"/>
    <col min="3862" max="3862" width="2.21875" style="584" customWidth="1"/>
    <col min="3863" max="4088" width="19.33203125" style="584"/>
    <col min="4089" max="4089" width="6.33203125" style="584" customWidth="1"/>
    <col min="4090" max="4090" width="10.33203125" style="584" customWidth="1"/>
    <col min="4091" max="4091" width="6.21875" style="584" customWidth="1"/>
    <col min="4092" max="4092" width="35.33203125" style="584" customWidth="1"/>
    <col min="4093" max="4093" width="4.77734375" style="584" customWidth="1"/>
    <col min="4094" max="4094" width="39" style="584" customWidth="1"/>
    <col min="4095" max="4095" width="5" style="584" customWidth="1"/>
    <col min="4096" max="4096" width="19.33203125" style="584" customWidth="1"/>
    <col min="4097" max="4097" width="2.33203125" style="584" customWidth="1"/>
    <col min="4098" max="4098" width="19.33203125" style="584" customWidth="1"/>
    <col min="4099" max="4099" width="2.33203125" style="584" customWidth="1"/>
    <col min="4100" max="4100" width="19.33203125" style="584" customWidth="1"/>
    <col min="4101" max="4101" width="19.33203125" style="584"/>
    <col min="4102" max="4102" width="6.33203125" style="584" customWidth="1"/>
    <col min="4103" max="4103" width="19.33203125" style="584" customWidth="1"/>
    <col min="4104" max="4104" width="2.33203125" style="584" customWidth="1"/>
    <col min="4105" max="4105" width="19.33203125" style="584" customWidth="1"/>
    <col min="4106" max="4106" width="2.33203125" style="584" customWidth="1"/>
    <col min="4107" max="4107" width="19.33203125" style="584"/>
    <col min="4108" max="4108" width="6.33203125" style="584" customWidth="1"/>
    <col min="4109" max="4109" width="19.33203125" style="584" customWidth="1"/>
    <col min="4110" max="4110" width="2.33203125" style="584" customWidth="1"/>
    <col min="4111" max="4111" width="19.33203125" style="584" customWidth="1"/>
    <col min="4112" max="4112" width="2.33203125" style="584" customWidth="1"/>
    <col min="4113" max="4113" width="19.33203125" style="584" customWidth="1"/>
    <col min="4114" max="4114" width="6.33203125" style="584" customWidth="1"/>
    <col min="4115" max="4115" width="19.33203125" style="584" customWidth="1"/>
    <col min="4116" max="4116" width="2.21875" style="584" customWidth="1"/>
    <col min="4117" max="4117" width="19.33203125" style="584"/>
    <col min="4118" max="4118" width="2.21875" style="584" customWidth="1"/>
    <col min="4119" max="4344" width="19.33203125" style="584"/>
    <col min="4345" max="4345" width="6.33203125" style="584" customWidth="1"/>
    <col min="4346" max="4346" width="10.33203125" style="584" customWidth="1"/>
    <col min="4347" max="4347" width="6.21875" style="584" customWidth="1"/>
    <col min="4348" max="4348" width="35.33203125" style="584" customWidth="1"/>
    <col min="4349" max="4349" width="4.77734375" style="584" customWidth="1"/>
    <col min="4350" max="4350" width="39" style="584" customWidth="1"/>
    <col min="4351" max="4351" width="5" style="584" customWidth="1"/>
    <col min="4352" max="4352" width="19.33203125" style="584" customWidth="1"/>
    <col min="4353" max="4353" width="2.33203125" style="584" customWidth="1"/>
    <col min="4354" max="4354" width="19.33203125" style="584" customWidth="1"/>
    <col min="4355" max="4355" width="2.33203125" style="584" customWidth="1"/>
    <col min="4356" max="4356" width="19.33203125" style="584" customWidth="1"/>
    <col min="4357" max="4357" width="19.33203125" style="584"/>
    <col min="4358" max="4358" width="6.33203125" style="584" customWidth="1"/>
    <col min="4359" max="4359" width="19.33203125" style="584" customWidth="1"/>
    <col min="4360" max="4360" width="2.33203125" style="584" customWidth="1"/>
    <col min="4361" max="4361" width="19.33203125" style="584" customWidth="1"/>
    <col min="4362" max="4362" width="2.33203125" style="584" customWidth="1"/>
    <col min="4363" max="4363" width="19.33203125" style="584"/>
    <col min="4364" max="4364" width="6.33203125" style="584" customWidth="1"/>
    <col min="4365" max="4365" width="19.33203125" style="584" customWidth="1"/>
    <col min="4366" max="4366" width="2.33203125" style="584" customWidth="1"/>
    <col min="4367" max="4367" width="19.33203125" style="584" customWidth="1"/>
    <col min="4368" max="4368" width="2.33203125" style="584" customWidth="1"/>
    <col min="4369" max="4369" width="19.33203125" style="584" customWidth="1"/>
    <col min="4370" max="4370" width="6.33203125" style="584" customWidth="1"/>
    <col min="4371" max="4371" width="19.33203125" style="584" customWidth="1"/>
    <col min="4372" max="4372" width="2.21875" style="584" customWidth="1"/>
    <col min="4373" max="4373" width="19.33203125" style="584"/>
    <col min="4374" max="4374" width="2.21875" style="584" customWidth="1"/>
    <col min="4375" max="4600" width="19.33203125" style="584"/>
    <col min="4601" max="4601" width="6.33203125" style="584" customWidth="1"/>
    <col min="4602" max="4602" width="10.33203125" style="584" customWidth="1"/>
    <col min="4603" max="4603" width="6.21875" style="584" customWidth="1"/>
    <col min="4604" max="4604" width="35.33203125" style="584" customWidth="1"/>
    <col min="4605" max="4605" width="4.77734375" style="584" customWidth="1"/>
    <col min="4606" max="4606" width="39" style="584" customWidth="1"/>
    <col min="4607" max="4607" width="5" style="584" customWidth="1"/>
    <col min="4608" max="4608" width="19.33203125" style="584" customWidth="1"/>
    <col min="4609" max="4609" width="2.33203125" style="584" customWidth="1"/>
    <col min="4610" max="4610" width="19.33203125" style="584" customWidth="1"/>
    <col min="4611" max="4611" width="2.33203125" style="584" customWidth="1"/>
    <col min="4612" max="4612" width="19.33203125" style="584" customWidth="1"/>
    <col min="4613" max="4613" width="19.33203125" style="584"/>
    <col min="4614" max="4614" width="6.33203125" style="584" customWidth="1"/>
    <col min="4615" max="4615" width="19.33203125" style="584" customWidth="1"/>
    <col min="4616" max="4616" width="2.33203125" style="584" customWidth="1"/>
    <col min="4617" max="4617" width="19.33203125" style="584" customWidth="1"/>
    <col min="4618" max="4618" width="2.33203125" style="584" customWidth="1"/>
    <col min="4619" max="4619" width="19.33203125" style="584"/>
    <col min="4620" max="4620" width="6.33203125" style="584" customWidth="1"/>
    <col min="4621" max="4621" width="19.33203125" style="584" customWidth="1"/>
    <col min="4622" max="4622" width="2.33203125" style="584" customWidth="1"/>
    <col min="4623" max="4623" width="19.33203125" style="584" customWidth="1"/>
    <col min="4624" max="4624" width="2.33203125" style="584" customWidth="1"/>
    <col min="4625" max="4625" width="19.33203125" style="584" customWidth="1"/>
    <col min="4626" max="4626" width="6.33203125" style="584" customWidth="1"/>
    <col min="4627" max="4627" width="19.33203125" style="584" customWidth="1"/>
    <col min="4628" max="4628" width="2.21875" style="584" customWidth="1"/>
    <col min="4629" max="4629" width="19.33203125" style="584"/>
    <col min="4630" max="4630" width="2.21875" style="584" customWidth="1"/>
    <col min="4631" max="4856" width="19.33203125" style="584"/>
    <col min="4857" max="4857" width="6.33203125" style="584" customWidth="1"/>
    <col min="4858" max="4858" width="10.33203125" style="584" customWidth="1"/>
    <col min="4859" max="4859" width="6.21875" style="584" customWidth="1"/>
    <col min="4860" max="4860" width="35.33203125" style="584" customWidth="1"/>
    <col min="4861" max="4861" width="4.77734375" style="584" customWidth="1"/>
    <col min="4862" max="4862" width="39" style="584" customWidth="1"/>
    <col min="4863" max="4863" width="5" style="584" customWidth="1"/>
    <col min="4864" max="4864" width="19.33203125" style="584" customWidth="1"/>
    <col min="4865" max="4865" width="2.33203125" style="584" customWidth="1"/>
    <col min="4866" max="4866" width="19.33203125" style="584" customWidth="1"/>
    <col min="4867" max="4867" width="2.33203125" style="584" customWidth="1"/>
    <col min="4868" max="4868" width="19.33203125" style="584" customWidth="1"/>
    <col min="4869" max="4869" width="19.33203125" style="584"/>
    <col min="4870" max="4870" width="6.33203125" style="584" customWidth="1"/>
    <col min="4871" max="4871" width="19.33203125" style="584" customWidth="1"/>
    <col min="4872" max="4872" width="2.33203125" style="584" customWidth="1"/>
    <col min="4873" max="4873" width="19.33203125" style="584" customWidth="1"/>
    <col min="4874" max="4874" width="2.33203125" style="584" customWidth="1"/>
    <col min="4875" max="4875" width="19.33203125" style="584"/>
    <col min="4876" max="4876" width="6.33203125" style="584" customWidth="1"/>
    <col min="4877" max="4877" width="19.33203125" style="584" customWidth="1"/>
    <col min="4878" max="4878" width="2.33203125" style="584" customWidth="1"/>
    <col min="4879" max="4879" width="19.33203125" style="584" customWidth="1"/>
    <col min="4880" max="4880" width="2.33203125" style="584" customWidth="1"/>
    <col min="4881" max="4881" width="19.33203125" style="584" customWidth="1"/>
    <col min="4882" max="4882" width="6.33203125" style="584" customWidth="1"/>
    <col min="4883" max="4883" width="19.33203125" style="584" customWidth="1"/>
    <col min="4884" max="4884" width="2.21875" style="584" customWidth="1"/>
    <col min="4885" max="4885" width="19.33203125" style="584"/>
    <col min="4886" max="4886" width="2.21875" style="584" customWidth="1"/>
    <col min="4887" max="5112" width="19.33203125" style="584"/>
    <col min="5113" max="5113" width="6.33203125" style="584" customWidth="1"/>
    <col min="5114" max="5114" width="10.33203125" style="584" customWidth="1"/>
    <col min="5115" max="5115" width="6.21875" style="584" customWidth="1"/>
    <col min="5116" max="5116" width="35.33203125" style="584" customWidth="1"/>
    <col min="5117" max="5117" width="4.77734375" style="584" customWidth="1"/>
    <col min="5118" max="5118" width="39" style="584" customWidth="1"/>
    <col min="5119" max="5119" width="5" style="584" customWidth="1"/>
    <col min="5120" max="5120" width="19.33203125" style="584" customWidth="1"/>
    <col min="5121" max="5121" width="2.33203125" style="584" customWidth="1"/>
    <col min="5122" max="5122" width="19.33203125" style="584" customWidth="1"/>
    <col min="5123" max="5123" width="2.33203125" style="584" customWidth="1"/>
    <col min="5124" max="5124" width="19.33203125" style="584" customWidth="1"/>
    <col min="5125" max="5125" width="19.33203125" style="584"/>
    <col min="5126" max="5126" width="6.33203125" style="584" customWidth="1"/>
    <col min="5127" max="5127" width="19.33203125" style="584" customWidth="1"/>
    <col min="5128" max="5128" width="2.33203125" style="584" customWidth="1"/>
    <col min="5129" max="5129" width="19.33203125" style="584" customWidth="1"/>
    <col min="5130" max="5130" width="2.33203125" style="584" customWidth="1"/>
    <col min="5131" max="5131" width="19.33203125" style="584"/>
    <col min="5132" max="5132" width="6.33203125" style="584" customWidth="1"/>
    <col min="5133" max="5133" width="19.33203125" style="584" customWidth="1"/>
    <col min="5134" max="5134" width="2.33203125" style="584" customWidth="1"/>
    <col min="5135" max="5135" width="19.33203125" style="584" customWidth="1"/>
    <col min="5136" max="5136" width="2.33203125" style="584" customWidth="1"/>
    <col min="5137" max="5137" width="19.33203125" style="584" customWidth="1"/>
    <col min="5138" max="5138" width="6.33203125" style="584" customWidth="1"/>
    <col min="5139" max="5139" width="19.33203125" style="584" customWidth="1"/>
    <col min="5140" max="5140" width="2.21875" style="584" customWidth="1"/>
    <col min="5141" max="5141" width="19.33203125" style="584"/>
    <col min="5142" max="5142" width="2.21875" style="584" customWidth="1"/>
    <col min="5143" max="5368" width="19.33203125" style="584"/>
    <col min="5369" max="5369" width="6.33203125" style="584" customWidth="1"/>
    <col min="5370" max="5370" width="10.33203125" style="584" customWidth="1"/>
    <col min="5371" max="5371" width="6.21875" style="584" customWidth="1"/>
    <col min="5372" max="5372" width="35.33203125" style="584" customWidth="1"/>
    <col min="5373" max="5373" width="4.77734375" style="584" customWidth="1"/>
    <col min="5374" max="5374" width="39" style="584" customWidth="1"/>
    <col min="5375" max="5375" width="5" style="584" customWidth="1"/>
    <col min="5376" max="5376" width="19.33203125" style="584" customWidth="1"/>
    <col min="5377" max="5377" width="2.33203125" style="584" customWidth="1"/>
    <col min="5378" max="5378" width="19.33203125" style="584" customWidth="1"/>
    <col min="5379" max="5379" width="2.33203125" style="584" customWidth="1"/>
    <col min="5380" max="5380" width="19.33203125" style="584" customWidth="1"/>
    <col min="5381" max="5381" width="19.33203125" style="584"/>
    <col min="5382" max="5382" width="6.33203125" style="584" customWidth="1"/>
    <col min="5383" max="5383" width="19.33203125" style="584" customWidth="1"/>
    <col min="5384" max="5384" width="2.33203125" style="584" customWidth="1"/>
    <col min="5385" max="5385" width="19.33203125" style="584" customWidth="1"/>
    <col min="5386" max="5386" width="2.33203125" style="584" customWidth="1"/>
    <col min="5387" max="5387" width="19.33203125" style="584"/>
    <col min="5388" max="5388" width="6.33203125" style="584" customWidth="1"/>
    <col min="5389" max="5389" width="19.33203125" style="584" customWidth="1"/>
    <col min="5390" max="5390" width="2.33203125" style="584" customWidth="1"/>
    <col min="5391" max="5391" width="19.33203125" style="584" customWidth="1"/>
    <col min="5392" max="5392" width="2.33203125" style="584" customWidth="1"/>
    <col min="5393" max="5393" width="19.33203125" style="584" customWidth="1"/>
    <col min="5394" max="5394" width="6.33203125" style="584" customWidth="1"/>
    <col min="5395" max="5395" width="19.33203125" style="584" customWidth="1"/>
    <col min="5396" max="5396" width="2.21875" style="584" customWidth="1"/>
    <col min="5397" max="5397" width="19.33203125" style="584"/>
    <col min="5398" max="5398" width="2.21875" style="584" customWidth="1"/>
    <col min="5399" max="5624" width="19.33203125" style="584"/>
    <col min="5625" max="5625" width="6.33203125" style="584" customWidth="1"/>
    <col min="5626" max="5626" width="10.33203125" style="584" customWidth="1"/>
    <col min="5627" max="5627" width="6.21875" style="584" customWidth="1"/>
    <col min="5628" max="5628" width="35.33203125" style="584" customWidth="1"/>
    <col min="5629" max="5629" width="4.77734375" style="584" customWidth="1"/>
    <col min="5630" max="5630" width="39" style="584" customWidth="1"/>
    <col min="5631" max="5631" width="5" style="584" customWidth="1"/>
    <col min="5632" max="5632" width="19.33203125" style="584" customWidth="1"/>
    <col min="5633" max="5633" width="2.33203125" style="584" customWidth="1"/>
    <col min="5634" max="5634" width="19.33203125" style="584" customWidth="1"/>
    <col min="5635" max="5635" width="2.33203125" style="584" customWidth="1"/>
    <col min="5636" max="5636" width="19.33203125" style="584" customWidth="1"/>
    <col min="5637" max="5637" width="19.33203125" style="584"/>
    <col min="5638" max="5638" width="6.33203125" style="584" customWidth="1"/>
    <col min="5639" max="5639" width="19.33203125" style="584" customWidth="1"/>
    <col min="5640" max="5640" width="2.33203125" style="584" customWidth="1"/>
    <col min="5641" max="5641" width="19.33203125" style="584" customWidth="1"/>
    <col min="5642" max="5642" width="2.33203125" style="584" customWidth="1"/>
    <col min="5643" max="5643" width="19.33203125" style="584"/>
    <col min="5644" max="5644" width="6.33203125" style="584" customWidth="1"/>
    <col min="5645" max="5645" width="19.33203125" style="584" customWidth="1"/>
    <col min="5646" max="5646" width="2.33203125" style="584" customWidth="1"/>
    <col min="5647" max="5647" width="19.33203125" style="584" customWidth="1"/>
    <col min="5648" max="5648" width="2.33203125" style="584" customWidth="1"/>
    <col min="5649" max="5649" width="19.33203125" style="584" customWidth="1"/>
    <col min="5650" max="5650" width="6.33203125" style="584" customWidth="1"/>
    <col min="5651" max="5651" width="19.33203125" style="584" customWidth="1"/>
    <col min="5652" max="5652" width="2.21875" style="584" customWidth="1"/>
    <col min="5653" max="5653" width="19.33203125" style="584"/>
    <col min="5654" max="5654" width="2.21875" style="584" customWidth="1"/>
    <col min="5655" max="5880" width="19.33203125" style="584"/>
    <col min="5881" max="5881" width="6.33203125" style="584" customWidth="1"/>
    <col min="5882" max="5882" width="10.33203125" style="584" customWidth="1"/>
    <col min="5883" max="5883" width="6.21875" style="584" customWidth="1"/>
    <col min="5884" max="5884" width="35.33203125" style="584" customWidth="1"/>
    <col min="5885" max="5885" width="4.77734375" style="584" customWidth="1"/>
    <col min="5886" max="5886" width="39" style="584" customWidth="1"/>
    <col min="5887" max="5887" width="5" style="584" customWidth="1"/>
    <col min="5888" max="5888" width="19.33203125" style="584" customWidth="1"/>
    <col min="5889" max="5889" width="2.33203125" style="584" customWidth="1"/>
    <col min="5890" max="5890" width="19.33203125" style="584" customWidth="1"/>
    <col min="5891" max="5891" width="2.33203125" style="584" customWidth="1"/>
    <col min="5892" max="5892" width="19.33203125" style="584" customWidth="1"/>
    <col min="5893" max="5893" width="19.33203125" style="584"/>
    <col min="5894" max="5894" width="6.33203125" style="584" customWidth="1"/>
    <col min="5895" max="5895" width="19.33203125" style="584" customWidth="1"/>
    <col min="5896" max="5896" width="2.33203125" style="584" customWidth="1"/>
    <col min="5897" max="5897" width="19.33203125" style="584" customWidth="1"/>
    <col min="5898" max="5898" width="2.33203125" style="584" customWidth="1"/>
    <col min="5899" max="5899" width="19.33203125" style="584"/>
    <col min="5900" max="5900" width="6.33203125" style="584" customWidth="1"/>
    <col min="5901" max="5901" width="19.33203125" style="584" customWidth="1"/>
    <col min="5902" max="5902" width="2.33203125" style="584" customWidth="1"/>
    <col min="5903" max="5903" width="19.33203125" style="584" customWidth="1"/>
    <col min="5904" max="5904" width="2.33203125" style="584" customWidth="1"/>
    <col min="5905" max="5905" width="19.33203125" style="584" customWidth="1"/>
    <col min="5906" max="5906" width="6.33203125" style="584" customWidth="1"/>
    <col min="5907" max="5907" width="19.33203125" style="584" customWidth="1"/>
    <col min="5908" max="5908" width="2.21875" style="584" customWidth="1"/>
    <col min="5909" max="5909" width="19.33203125" style="584"/>
    <col min="5910" max="5910" width="2.21875" style="584" customWidth="1"/>
    <col min="5911" max="6136" width="19.33203125" style="584"/>
    <col min="6137" max="6137" width="6.33203125" style="584" customWidth="1"/>
    <col min="6138" max="6138" width="10.33203125" style="584" customWidth="1"/>
    <col min="6139" max="6139" width="6.21875" style="584" customWidth="1"/>
    <col min="6140" max="6140" width="35.33203125" style="584" customWidth="1"/>
    <col min="6141" max="6141" width="4.77734375" style="584" customWidth="1"/>
    <col min="6142" max="6142" width="39" style="584" customWidth="1"/>
    <col min="6143" max="6143" width="5" style="584" customWidth="1"/>
    <col min="6144" max="6144" width="19.33203125" style="584" customWidth="1"/>
    <col min="6145" max="6145" width="2.33203125" style="584" customWidth="1"/>
    <col min="6146" max="6146" width="19.33203125" style="584" customWidth="1"/>
    <col min="6147" max="6147" width="2.33203125" style="584" customWidth="1"/>
    <col min="6148" max="6148" width="19.33203125" style="584" customWidth="1"/>
    <col min="6149" max="6149" width="19.33203125" style="584"/>
    <col min="6150" max="6150" width="6.33203125" style="584" customWidth="1"/>
    <col min="6151" max="6151" width="19.33203125" style="584" customWidth="1"/>
    <col min="6152" max="6152" width="2.33203125" style="584" customWidth="1"/>
    <col min="6153" max="6153" width="19.33203125" style="584" customWidth="1"/>
    <col min="6154" max="6154" width="2.33203125" style="584" customWidth="1"/>
    <col min="6155" max="6155" width="19.33203125" style="584"/>
    <col min="6156" max="6156" width="6.33203125" style="584" customWidth="1"/>
    <col min="6157" max="6157" width="19.33203125" style="584" customWidth="1"/>
    <col min="6158" max="6158" width="2.33203125" style="584" customWidth="1"/>
    <col min="6159" max="6159" width="19.33203125" style="584" customWidth="1"/>
    <col min="6160" max="6160" width="2.33203125" style="584" customWidth="1"/>
    <col min="6161" max="6161" width="19.33203125" style="584" customWidth="1"/>
    <col min="6162" max="6162" width="6.33203125" style="584" customWidth="1"/>
    <col min="6163" max="6163" width="19.33203125" style="584" customWidth="1"/>
    <col min="6164" max="6164" width="2.21875" style="584" customWidth="1"/>
    <col min="6165" max="6165" width="19.33203125" style="584"/>
    <col min="6166" max="6166" width="2.21875" style="584" customWidth="1"/>
    <col min="6167" max="6392" width="19.33203125" style="584"/>
    <col min="6393" max="6393" width="6.33203125" style="584" customWidth="1"/>
    <col min="6394" max="6394" width="10.33203125" style="584" customWidth="1"/>
    <col min="6395" max="6395" width="6.21875" style="584" customWidth="1"/>
    <col min="6396" max="6396" width="35.33203125" style="584" customWidth="1"/>
    <col min="6397" max="6397" width="4.77734375" style="584" customWidth="1"/>
    <col min="6398" max="6398" width="39" style="584" customWidth="1"/>
    <col min="6399" max="6399" width="5" style="584" customWidth="1"/>
    <col min="6400" max="6400" width="19.33203125" style="584" customWidth="1"/>
    <col min="6401" max="6401" width="2.33203125" style="584" customWidth="1"/>
    <col min="6402" max="6402" width="19.33203125" style="584" customWidth="1"/>
    <col min="6403" max="6403" width="2.33203125" style="584" customWidth="1"/>
    <col min="6404" max="6404" width="19.33203125" style="584" customWidth="1"/>
    <col min="6405" max="6405" width="19.33203125" style="584"/>
    <col min="6406" max="6406" width="6.33203125" style="584" customWidth="1"/>
    <col min="6407" max="6407" width="19.33203125" style="584" customWidth="1"/>
    <col min="6408" max="6408" width="2.33203125" style="584" customWidth="1"/>
    <col min="6409" max="6409" width="19.33203125" style="584" customWidth="1"/>
    <col min="6410" max="6410" width="2.33203125" style="584" customWidth="1"/>
    <col min="6411" max="6411" width="19.33203125" style="584"/>
    <col min="6412" max="6412" width="6.33203125" style="584" customWidth="1"/>
    <col min="6413" max="6413" width="19.33203125" style="584" customWidth="1"/>
    <col min="6414" max="6414" width="2.33203125" style="584" customWidth="1"/>
    <col min="6415" max="6415" width="19.33203125" style="584" customWidth="1"/>
    <col min="6416" max="6416" width="2.33203125" style="584" customWidth="1"/>
    <col min="6417" max="6417" width="19.33203125" style="584" customWidth="1"/>
    <col min="6418" max="6418" width="6.33203125" style="584" customWidth="1"/>
    <col min="6419" max="6419" width="19.33203125" style="584" customWidth="1"/>
    <col min="6420" max="6420" width="2.21875" style="584" customWidth="1"/>
    <col min="6421" max="6421" width="19.33203125" style="584"/>
    <col min="6422" max="6422" width="2.21875" style="584" customWidth="1"/>
    <col min="6423" max="6648" width="19.33203125" style="584"/>
    <col min="6649" max="6649" width="6.33203125" style="584" customWidth="1"/>
    <col min="6650" max="6650" width="10.33203125" style="584" customWidth="1"/>
    <col min="6651" max="6651" width="6.21875" style="584" customWidth="1"/>
    <col min="6652" max="6652" width="35.33203125" style="584" customWidth="1"/>
    <col min="6653" max="6653" width="4.77734375" style="584" customWidth="1"/>
    <col min="6654" max="6654" width="39" style="584" customWidth="1"/>
    <col min="6655" max="6655" width="5" style="584" customWidth="1"/>
    <col min="6656" max="6656" width="19.33203125" style="584" customWidth="1"/>
    <col min="6657" max="6657" width="2.33203125" style="584" customWidth="1"/>
    <col min="6658" max="6658" width="19.33203125" style="584" customWidth="1"/>
    <col min="6659" max="6659" width="2.33203125" style="584" customWidth="1"/>
    <col min="6660" max="6660" width="19.33203125" style="584" customWidth="1"/>
    <col min="6661" max="6661" width="19.33203125" style="584"/>
    <col min="6662" max="6662" width="6.33203125" style="584" customWidth="1"/>
    <col min="6663" max="6663" width="19.33203125" style="584" customWidth="1"/>
    <col min="6664" max="6664" width="2.33203125" style="584" customWidth="1"/>
    <col min="6665" max="6665" width="19.33203125" style="584" customWidth="1"/>
    <col min="6666" max="6666" width="2.33203125" style="584" customWidth="1"/>
    <col min="6667" max="6667" width="19.33203125" style="584"/>
    <col min="6668" max="6668" width="6.33203125" style="584" customWidth="1"/>
    <col min="6669" max="6669" width="19.33203125" style="584" customWidth="1"/>
    <col min="6670" max="6670" width="2.33203125" style="584" customWidth="1"/>
    <col min="6671" max="6671" width="19.33203125" style="584" customWidth="1"/>
    <col min="6672" max="6672" width="2.33203125" style="584" customWidth="1"/>
    <col min="6673" max="6673" width="19.33203125" style="584" customWidth="1"/>
    <col min="6674" max="6674" width="6.33203125" style="584" customWidth="1"/>
    <col min="6675" max="6675" width="19.33203125" style="584" customWidth="1"/>
    <col min="6676" max="6676" width="2.21875" style="584" customWidth="1"/>
    <col min="6677" max="6677" width="19.33203125" style="584"/>
    <col min="6678" max="6678" width="2.21875" style="584" customWidth="1"/>
    <col min="6679" max="6904" width="19.33203125" style="584"/>
    <col min="6905" max="6905" width="6.33203125" style="584" customWidth="1"/>
    <col min="6906" max="6906" width="10.33203125" style="584" customWidth="1"/>
    <col min="6907" max="6907" width="6.21875" style="584" customWidth="1"/>
    <col min="6908" max="6908" width="35.33203125" style="584" customWidth="1"/>
    <col min="6909" max="6909" width="4.77734375" style="584" customWidth="1"/>
    <col min="6910" max="6910" width="39" style="584" customWidth="1"/>
    <col min="6911" max="6911" width="5" style="584" customWidth="1"/>
    <col min="6912" max="6912" width="19.33203125" style="584" customWidth="1"/>
    <col min="6913" max="6913" width="2.33203125" style="584" customWidth="1"/>
    <col min="6914" max="6914" width="19.33203125" style="584" customWidth="1"/>
    <col min="6915" max="6915" width="2.33203125" style="584" customWidth="1"/>
    <col min="6916" max="6916" width="19.33203125" style="584" customWidth="1"/>
    <col min="6917" max="6917" width="19.33203125" style="584"/>
    <col min="6918" max="6918" width="6.33203125" style="584" customWidth="1"/>
    <col min="6919" max="6919" width="19.33203125" style="584" customWidth="1"/>
    <col min="6920" max="6920" width="2.33203125" style="584" customWidth="1"/>
    <col min="6921" max="6921" width="19.33203125" style="584" customWidth="1"/>
    <col min="6922" max="6922" width="2.33203125" style="584" customWidth="1"/>
    <col min="6923" max="6923" width="19.33203125" style="584"/>
    <col min="6924" max="6924" width="6.33203125" style="584" customWidth="1"/>
    <col min="6925" max="6925" width="19.33203125" style="584" customWidth="1"/>
    <col min="6926" max="6926" width="2.33203125" style="584" customWidth="1"/>
    <col min="6927" max="6927" width="19.33203125" style="584" customWidth="1"/>
    <col min="6928" max="6928" width="2.33203125" style="584" customWidth="1"/>
    <col min="6929" max="6929" width="19.33203125" style="584" customWidth="1"/>
    <col min="6930" max="6930" width="6.33203125" style="584" customWidth="1"/>
    <col min="6931" max="6931" width="19.33203125" style="584" customWidth="1"/>
    <col min="6932" max="6932" width="2.21875" style="584" customWidth="1"/>
    <col min="6933" max="6933" width="19.33203125" style="584"/>
    <col min="6934" max="6934" width="2.21875" style="584" customWidth="1"/>
    <col min="6935" max="7160" width="19.33203125" style="584"/>
    <col min="7161" max="7161" width="6.33203125" style="584" customWidth="1"/>
    <col min="7162" max="7162" width="10.33203125" style="584" customWidth="1"/>
    <col min="7163" max="7163" width="6.21875" style="584" customWidth="1"/>
    <col min="7164" max="7164" width="35.33203125" style="584" customWidth="1"/>
    <col min="7165" max="7165" width="4.77734375" style="584" customWidth="1"/>
    <col min="7166" max="7166" width="39" style="584" customWidth="1"/>
    <col min="7167" max="7167" width="5" style="584" customWidth="1"/>
    <col min="7168" max="7168" width="19.33203125" style="584" customWidth="1"/>
    <col min="7169" max="7169" width="2.33203125" style="584" customWidth="1"/>
    <col min="7170" max="7170" width="19.33203125" style="584" customWidth="1"/>
    <col min="7171" max="7171" width="2.33203125" style="584" customWidth="1"/>
    <col min="7172" max="7172" width="19.33203125" style="584" customWidth="1"/>
    <col min="7173" max="7173" width="19.33203125" style="584"/>
    <col min="7174" max="7174" width="6.33203125" style="584" customWidth="1"/>
    <col min="7175" max="7175" width="19.33203125" style="584" customWidth="1"/>
    <col min="7176" max="7176" width="2.33203125" style="584" customWidth="1"/>
    <col min="7177" max="7177" width="19.33203125" style="584" customWidth="1"/>
    <col min="7178" max="7178" width="2.33203125" style="584" customWidth="1"/>
    <col min="7179" max="7179" width="19.33203125" style="584"/>
    <col min="7180" max="7180" width="6.33203125" style="584" customWidth="1"/>
    <col min="7181" max="7181" width="19.33203125" style="584" customWidth="1"/>
    <col min="7182" max="7182" width="2.33203125" style="584" customWidth="1"/>
    <col min="7183" max="7183" width="19.33203125" style="584" customWidth="1"/>
    <col min="7184" max="7184" width="2.33203125" style="584" customWidth="1"/>
    <col min="7185" max="7185" width="19.33203125" style="584" customWidth="1"/>
    <col min="7186" max="7186" width="6.33203125" style="584" customWidth="1"/>
    <col min="7187" max="7187" width="19.33203125" style="584" customWidth="1"/>
    <col min="7188" max="7188" width="2.21875" style="584" customWidth="1"/>
    <col min="7189" max="7189" width="19.33203125" style="584"/>
    <col min="7190" max="7190" width="2.21875" style="584" customWidth="1"/>
    <col min="7191" max="7416" width="19.33203125" style="584"/>
    <col min="7417" max="7417" width="6.33203125" style="584" customWidth="1"/>
    <col min="7418" max="7418" width="10.33203125" style="584" customWidth="1"/>
    <col min="7419" max="7419" width="6.21875" style="584" customWidth="1"/>
    <col min="7420" max="7420" width="35.33203125" style="584" customWidth="1"/>
    <col min="7421" max="7421" width="4.77734375" style="584" customWidth="1"/>
    <col min="7422" max="7422" width="39" style="584" customWidth="1"/>
    <col min="7423" max="7423" width="5" style="584" customWidth="1"/>
    <col min="7424" max="7424" width="19.33203125" style="584" customWidth="1"/>
    <col min="7425" max="7425" width="2.33203125" style="584" customWidth="1"/>
    <col min="7426" max="7426" width="19.33203125" style="584" customWidth="1"/>
    <col min="7427" max="7427" width="2.33203125" style="584" customWidth="1"/>
    <col min="7428" max="7428" width="19.33203125" style="584" customWidth="1"/>
    <col min="7429" max="7429" width="19.33203125" style="584"/>
    <col min="7430" max="7430" width="6.33203125" style="584" customWidth="1"/>
    <col min="7431" max="7431" width="19.33203125" style="584" customWidth="1"/>
    <col min="7432" max="7432" width="2.33203125" style="584" customWidth="1"/>
    <col min="7433" max="7433" width="19.33203125" style="584" customWidth="1"/>
    <col min="7434" max="7434" width="2.33203125" style="584" customWidth="1"/>
    <col min="7435" max="7435" width="19.33203125" style="584"/>
    <col min="7436" max="7436" width="6.33203125" style="584" customWidth="1"/>
    <col min="7437" max="7437" width="19.33203125" style="584" customWidth="1"/>
    <col min="7438" max="7438" width="2.33203125" style="584" customWidth="1"/>
    <col min="7439" max="7439" width="19.33203125" style="584" customWidth="1"/>
    <col min="7440" max="7440" width="2.33203125" style="584" customWidth="1"/>
    <col min="7441" max="7441" width="19.33203125" style="584" customWidth="1"/>
    <col min="7442" max="7442" width="6.33203125" style="584" customWidth="1"/>
    <col min="7443" max="7443" width="19.33203125" style="584" customWidth="1"/>
    <col min="7444" max="7444" width="2.21875" style="584" customWidth="1"/>
    <col min="7445" max="7445" width="19.33203125" style="584"/>
    <col min="7446" max="7446" width="2.21875" style="584" customWidth="1"/>
    <col min="7447" max="7672" width="19.33203125" style="584"/>
    <col min="7673" max="7673" width="6.33203125" style="584" customWidth="1"/>
    <col min="7674" max="7674" width="10.33203125" style="584" customWidth="1"/>
    <col min="7675" max="7675" width="6.21875" style="584" customWidth="1"/>
    <col min="7676" max="7676" width="35.33203125" style="584" customWidth="1"/>
    <col min="7677" max="7677" width="4.77734375" style="584" customWidth="1"/>
    <col min="7678" max="7678" width="39" style="584" customWidth="1"/>
    <col min="7679" max="7679" width="5" style="584" customWidth="1"/>
    <col min="7680" max="7680" width="19.33203125" style="584" customWidth="1"/>
    <col min="7681" max="7681" width="2.33203125" style="584" customWidth="1"/>
    <col min="7682" max="7682" width="19.33203125" style="584" customWidth="1"/>
    <col min="7683" max="7683" width="2.33203125" style="584" customWidth="1"/>
    <col min="7684" max="7684" width="19.33203125" style="584" customWidth="1"/>
    <col min="7685" max="7685" width="19.33203125" style="584"/>
    <col min="7686" max="7686" width="6.33203125" style="584" customWidth="1"/>
    <col min="7687" max="7687" width="19.33203125" style="584" customWidth="1"/>
    <col min="7688" max="7688" width="2.33203125" style="584" customWidth="1"/>
    <col min="7689" max="7689" width="19.33203125" style="584" customWidth="1"/>
    <col min="7690" max="7690" width="2.33203125" style="584" customWidth="1"/>
    <col min="7691" max="7691" width="19.33203125" style="584"/>
    <col min="7692" max="7692" width="6.33203125" style="584" customWidth="1"/>
    <col min="7693" max="7693" width="19.33203125" style="584" customWidth="1"/>
    <col min="7694" max="7694" width="2.33203125" style="584" customWidth="1"/>
    <col min="7695" max="7695" width="19.33203125" style="584" customWidth="1"/>
    <col min="7696" max="7696" width="2.33203125" style="584" customWidth="1"/>
    <col min="7697" max="7697" width="19.33203125" style="584" customWidth="1"/>
    <col min="7698" max="7698" width="6.33203125" style="584" customWidth="1"/>
    <col min="7699" max="7699" width="19.33203125" style="584" customWidth="1"/>
    <col min="7700" max="7700" width="2.21875" style="584" customWidth="1"/>
    <col min="7701" max="7701" width="19.33203125" style="584"/>
    <col min="7702" max="7702" width="2.21875" style="584" customWidth="1"/>
    <col min="7703" max="7928" width="19.33203125" style="584"/>
    <col min="7929" max="7929" width="6.33203125" style="584" customWidth="1"/>
    <col min="7930" max="7930" width="10.33203125" style="584" customWidth="1"/>
    <col min="7931" max="7931" width="6.21875" style="584" customWidth="1"/>
    <col min="7932" max="7932" width="35.33203125" style="584" customWidth="1"/>
    <col min="7933" max="7933" width="4.77734375" style="584" customWidth="1"/>
    <col min="7934" max="7934" width="39" style="584" customWidth="1"/>
    <col min="7935" max="7935" width="5" style="584" customWidth="1"/>
    <col min="7936" max="7936" width="19.33203125" style="584" customWidth="1"/>
    <col min="7937" max="7937" width="2.33203125" style="584" customWidth="1"/>
    <col min="7938" max="7938" width="19.33203125" style="584" customWidth="1"/>
    <col min="7939" max="7939" width="2.33203125" style="584" customWidth="1"/>
    <col min="7940" max="7940" width="19.33203125" style="584" customWidth="1"/>
    <col min="7941" max="7941" width="19.33203125" style="584"/>
    <col min="7942" max="7942" width="6.33203125" style="584" customWidth="1"/>
    <col min="7943" max="7943" width="19.33203125" style="584" customWidth="1"/>
    <col min="7944" max="7944" width="2.33203125" style="584" customWidth="1"/>
    <col min="7945" max="7945" width="19.33203125" style="584" customWidth="1"/>
    <col min="7946" max="7946" width="2.33203125" style="584" customWidth="1"/>
    <col min="7947" max="7947" width="19.33203125" style="584"/>
    <col min="7948" max="7948" width="6.33203125" style="584" customWidth="1"/>
    <col min="7949" max="7949" width="19.33203125" style="584" customWidth="1"/>
    <col min="7950" max="7950" width="2.33203125" style="584" customWidth="1"/>
    <col min="7951" max="7951" width="19.33203125" style="584" customWidth="1"/>
    <col min="7952" max="7952" width="2.33203125" style="584" customWidth="1"/>
    <col min="7953" max="7953" width="19.33203125" style="584" customWidth="1"/>
    <col min="7954" max="7954" width="6.33203125" style="584" customWidth="1"/>
    <col min="7955" max="7955" width="19.33203125" style="584" customWidth="1"/>
    <col min="7956" max="7956" width="2.21875" style="584" customWidth="1"/>
    <col min="7957" max="7957" width="19.33203125" style="584"/>
    <col min="7958" max="7958" width="2.21875" style="584" customWidth="1"/>
    <col min="7959" max="8184" width="19.33203125" style="584"/>
    <col min="8185" max="8185" width="6.33203125" style="584" customWidth="1"/>
    <col min="8186" max="8186" width="10.33203125" style="584" customWidth="1"/>
    <col min="8187" max="8187" width="6.21875" style="584" customWidth="1"/>
    <col min="8188" max="8188" width="35.33203125" style="584" customWidth="1"/>
    <col min="8189" max="8189" width="4.77734375" style="584" customWidth="1"/>
    <col min="8190" max="8190" width="39" style="584" customWidth="1"/>
    <col min="8191" max="8191" width="5" style="584" customWidth="1"/>
    <col min="8192" max="8192" width="19.33203125" style="584" customWidth="1"/>
    <col min="8193" max="8193" width="2.33203125" style="584" customWidth="1"/>
    <col min="8194" max="8194" width="19.33203125" style="584" customWidth="1"/>
    <col min="8195" max="8195" width="2.33203125" style="584" customWidth="1"/>
    <col min="8196" max="8196" width="19.33203125" style="584" customWidth="1"/>
    <col min="8197" max="8197" width="19.33203125" style="584"/>
    <col min="8198" max="8198" width="6.33203125" style="584" customWidth="1"/>
    <col min="8199" max="8199" width="19.33203125" style="584" customWidth="1"/>
    <col min="8200" max="8200" width="2.33203125" style="584" customWidth="1"/>
    <col min="8201" max="8201" width="19.33203125" style="584" customWidth="1"/>
    <col min="8202" max="8202" width="2.33203125" style="584" customWidth="1"/>
    <col min="8203" max="8203" width="19.33203125" style="584"/>
    <col min="8204" max="8204" width="6.33203125" style="584" customWidth="1"/>
    <col min="8205" max="8205" width="19.33203125" style="584" customWidth="1"/>
    <col min="8206" max="8206" width="2.33203125" style="584" customWidth="1"/>
    <col min="8207" max="8207" width="19.33203125" style="584" customWidth="1"/>
    <col min="8208" max="8208" width="2.33203125" style="584" customWidth="1"/>
    <col min="8209" max="8209" width="19.33203125" style="584" customWidth="1"/>
    <col min="8210" max="8210" width="6.33203125" style="584" customWidth="1"/>
    <col min="8211" max="8211" width="19.33203125" style="584" customWidth="1"/>
    <col min="8212" max="8212" width="2.21875" style="584" customWidth="1"/>
    <col min="8213" max="8213" width="19.33203125" style="584"/>
    <col min="8214" max="8214" width="2.21875" style="584" customWidth="1"/>
    <col min="8215" max="8440" width="19.33203125" style="584"/>
    <col min="8441" max="8441" width="6.33203125" style="584" customWidth="1"/>
    <col min="8442" max="8442" width="10.33203125" style="584" customWidth="1"/>
    <col min="8443" max="8443" width="6.21875" style="584" customWidth="1"/>
    <col min="8444" max="8444" width="35.33203125" style="584" customWidth="1"/>
    <col min="8445" max="8445" width="4.77734375" style="584" customWidth="1"/>
    <col min="8446" max="8446" width="39" style="584" customWidth="1"/>
    <col min="8447" max="8447" width="5" style="584" customWidth="1"/>
    <col min="8448" max="8448" width="19.33203125" style="584" customWidth="1"/>
    <col min="8449" max="8449" width="2.33203125" style="584" customWidth="1"/>
    <col min="8450" max="8450" width="19.33203125" style="584" customWidth="1"/>
    <col min="8451" max="8451" width="2.33203125" style="584" customWidth="1"/>
    <col min="8452" max="8452" width="19.33203125" style="584" customWidth="1"/>
    <col min="8453" max="8453" width="19.33203125" style="584"/>
    <col min="8454" max="8454" width="6.33203125" style="584" customWidth="1"/>
    <col min="8455" max="8455" width="19.33203125" style="584" customWidth="1"/>
    <col min="8456" max="8456" width="2.33203125" style="584" customWidth="1"/>
    <col min="8457" max="8457" width="19.33203125" style="584" customWidth="1"/>
    <col min="8458" max="8458" width="2.33203125" style="584" customWidth="1"/>
    <col min="8459" max="8459" width="19.33203125" style="584"/>
    <col min="8460" max="8460" width="6.33203125" style="584" customWidth="1"/>
    <col min="8461" max="8461" width="19.33203125" style="584" customWidth="1"/>
    <col min="8462" max="8462" width="2.33203125" style="584" customWidth="1"/>
    <col min="8463" max="8463" width="19.33203125" style="584" customWidth="1"/>
    <col min="8464" max="8464" width="2.33203125" style="584" customWidth="1"/>
    <col min="8465" max="8465" width="19.33203125" style="584" customWidth="1"/>
    <col min="8466" max="8466" width="6.33203125" style="584" customWidth="1"/>
    <col min="8467" max="8467" width="19.33203125" style="584" customWidth="1"/>
    <col min="8468" max="8468" width="2.21875" style="584" customWidth="1"/>
    <col min="8469" max="8469" width="19.33203125" style="584"/>
    <col min="8470" max="8470" width="2.21875" style="584" customWidth="1"/>
    <col min="8471" max="8696" width="19.33203125" style="584"/>
    <col min="8697" max="8697" width="6.33203125" style="584" customWidth="1"/>
    <col min="8698" max="8698" width="10.33203125" style="584" customWidth="1"/>
    <col min="8699" max="8699" width="6.21875" style="584" customWidth="1"/>
    <col min="8700" max="8700" width="35.33203125" style="584" customWidth="1"/>
    <col min="8701" max="8701" width="4.77734375" style="584" customWidth="1"/>
    <col min="8702" max="8702" width="39" style="584" customWidth="1"/>
    <col min="8703" max="8703" width="5" style="584" customWidth="1"/>
    <col min="8704" max="8704" width="19.33203125" style="584" customWidth="1"/>
    <col min="8705" max="8705" width="2.33203125" style="584" customWidth="1"/>
    <col min="8706" max="8706" width="19.33203125" style="584" customWidth="1"/>
    <col min="8707" max="8707" width="2.33203125" style="584" customWidth="1"/>
    <col min="8708" max="8708" width="19.33203125" style="584" customWidth="1"/>
    <col min="8709" max="8709" width="19.33203125" style="584"/>
    <col min="8710" max="8710" width="6.33203125" style="584" customWidth="1"/>
    <col min="8711" max="8711" width="19.33203125" style="584" customWidth="1"/>
    <col min="8712" max="8712" width="2.33203125" style="584" customWidth="1"/>
    <col min="8713" max="8713" width="19.33203125" style="584" customWidth="1"/>
    <col min="8714" max="8714" width="2.33203125" style="584" customWidth="1"/>
    <col min="8715" max="8715" width="19.33203125" style="584"/>
    <col min="8716" max="8716" width="6.33203125" style="584" customWidth="1"/>
    <col min="8717" max="8717" width="19.33203125" style="584" customWidth="1"/>
    <col min="8718" max="8718" width="2.33203125" style="584" customWidth="1"/>
    <col min="8719" max="8719" width="19.33203125" style="584" customWidth="1"/>
    <col min="8720" max="8720" width="2.33203125" style="584" customWidth="1"/>
    <col min="8721" max="8721" width="19.33203125" style="584" customWidth="1"/>
    <col min="8722" max="8722" width="6.33203125" style="584" customWidth="1"/>
    <col min="8723" max="8723" width="19.33203125" style="584" customWidth="1"/>
    <col min="8724" max="8724" width="2.21875" style="584" customWidth="1"/>
    <col min="8725" max="8725" width="19.33203125" style="584"/>
    <col min="8726" max="8726" width="2.21875" style="584" customWidth="1"/>
    <col min="8727" max="8952" width="19.33203125" style="584"/>
    <col min="8953" max="8953" width="6.33203125" style="584" customWidth="1"/>
    <col min="8954" max="8954" width="10.33203125" style="584" customWidth="1"/>
    <col min="8955" max="8955" width="6.21875" style="584" customWidth="1"/>
    <col min="8956" max="8956" width="35.33203125" style="584" customWidth="1"/>
    <col min="8957" max="8957" width="4.77734375" style="584" customWidth="1"/>
    <col min="8958" max="8958" width="39" style="584" customWidth="1"/>
    <col min="8959" max="8959" width="5" style="584" customWidth="1"/>
    <col min="8960" max="8960" width="19.33203125" style="584" customWidth="1"/>
    <col min="8961" max="8961" width="2.33203125" style="584" customWidth="1"/>
    <col min="8962" max="8962" width="19.33203125" style="584" customWidth="1"/>
    <col min="8963" max="8963" width="2.33203125" style="584" customWidth="1"/>
    <col min="8964" max="8964" width="19.33203125" style="584" customWidth="1"/>
    <col min="8965" max="8965" width="19.33203125" style="584"/>
    <col min="8966" max="8966" width="6.33203125" style="584" customWidth="1"/>
    <col min="8967" max="8967" width="19.33203125" style="584" customWidth="1"/>
    <col min="8968" max="8968" width="2.33203125" style="584" customWidth="1"/>
    <col min="8969" max="8969" width="19.33203125" style="584" customWidth="1"/>
    <col min="8970" max="8970" width="2.33203125" style="584" customWidth="1"/>
    <col min="8971" max="8971" width="19.33203125" style="584"/>
    <col min="8972" max="8972" width="6.33203125" style="584" customWidth="1"/>
    <col min="8973" max="8973" width="19.33203125" style="584" customWidth="1"/>
    <col min="8974" max="8974" width="2.33203125" style="584" customWidth="1"/>
    <col min="8975" max="8975" width="19.33203125" style="584" customWidth="1"/>
    <col min="8976" max="8976" width="2.33203125" style="584" customWidth="1"/>
    <col min="8977" max="8977" width="19.33203125" style="584" customWidth="1"/>
    <col min="8978" max="8978" width="6.33203125" style="584" customWidth="1"/>
    <col min="8979" max="8979" width="19.33203125" style="584" customWidth="1"/>
    <col min="8980" max="8980" width="2.21875" style="584" customWidth="1"/>
    <col min="8981" max="8981" width="19.33203125" style="584"/>
    <col min="8982" max="8982" width="2.21875" style="584" customWidth="1"/>
    <col min="8983" max="9208" width="19.33203125" style="584"/>
    <col min="9209" max="9209" width="6.33203125" style="584" customWidth="1"/>
    <col min="9210" max="9210" width="10.33203125" style="584" customWidth="1"/>
    <col min="9211" max="9211" width="6.21875" style="584" customWidth="1"/>
    <col min="9212" max="9212" width="35.33203125" style="584" customWidth="1"/>
    <col min="9213" max="9213" width="4.77734375" style="584" customWidth="1"/>
    <col min="9214" max="9214" width="39" style="584" customWidth="1"/>
    <col min="9215" max="9215" width="5" style="584" customWidth="1"/>
    <col min="9216" max="9216" width="19.33203125" style="584" customWidth="1"/>
    <col min="9217" max="9217" width="2.33203125" style="584" customWidth="1"/>
    <col min="9218" max="9218" width="19.33203125" style="584" customWidth="1"/>
    <col min="9219" max="9219" width="2.33203125" style="584" customWidth="1"/>
    <col min="9220" max="9220" width="19.33203125" style="584" customWidth="1"/>
    <col min="9221" max="9221" width="19.33203125" style="584"/>
    <col min="9222" max="9222" width="6.33203125" style="584" customWidth="1"/>
    <col min="9223" max="9223" width="19.33203125" style="584" customWidth="1"/>
    <col min="9224" max="9224" width="2.33203125" style="584" customWidth="1"/>
    <col min="9225" max="9225" width="19.33203125" style="584" customWidth="1"/>
    <col min="9226" max="9226" width="2.33203125" style="584" customWidth="1"/>
    <col min="9227" max="9227" width="19.33203125" style="584"/>
    <col min="9228" max="9228" width="6.33203125" style="584" customWidth="1"/>
    <col min="9229" max="9229" width="19.33203125" style="584" customWidth="1"/>
    <col min="9230" max="9230" width="2.33203125" style="584" customWidth="1"/>
    <col min="9231" max="9231" width="19.33203125" style="584" customWidth="1"/>
    <col min="9232" max="9232" width="2.33203125" style="584" customWidth="1"/>
    <col min="9233" max="9233" width="19.33203125" style="584" customWidth="1"/>
    <col min="9234" max="9234" width="6.33203125" style="584" customWidth="1"/>
    <col min="9235" max="9235" width="19.33203125" style="584" customWidth="1"/>
    <col min="9236" max="9236" width="2.21875" style="584" customWidth="1"/>
    <col min="9237" max="9237" width="19.33203125" style="584"/>
    <col min="9238" max="9238" width="2.21875" style="584" customWidth="1"/>
    <col min="9239" max="9464" width="19.33203125" style="584"/>
    <col min="9465" max="9465" width="6.33203125" style="584" customWidth="1"/>
    <col min="9466" max="9466" width="10.33203125" style="584" customWidth="1"/>
    <col min="9467" max="9467" width="6.21875" style="584" customWidth="1"/>
    <col min="9468" max="9468" width="35.33203125" style="584" customWidth="1"/>
    <col min="9469" max="9469" width="4.77734375" style="584" customWidth="1"/>
    <col min="9470" max="9470" width="39" style="584" customWidth="1"/>
    <col min="9471" max="9471" width="5" style="584" customWidth="1"/>
    <col min="9472" max="9472" width="19.33203125" style="584" customWidth="1"/>
    <col min="9473" max="9473" width="2.33203125" style="584" customWidth="1"/>
    <col min="9474" max="9474" width="19.33203125" style="584" customWidth="1"/>
    <col min="9475" max="9475" width="2.33203125" style="584" customWidth="1"/>
    <col min="9476" max="9476" width="19.33203125" style="584" customWidth="1"/>
    <col min="9477" max="9477" width="19.33203125" style="584"/>
    <col min="9478" max="9478" width="6.33203125" style="584" customWidth="1"/>
    <col min="9479" max="9479" width="19.33203125" style="584" customWidth="1"/>
    <col min="9480" max="9480" width="2.33203125" style="584" customWidth="1"/>
    <col min="9481" max="9481" width="19.33203125" style="584" customWidth="1"/>
    <col min="9482" max="9482" width="2.33203125" style="584" customWidth="1"/>
    <col min="9483" max="9483" width="19.33203125" style="584"/>
    <col min="9484" max="9484" width="6.33203125" style="584" customWidth="1"/>
    <col min="9485" max="9485" width="19.33203125" style="584" customWidth="1"/>
    <col min="9486" max="9486" width="2.33203125" style="584" customWidth="1"/>
    <col min="9487" max="9487" width="19.33203125" style="584" customWidth="1"/>
    <col min="9488" max="9488" width="2.33203125" style="584" customWidth="1"/>
    <col min="9489" max="9489" width="19.33203125" style="584" customWidth="1"/>
    <col min="9490" max="9490" width="6.33203125" style="584" customWidth="1"/>
    <col min="9491" max="9491" width="19.33203125" style="584" customWidth="1"/>
    <col min="9492" max="9492" width="2.21875" style="584" customWidth="1"/>
    <col min="9493" max="9493" width="19.33203125" style="584"/>
    <col min="9494" max="9494" width="2.21875" style="584" customWidth="1"/>
    <col min="9495" max="9720" width="19.33203125" style="584"/>
    <col min="9721" max="9721" width="6.33203125" style="584" customWidth="1"/>
    <col min="9722" max="9722" width="10.33203125" style="584" customWidth="1"/>
    <col min="9723" max="9723" width="6.21875" style="584" customWidth="1"/>
    <col min="9724" max="9724" width="35.33203125" style="584" customWidth="1"/>
    <col min="9725" max="9725" width="4.77734375" style="584" customWidth="1"/>
    <col min="9726" max="9726" width="39" style="584" customWidth="1"/>
    <col min="9727" max="9727" width="5" style="584" customWidth="1"/>
    <col min="9728" max="9728" width="19.33203125" style="584" customWidth="1"/>
    <col min="9729" max="9729" width="2.33203125" style="584" customWidth="1"/>
    <col min="9730" max="9730" width="19.33203125" style="584" customWidth="1"/>
    <col min="9731" max="9731" width="2.33203125" style="584" customWidth="1"/>
    <col min="9732" max="9732" width="19.33203125" style="584" customWidth="1"/>
    <col min="9733" max="9733" width="19.33203125" style="584"/>
    <col min="9734" max="9734" width="6.33203125" style="584" customWidth="1"/>
    <col min="9735" max="9735" width="19.33203125" style="584" customWidth="1"/>
    <col min="9736" max="9736" width="2.33203125" style="584" customWidth="1"/>
    <col min="9737" max="9737" width="19.33203125" style="584" customWidth="1"/>
    <col min="9738" max="9738" width="2.33203125" style="584" customWidth="1"/>
    <col min="9739" max="9739" width="19.33203125" style="584"/>
    <col min="9740" max="9740" width="6.33203125" style="584" customWidth="1"/>
    <col min="9741" max="9741" width="19.33203125" style="584" customWidth="1"/>
    <col min="9742" max="9742" width="2.33203125" style="584" customWidth="1"/>
    <col min="9743" max="9743" width="19.33203125" style="584" customWidth="1"/>
    <col min="9744" max="9744" width="2.33203125" style="584" customWidth="1"/>
    <col min="9745" max="9745" width="19.33203125" style="584" customWidth="1"/>
    <col min="9746" max="9746" width="6.33203125" style="584" customWidth="1"/>
    <col min="9747" max="9747" width="19.33203125" style="584" customWidth="1"/>
    <col min="9748" max="9748" width="2.21875" style="584" customWidth="1"/>
    <col min="9749" max="9749" width="19.33203125" style="584"/>
    <col min="9750" max="9750" width="2.21875" style="584" customWidth="1"/>
    <col min="9751" max="9976" width="19.33203125" style="584"/>
    <col min="9977" max="9977" width="6.33203125" style="584" customWidth="1"/>
    <col min="9978" max="9978" width="10.33203125" style="584" customWidth="1"/>
    <col min="9979" max="9979" width="6.21875" style="584" customWidth="1"/>
    <col min="9980" max="9980" width="35.33203125" style="584" customWidth="1"/>
    <col min="9981" max="9981" width="4.77734375" style="584" customWidth="1"/>
    <col min="9982" max="9982" width="39" style="584" customWidth="1"/>
    <col min="9983" max="9983" width="5" style="584" customWidth="1"/>
    <col min="9984" max="9984" width="19.33203125" style="584" customWidth="1"/>
    <col min="9985" max="9985" width="2.33203125" style="584" customWidth="1"/>
    <col min="9986" max="9986" width="19.33203125" style="584" customWidth="1"/>
    <col min="9987" max="9987" width="2.33203125" style="584" customWidth="1"/>
    <col min="9988" max="9988" width="19.33203125" style="584" customWidth="1"/>
    <col min="9989" max="9989" width="19.33203125" style="584"/>
    <col min="9990" max="9990" width="6.33203125" style="584" customWidth="1"/>
    <col min="9991" max="9991" width="19.33203125" style="584" customWidth="1"/>
    <col min="9992" max="9992" width="2.33203125" style="584" customWidth="1"/>
    <col min="9993" max="9993" width="19.33203125" style="584" customWidth="1"/>
    <col min="9994" max="9994" width="2.33203125" style="584" customWidth="1"/>
    <col min="9995" max="9995" width="19.33203125" style="584"/>
    <col min="9996" max="9996" width="6.33203125" style="584" customWidth="1"/>
    <col min="9997" max="9997" width="19.33203125" style="584" customWidth="1"/>
    <col min="9998" max="9998" width="2.33203125" style="584" customWidth="1"/>
    <col min="9999" max="9999" width="19.33203125" style="584" customWidth="1"/>
    <col min="10000" max="10000" width="2.33203125" style="584" customWidth="1"/>
    <col min="10001" max="10001" width="19.33203125" style="584" customWidth="1"/>
    <col min="10002" max="10002" width="6.33203125" style="584" customWidth="1"/>
    <col min="10003" max="10003" width="19.33203125" style="584" customWidth="1"/>
    <col min="10004" max="10004" width="2.21875" style="584" customWidth="1"/>
    <col min="10005" max="10005" width="19.33203125" style="584"/>
    <col min="10006" max="10006" width="2.21875" style="584" customWidth="1"/>
    <col min="10007" max="10232" width="19.33203125" style="584"/>
    <col min="10233" max="10233" width="6.33203125" style="584" customWidth="1"/>
    <col min="10234" max="10234" width="10.33203125" style="584" customWidth="1"/>
    <col min="10235" max="10235" width="6.21875" style="584" customWidth="1"/>
    <col min="10236" max="10236" width="35.33203125" style="584" customWidth="1"/>
    <col min="10237" max="10237" width="4.77734375" style="584" customWidth="1"/>
    <col min="10238" max="10238" width="39" style="584" customWidth="1"/>
    <col min="10239" max="10239" width="5" style="584" customWidth="1"/>
    <col min="10240" max="10240" width="19.33203125" style="584" customWidth="1"/>
    <col min="10241" max="10241" width="2.33203125" style="584" customWidth="1"/>
    <col min="10242" max="10242" width="19.33203125" style="584" customWidth="1"/>
    <col min="10243" max="10243" width="2.33203125" style="584" customWidth="1"/>
    <col min="10244" max="10244" width="19.33203125" style="584" customWidth="1"/>
    <col min="10245" max="10245" width="19.33203125" style="584"/>
    <col min="10246" max="10246" width="6.33203125" style="584" customWidth="1"/>
    <col min="10247" max="10247" width="19.33203125" style="584" customWidth="1"/>
    <col min="10248" max="10248" width="2.33203125" style="584" customWidth="1"/>
    <col min="10249" max="10249" width="19.33203125" style="584" customWidth="1"/>
    <col min="10250" max="10250" width="2.33203125" style="584" customWidth="1"/>
    <col min="10251" max="10251" width="19.33203125" style="584"/>
    <col min="10252" max="10252" width="6.33203125" style="584" customWidth="1"/>
    <col min="10253" max="10253" width="19.33203125" style="584" customWidth="1"/>
    <col min="10254" max="10254" width="2.33203125" style="584" customWidth="1"/>
    <col min="10255" max="10255" width="19.33203125" style="584" customWidth="1"/>
    <col min="10256" max="10256" width="2.33203125" style="584" customWidth="1"/>
    <col min="10257" max="10257" width="19.33203125" style="584" customWidth="1"/>
    <col min="10258" max="10258" width="6.33203125" style="584" customWidth="1"/>
    <col min="10259" max="10259" width="19.33203125" style="584" customWidth="1"/>
    <col min="10260" max="10260" width="2.21875" style="584" customWidth="1"/>
    <col min="10261" max="10261" width="19.33203125" style="584"/>
    <col min="10262" max="10262" width="2.21875" style="584" customWidth="1"/>
    <col min="10263" max="10488" width="19.33203125" style="584"/>
    <col min="10489" max="10489" width="6.33203125" style="584" customWidth="1"/>
    <col min="10490" max="10490" width="10.33203125" style="584" customWidth="1"/>
    <col min="10491" max="10491" width="6.21875" style="584" customWidth="1"/>
    <col min="10492" max="10492" width="35.33203125" style="584" customWidth="1"/>
    <col min="10493" max="10493" width="4.77734375" style="584" customWidth="1"/>
    <col min="10494" max="10494" width="39" style="584" customWidth="1"/>
    <col min="10495" max="10495" width="5" style="584" customWidth="1"/>
    <col min="10496" max="10496" width="19.33203125" style="584" customWidth="1"/>
    <col min="10497" max="10497" width="2.33203125" style="584" customWidth="1"/>
    <col min="10498" max="10498" width="19.33203125" style="584" customWidth="1"/>
    <col min="10499" max="10499" width="2.33203125" style="584" customWidth="1"/>
    <col min="10500" max="10500" width="19.33203125" style="584" customWidth="1"/>
    <col min="10501" max="10501" width="19.33203125" style="584"/>
    <col min="10502" max="10502" width="6.33203125" style="584" customWidth="1"/>
    <col min="10503" max="10503" width="19.33203125" style="584" customWidth="1"/>
    <col min="10504" max="10504" width="2.33203125" style="584" customWidth="1"/>
    <col min="10505" max="10505" width="19.33203125" style="584" customWidth="1"/>
    <col min="10506" max="10506" width="2.33203125" style="584" customWidth="1"/>
    <col min="10507" max="10507" width="19.33203125" style="584"/>
    <col min="10508" max="10508" width="6.33203125" style="584" customWidth="1"/>
    <col min="10509" max="10509" width="19.33203125" style="584" customWidth="1"/>
    <col min="10510" max="10510" width="2.33203125" style="584" customWidth="1"/>
    <col min="10511" max="10511" width="19.33203125" style="584" customWidth="1"/>
    <col min="10512" max="10512" width="2.33203125" style="584" customWidth="1"/>
    <col min="10513" max="10513" width="19.33203125" style="584" customWidth="1"/>
    <col min="10514" max="10514" width="6.33203125" style="584" customWidth="1"/>
    <col min="10515" max="10515" width="19.33203125" style="584" customWidth="1"/>
    <col min="10516" max="10516" width="2.21875" style="584" customWidth="1"/>
    <col min="10517" max="10517" width="19.33203125" style="584"/>
    <col min="10518" max="10518" width="2.21875" style="584" customWidth="1"/>
    <col min="10519" max="10744" width="19.33203125" style="584"/>
    <col min="10745" max="10745" width="6.33203125" style="584" customWidth="1"/>
    <col min="10746" max="10746" width="10.33203125" style="584" customWidth="1"/>
    <col min="10747" max="10747" width="6.21875" style="584" customWidth="1"/>
    <col min="10748" max="10748" width="35.33203125" style="584" customWidth="1"/>
    <col min="10749" max="10749" width="4.77734375" style="584" customWidth="1"/>
    <col min="10750" max="10750" width="39" style="584" customWidth="1"/>
    <col min="10751" max="10751" width="5" style="584" customWidth="1"/>
    <col min="10752" max="10752" width="19.33203125" style="584" customWidth="1"/>
    <col min="10753" max="10753" width="2.33203125" style="584" customWidth="1"/>
    <col min="10754" max="10754" width="19.33203125" style="584" customWidth="1"/>
    <col min="10755" max="10755" width="2.33203125" style="584" customWidth="1"/>
    <col min="10756" max="10756" width="19.33203125" style="584" customWidth="1"/>
    <col min="10757" max="10757" width="19.33203125" style="584"/>
    <col min="10758" max="10758" width="6.33203125" style="584" customWidth="1"/>
    <col min="10759" max="10759" width="19.33203125" style="584" customWidth="1"/>
    <col min="10760" max="10760" width="2.33203125" style="584" customWidth="1"/>
    <col min="10761" max="10761" width="19.33203125" style="584" customWidth="1"/>
    <col min="10762" max="10762" width="2.33203125" style="584" customWidth="1"/>
    <col min="10763" max="10763" width="19.33203125" style="584"/>
    <col min="10764" max="10764" width="6.33203125" style="584" customWidth="1"/>
    <col min="10765" max="10765" width="19.33203125" style="584" customWidth="1"/>
    <col min="10766" max="10766" width="2.33203125" style="584" customWidth="1"/>
    <col min="10767" max="10767" width="19.33203125" style="584" customWidth="1"/>
    <col min="10768" max="10768" width="2.33203125" style="584" customWidth="1"/>
    <col min="10769" max="10769" width="19.33203125" style="584" customWidth="1"/>
    <col min="10770" max="10770" width="6.33203125" style="584" customWidth="1"/>
    <col min="10771" max="10771" width="19.33203125" style="584" customWidth="1"/>
    <col min="10772" max="10772" width="2.21875" style="584" customWidth="1"/>
    <col min="10773" max="10773" width="19.33203125" style="584"/>
    <col min="10774" max="10774" width="2.21875" style="584" customWidth="1"/>
    <col min="10775" max="11000" width="19.33203125" style="584"/>
    <col min="11001" max="11001" width="6.33203125" style="584" customWidth="1"/>
    <col min="11002" max="11002" width="10.33203125" style="584" customWidth="1"/>
    <col min="11003" max="11003" width="6.21875" style="584" customWidth="1"/>
    <col min="11004" max="11004" width="35.33203125" style="584" customWidth="1"/>
    <col min="11005" max="11005" width="4.77734375" style="584" customWidth="1"/>
    <col min="11006" max="11006" width="39" style="584" customWidth="1"/>
    <col min="11007" max="11007" width="5" style="584" customWidth="1"/>
    <col min="11008" max="11008" width="19.33203125" style="584" customWidth="1"/>
    <col min="11009" max="11009" width="2.33203125" style="584" customWidth="1"/>
    <col min="11010" max="11010" width="19.33203125" style="584" customWidth="1"/>
    <col min="11011" max="11011" width="2.33203125" style="584" customWidth="1"/>
    <col min="11012" max="11012" width="19.33203125" style="584" customWidth="1"/>
    <col min="11013" max="11013" width="19.33203125" style="584"/>
    <col min="11014" max="11014" width="6.33203125" style="584" customWidth="1"/>
    <col min="11015" max="11015" width="19.33203125" style="584" customWidth="1"/>
    <col min="11016" max="11016" width="2.33203125" style="584" customWidth="1"/>
    <col min="11017" max="11017" width="19.33203125" style="584" customWidth="1"/>
    <col min="11018" max="11018" width="2.33203125" style="584" customWidth="1"/>
    <col min="11019" max="11019" width="19.33203125" style="584"/>
    <col min="11020" max="11020" width="6.33203125" style="584" customWidth="1"/>
    <col min="11021" max="11021" width="19.33203125" style="584" customWidth="1"/>
    <col min="11022" max="11022" width="2.33203125" style="584" customWidth="1"/>
    <col min="11023" max="11023" width="19.33203125" style="584" customWidth="1"/>
    <col min="11024" max="11024" width="2.33203125" style="584" customWidth="1"/>
    <col min="11025" max="11025" width="19.33203125" style="584" customWidth="1"/>
    <col min="11026" max="11026" width="6.33203125" style="584" customWidth="1"/>
    <col min="11027" max="11027" width="19.33203125" style="584" customWidth="1"/>
    <col min="11028" max="11028" width="2.21875" style="584" customWidth="1"/>
    <col min="11029" max="11029" width="19.33203125" style="584"/>
    <col min="11030" max="11030" width="2.21875" style="584" customWidth="1"/>
    <col min="11031" max="11256" width="19.33203125" style="584"/>
    <col min="11257" max="11257" width="6.33203125" style="584" customWidth="1"/>
    <col min="11258" max="11258" width="10.33203125" style="584" customWidth="1"/>
    <col min="11259" max="11259" width="6.21875" style="584" customWidth="1"/>
    <col min="11260" max="11260" width="35.33203125" style="584" customWidth="1"/>
    <col min="11261" max="11261" width="4.77734375" style="584" customWidth="1"/>
    <col min="11262" max="11262" width="39" style="584" customWidth="1"/>
    <col min="11263" max="11263" width="5" style="584" customWidth="1"/>
    <col min="11264" max="11264" width="19.33203125" style="584" customWidth="1"/>
    <col min="11265" max="11265" width="2.33203125" style="584" customWidth="1"/>
    <col min="11266" max="11266" width="19.33203125" style="584" customWidth="1"/>
    <col min="11267" max="11267" width="2.33203125" style="584" customWidth="1"/>
    <col min="11268" max="11268" width="19.33203125" style="584" customWidth="1"/>
    <col min="11269" max="11269" width="19.33203125" style="584"/>
    <col min="11270" max="11270" width="6.33203125" style="584" customWidth="1"/>
    <col min="11271" max="11271" width="19.33203125" style="584" customWidth="1"/>
    <col min="11272" max="11272" width="2.33203125" style="584" customWidth="1"/>
    <col min="11273" max="11273" width="19.33203125" style="584" customWidth="1"/>
    <col min="11274" max="11274" width="2.33203125" style="584" customWidth="1"/>
    <col min="11275" max="11275" width="19.33203125" style="584"/>
    <col min="11276" max="11276" width="6.33203125" style="584" customWidth="1"/>
    <col min="11277" max="11277" width="19.33203125" style="584" customWidth="1"/>
    <col min="11278" max="11278" width="2.33203125" style="584" customWidth="1"/>
    <col min="11279" max="11279" width="19.33203125" style="584" customWidth="1"/>
    <col min="11280" max="11280" width="2.33203125" style="584" customWidth="1"/>
    <col min="11281" max="11281" width="19.33203125" style="584" customWidth="1"/>
    <col min="11282" max="11282" width="6.33203125" style="584" customWidth="1"/>
    <col min="11283" max="11283" width="19.33203125" style="584" customWidth="1"/>
    <col min="11284" max="11284" width="2.21875" style="584" customWidth="1"/>
    <col min="11285" max="11285" width="19.33203125" style="584"/>
    <col min="11286" max="11286" width="2.21875" style="584" customWidth="1"/>
    <col min="11287" max="11512" width="19.33203125" style="584"/>
    <col min="11513" max="11513" width="6.33203125" style="584" customWidth="1"/>
    <col min="11514" max="11514" width="10.33203125" style="584" customWidth="1"/>
    <col min="11515" max="11515" width="6.21875" style="584" customWidth="1"/>
    <col min="11516" max="11516" width="35.33203125" style="584" customWidth="1"/>
    <col min="11517" max="11517" width="4.77734375" style="584" customWidth="1"/>
    <col min="11518" max="11518" width="39" style="584" customWidth="1"/>
    <col min="11519" max="11519" width="5" style="584" customWidth="1"/>
    <col min="11520" max="11520" width="19.33203125" style="584" customWidth="1"/>
    <col min="11521" max="11521" width="2.33203125" style="584" customWidth="1"/>
    <col min="11522" max="11522" width="19.33203125" style="584" customWidth="1"/>
    <col min="11523" max="11523" width="2.33203125" style="584" customWidth="1"/>
    <col min="11524" max="11524" width="19.33203125" style="584" customWidth="1"/>
    <col min="11525" max="11525" width="19.33203125" style="584"/>
    <col min="11526" max="11526" width="6.33203125" style="584" customWidth="1"/>
    <col min="11527" max="11527" width="19.33203125" style="584" customWidth="1"/>
    <col min="11528" max="11528" width="2.33203125" style="584" customWidth="1"/>
    <col min="11529" max="11529" width="19.33203125" style="584" customWidth="1"/>
    <col min="11530" max="11530" width="2.33203125" style="584" customWidth="1"/>
    <col min="11531" max="11531" width="19.33203125" style="584"/>
    <col min="11532" max="11532" width="6.33203125" style="584" customWidth="1"/>
    <col min="11533" max="11533" width="19.33203125" style="584" customWidth="1"/>
    <col min="11534" max="11534" width="2.33203125" style="584" customWidth="1"/>
    <col min="11535" max="11535" width="19.33203125" style="584" customWidth="1"/>
    <col min="11536" max="11536" width="2.33203125" style="584" customWidth="1"/>
    <col min="11537" max="11537" width="19.33203125" style="584" customWidth="1"/>
    <col min="11538" max="11538" width="6.33203125" style="584" customWidth="1"/>
    <col min="11539" max="11539" width="19.33203125" style="584" customWidth="1"/>
    <col min="11540" max="11540" width="2.21875" style="584" customWidth="1"/>
    <col min="11541" max="11541" width="19.33203125" style="584"/>
    <col min="11542" max="11542" width="2.21875" style="584" customWidth="1"/>
    <col min="11543" max="11768" width="19.33203125" style="584"/>
    <col min="11769" max="11769" width="6.33203125" style="584" customWidth="1"/>
    <col min="11770" max="11770" width="10.33203125" style="584" customWidth="1"/>
    <col min="11771" max="11771" width="6.21875" style="584" customWidth="1"/>
    <col min="11772" max="11772" width="35.33203125" style="584" customWidth="1"/>
    <col min="11773" max="11773" width="4.77734375" style="584" customWidth="1"/>
    <col min="11774" max="11774" width="39" style="584" customWidth="1"/>
    <col min="11775" max="11775" width="5" style="584" customWidth="1"/>
    <col min="11776" max="11776" width="19.33203125" style="584" customWidth="1"/>
    <col min="11777" max="11777" width="2.33203125" style="584" customWidth="1"/>
    <col min="11778" max="11778" width="19.33203125" style="584" customWidth="1"/>
    <col min="11779" max="11779" width="2.33203125" style="584" customWidth="1"/>
    <col min="11780" max="11780" width="19.33203125" style="584" customWidth="1"/>
    <col min="11781" max="11781" width="19.33203125" style="584"/>
    <col min="11782" max="11782" width="6.33203125" style="584" customWidth="1"/>
    <col min="11783" max="11783" width="19.33203125" style="584" customWidth="1"/>
    <col min="11784" max="11784" width="2.33203125" style="584" customWidth="1"/>
    <col min="11785" max="11785" width="19.33203125" style="584" customWidth="1"/>
    <col min="11786" max="11786" width="2.33203125" style="584" customWidth="1"/>
    <col min="11787" max="11787" width="19.33203125" style="584"/>
    <col min="11788" max="11788" width="6.33203125" style="584" customWidth="1"/>
    <col min="11789" max="11789" width="19.33203125" style="584" customWidth="1"/>
    <col min="11790" max="11790" width="2.33203125" style="584" customWidth="1"/>
    <col min="11791" max="11791" width="19.33203125" style="584" customWidth="1"/>
    <col min="11792" max="11792" width="2.33203125" style="584" customWidth="1"/>
    <col min="11793" max="11793" width="19.33203125" style="584" customWidth="1"/>
    <col min="11794" max="11794" width="6.33203125" style="584" customWidth="1"/>
    <col min="11795" max="11795" width="19.33203125" style="584" customWidth="1"/>
    <col min="11796" max="11796" width="2.21875" style="584" customWidth="1"/>
    <col min="11797" max="11797" width="19.33203125" style="584"/>
    <col min="11798" max="11798" width="2.21875" style="584" customWidth="1"/>
    <col min="11799" max="12024" width="19.33203125" style="584"/>
    <col min="12025" max="12025" width="6.33203125" style="584" customWidth="1"/>
    <col min="12026" max="12026" width="10.33203125" style="584" customWidth="1"/>
    <col min="12027" max="12027" width="6.21875" style="584" customWidth="1"/>
    <col min="12028" max="12028" width="35.33203125" style="584" customWidth="1"/>
    <col min="12029" max="12029" width="4.77734375" style="584" customWidth="1"/>
    <col min="12030" max="12030" width="39" style="584" customWidth="1"/>
    <col min="12031" max="12031" width="5" style="584" customWidth="1"/>
    <col min="12032" max="12032" width="19.33203125" style="584" customWidth="1"/>
    <col min="12033" max="12033" width="2.33203125" style="584" customWidth="1"/>
    <col min="12034" max="12034" width="19.33203125" style="584" customWidth="1"/>
    <col min="12035" max="12035" width="2.33203125" style="584" customWidth="1"/>
    <col min="12036" max="12036" width="19.33203125" style="584" customWidth="1"/>
    <col min="12037" max="12037" width="19.33203125" style="584"/>
    <col min="12038" max="12038" width="6.33203125" style="584" customWidth="1"/>
    <col min="12039" max="12039" width="19.33203125" style="584" customWidth="1"/>
    <col min="12040" max="12040" width="2.33203125" style="584" customWidth="1"/>
    <col min="12041" max="12041" width="19.33203125" style="584" customWidth="1"/>
    <col min="12042" max="12042" width="2.33203125" style="584" customWidth="1"/>
    <col min="12043" max="12043" width="19.33203125" style="584"/>
    <col min="12044" max="12044" width="6.33203125" style="584" customWidth="1"/>
    <col min="12045" max="12045" width="19.33203125" style="584" customWidth="1"/>
    <col min="12046" max="12046" width="2.33203125" style="584" customWidth="1"/>
    <col min="12047" max="12047" width="19.33203125" style="584" customWidth="1"/>
    <col min="12048" max="12048" width="2.33203125" style="584" customWidth="1"/>
    <col min="12049" max="12049" width="19.33203125" style="584" customWidth="1"/>
    <col min="12050" max="12050" width="6.33203125" style="584" customWidth="1"/>
    <col min="12051" max="12051" width="19.33203125" style="584" customWidth="1"/>
    <col min="12052" max="12052" width="2.21875" style="584" customWidth="1"/>
    <col min="12053" max="12053" width="19.33203125" style="584"/>
    <col min="12054" max="12054" width="2.21875" style="584" customWidth="1"/>
    <col min="12055" max="12280" width="19.33203125" style="584"/>
    <col min="12281" max="12281" width="6.33203125" style="584" customWidth="1"/>
    <col min="12282" max="12282" width="10.33203125" style="584" customWidth="1"/>
    <col min="12283" max="12283" width="6.21875" style="584" customWidth="1"/>
    <col min="12284" max="12284" width="35.33203125" style="584" customWidth="1"/>
    <col min="12285" max="12285" width="4.77734375" style="584" customWidth="1"/>
    <col min="12286" max="12286" width="39" style="584" customWidth="1"/>
    <col min="12287" max="12287" width="5" style="584" customWidth="1"/>
    <col min="12288" max="12288" width="19.33203125" style="584" customWidth="1"/>
    <col min="12289" max="12289" width="2.33203125" style="584" customWidth="1"/>
    <col min="12290" max="12290" width="19.33203125" style="584" customWidth="1"/>
    <col min="12291" max="12291" width="2.33203125" style="584" customWidth="1"/>
    <col min="12292" max="12292" width="19.33203125" style="584" customWidth="1"/>
    <col min="12293" max="12293" width="19.33203125" style="584"/>
    <col min="12294" max="12294" width="6.33203125" style="584" customWidth="1"/>
    <col min="12295" max="12295" width="19.33203125" style="584" customWidth="1"/>
    <col min="12296" max="12296" width="2.33203125" style="584" customWidth="1"/>
    <col min="12297" max="12297" width="19.33203125" style="584" customWidth="1"/>
    <col min="12298" max="12298" width="2.33203125" style="584" customWidth="1"/>
    <col min="12299" max="12299" width="19.33203125" style="584"/>
    <col min="12300" max="12300" width="6.33203125" style="584" customWidth="1"/>
    <col min="12301" max="12301" width="19.33203125" style="584" customWidth="1"/>
    <col min="12302" max="12302" width="2.33203125" style="584" customWidth="1"/>
    <col min="12303" max="12303" width="19.33203125" style="584" customWidth="1"/>
    <col min="12304" max="12304" width="2.33203125" style="584" customWidth="1"/>
    <col min="12305" max="12305" width="19.33203125" style="584" customWidth="1"/>
    <col min="12306" max="12306" width="6.33203125" style="584" customWidth="1"/>
    <col min="12307" max="12307" width="19.33203125" style="584" customWidth="1"/>
    <col min="12308" max="12308" width="2.21875" style="584" customWidth="1"/>
    <col min="12309" max="12309" width="19.33203125" style="584"/>
    <col min="12310" max="12310" width="2.21875" style="584" customWidth="1"/>
    <col min="12311" max="12536" width="19.33203125" style="584"/>
    <col min="12537" max="12537" width="6.33203125" style="584" customWidth="1"/>
    <col min="12538" max="12538" width="10.33203125" style="584" customWidth="1"/>
    <col min="12539" max="12539" width="6.21875" style="584" customWidth="1"/>
    <col min="12540" max="12540" width="35.33203125" style="584" customWidth="1"/>
    <col min="12541" max="12541" width="4.77734375" style="584" customWidth="1"/>
    <col min="12542" max="12542" width="39" style="584" customWidth="1"/>
    <col min="12543" max="12543" width="5" style="584" customWidth="1"/>
    <col min="12544" max="12544" width="19.33203125" style="584" customWidth="1"/>
    <col min="12545" max="12545" width="2.33203125" style="584" customWidth="1"/>
    <col min="12546" max="12546" width="19.33203125" style="584" customWidth="1"/>
    <col min="12547" max="12547" width="2.33203125" style="584" customWidth="1"/>
    <col min="12548" max="12548" width="19.33203125" style="584" customWidth="1"/>
    <col min="12549" max="12549" width="19.33203125" style="584"/>
    <col min="12550" max="12550" width="6.33203125" style="584" customWidth="1"/>
    <col min="12551" max="12551" width="19.33203125" style="584" customWidth="1"/>
    <col min="12552" max="12552" width="2.33203125" style="584" customWidth="1"/>
    <col min="12553" max="12553" width="19.33203125" style="584" customWidth="1"/>
    <col min="12554" max="12554" width="2.33203125" style="584" customWidth="1"/>
    <col min="12555" max="12555" width="19.33203125" style="584"/>
    <col min="12556" max="12556" width="6.33203125" style="584" customWidth="1"/>
    <col min="12557" max="12557" width="19.33203125" style="584" customWidth="1"/>
    <col min="12558" max="12558" width="2.33203125" style="584" customWidth="1"/>
    <col min="12559" max="12559" width="19.33203125" style="584" customWidth="1"/>
    <col min="12560" max="12560" width="2.33203125" style="584" customWidth="1"/>
    <col min="12561" max="12561" width="19.33203125" style="584" customWidth="1"/>
    <col min="12562" max="12562" width="6.33203125" style="584" customWidth="1"/>
    <col min="12563" max="12563" width="19.33203125" style="584" customWidth="1"/>
    <col min="12564" max="12564" width="2.21875" style="584" customWidth="1"/>
    <col min="12565" max="12565" width="19.33203125" style="584"/>
    <col min="12566" max="12566" width="2.21875" style="584" customWidth="1"/>
    <col min="12567" max="12792" width="19.33203125" style="584"/>
    <col min="12793" max="12793" width="6.33203125" style="584" customWidth="1"/>
    <col min="12794" max="12794" width="10.33203125" style="584" customWidth="1"/>
    <col min="12795" max="12795" width="6.21875" style="584" customWidth="1"/>
    <col min="12796" max="12796" width="35.33203125" style="584" customWidth="1"/>
    <col min="12797" max="12797" width="4.77734375" style="584" customWidth="1"/>
    <col min="12798" max="12798" width="39" style="584" customWidth="1"/>
    <col min="12799" max="12799" width="5" style="584" customWidth="1"/>
    <col min="12800" max="12800" width="19.33203125" style="584" customWidth="1"/>
    <col min="12801" max="12801" width="2.33203125" style="584" customWidth="1"/>
    <col min="12802" max="12802" width="19.33203125" style="584" customWidth="1"/>
    <col min="12803" max="12803" width="2.33203125" style="584" customWidth="1"/>
    <col min="12804" max="12804" width="19.33203125" style="584" customWidth="1"/>
    <col min="12805" max="12805" width="19.33203125" style="584"/>
    <col min="12806" max="12806" width="6.33203125" style="584" customWidth="1"/>
    <col min="12807" max="12807" width="19.33203125" style="584" customWidth="1"/>
    <col min="12808" max="12808" width="2.33203125" style="584" customWidth="1"/>
    <col min="12809" max="12809" width="19.33203125" style="584" customWidth="1"/>
    <col min="12810" max="12810" width="2.33203125" style="584" customWidth="1"/>
    <col min="12811" max="12811" width="19.33203125" style="584"/>
    <col min="12812" max="12812" width="6.33203125" style="584" customWidth="1"/>
    <col min="12813" max="12813" width="19.33203125" style="584" customWidth="1"/>
    <col min="12814" max="12814" width="2.33203125" style="584" customWidth="1"/>
    <col min="12815" max="12815" width="19.33203125" style="584" customWidth="1"/>
    <col min="12816" max="12816" width="2.33203125" style="584" customWidth="1"/>
    <col min="12817" max="12817" width="19.33203125" style="584" customWidth="1"/>
    <col min="12818" max="12818" width="6.33203125" style="584" customWidth="1"/>
    <col min="12819" max="12819" width="19.33203125" style="584" customWidth="1"/>
    <col min="12820" max="12820" width="2.21875" style="584" customWidth="1"/>
    <col min="12821" max="12821" width="19.33203125" style="584"/>
    <col min="12822" max="12822" width="2.21875" style="584" customWidth="1"/>
    <col min="12823" max="13048" width="19.33203125" style="584"/>
    <col min="13049" max="13049" width="6.33203125" style="584" customWidth="1"/>
    <col min="13050" max="13050" width="10.33203125" style="584" customWidth="1"/>
    <col min="13051" max="13051" width="6.21875" style="584" customWidth="1"/>
    <col min="13052" max="13052" width="35.33203125" style="584" customWidth="1"/>
    <col min="13053" max="13053" width="4.77734375" style="584" customWidth="1"/>
    <col min="13054" max="13054" width="39" style="584" customWidth="1"/>
    <col min="13055" max="13055" width="5" style="584" customWidth="1"/>
    <col min="13056" max="13056" width="19.33203125" style="584" customWidth="1"/>
    <col min="13057" max="13057" width="2.33203125" style="584" customWidth="1"/>
    <col min="13058" max="13058" width="19.33203125" style="584" customWidth="1"/>
    <col min="13059" max="13059" width="2.33203125" style="584" customWidth="1"/>
    <col min="13060" max="13060" width="19.33203125" style="584" customWidth="1"/>
    <col min="13061" max="13061" width="19.33203125" style="584"/>
    <col min="13062" max="13062" width="6.33203125" style="584" customWidth="1"/>
    <col min="13063" max="13063" width="19.33203125" style="584" customWidth="1"/>
    <col min="13064" max="13064" width="2.33203125" style="584" customWidth="1"/>
    <col min="13065" max="13065" width="19.33203125" style="584" customWidth="1"/>
    <col min="13066" max="13066" width="2.33203125" style="584" customWidth="1"/>
    <col min="13067" max="13067" width="19.33203125" style="584"/>
    <col min="13068" max="13068" width="6.33203125" style="584" customWidth="1"/>
    <col min="13069" max="13069" width="19.33203125" style="584" customWidth="1"/>
    <col min="13070" max="13070" width="2.33203125" style="584" customWidth="1"/>
    <col min="13071" max="13071" width="19.33203125" style="584" customWidth="1"/>
    <col min="13072" max="13072" width="2.33203125" style="584" customWidth="1"/>
    <col min="13073" max="13073" width="19.33203125" style="584" customWidth="1"/>
    <col min="13074" max="13074" width="6.33203125" style="584" customWidth="1"/>
    <col min="13075" max="13075" width="19.33203125" style="584" customWidth="1"/>
    <col min="13076" max="13076" width="2.21875" style="584" customWidth="1"/>
    <col min="13077" max="13077" width="19.33203125" style="584"/>
    <col min="13078" max="13078" width="2.21875" style="584" customWidth="1"/>
    <col min="13079" max="13304" width="19.33203125" style="584"/>
    <col min="13305" max="13305" width="6.33203125" style="584" customWidth="1"/>
    <col min="13306" max="13306" width="10.33203125" style="584" customWidth="1"/>
    <col min="13307" max="13307" width="6.21875" style="584" customWidth="1"/>
    <col min="13308" max="13308" width="35.33203125" style="584" customWidth="1"/>
    <col min="13309" max="13309" width="4.77734375" style="584" customWidth="1"/>
    <col min="13310" max="13310" width="39" style="584" customWidth="1"/>
    <col min="13311" max="13311" width="5" style="584" customWidth="1"/>
    <col min="13312" max="13312" width="19.33203125" style="584" customWidth="1"/>
    <col min="13313" max="13313" width="2.33203125" style="584" customWidth="1"/>
    <col min="13314" max="13314" width="19.33203125" style="584" customWidth="1"/>
    <col min="13315" max="13315" width="2.33203125" style="584" customWidth="1"/>
    <col min="13316" max="13316" width="19.33203125" style="584" customWidth="1"/>
    <col min="13317" max="13317" width="19.33203125" style="584"/>
    <col min="13318" max="13318" width="6.33203125" style="584" customWidth="1"/>
    <col min="13319" max="13319" width="19.33203125" style="584" customWidth="1"/>
    <col min="13320" max="13320" width="2.33203125" style="584" customWidth="1"/>
    <col min="13321" max="13321" width="19.33203125" style="584" customWidth="1"/>
    <col min="13322" max="13322" width="2.33203125" style="584" customWidth="1"/>
    <col min="13323" max="13323" width="19.33203125" style="584"/>
    <col min="13324" max="13324" width="6.33203125" style="584" customWidth="1"/>
    <col min="13325" max="13325" width="19.33203125" style="584" customWidth="1"/>
    <col min="13326" max="13326" width="2.33203125" style="584" customWidth="1"/>
    <col min="13327" max="13327" width="19.33203125" style="584" customWidth="1"/>
    <col min="13328" max="13328" width="2.33203125" style="584" customWidth="1"/>
    <col min="13329" max="13329" width="19.33203125" style="584" customWidth="1"/>
    <col min="13330" max="13330" width="6.33203125" style="584" customWidth="1"/>
    <col min="13331" max="13331" width="19.33203125" style="584" customWidth="1"/>
    <col min="13332" max="13332" width="2.21875" style="584" customWidth="1"/>
    <col min="13333" max="13333" width="19.33203125" style="584"/>
    <col min="13334" max="13334" width="2.21875" style="584" customWidth="1"/>
    <col min="13335" max="13560" width="19.33203125" style="584"/>
    <col min="13561" max="13561" width="6.33203125" style="584" customWidth="1"/>
    <col min="13562" max="13562" width="10.33203125" style="584" customWidth="1"/>
    <col min="13563" max="13563" width="6.21875" style="584" customWidth="1"/>
    <col min="13564" max="13564" width="35.33203125" style="584" customWidth="1"/>
    <col min="13565" max="13565" width="4.77734375" style="584" customWidth="1"/>
    <col min="13566" max="13566" width="39" style="584" customWidth="1"/>
    <col min="13567" max="13567" width="5" style="584" customWidth="1"/>
    <col min="13568" max="13568" width="19.33203125" style="584" customWidth="1"/>
    <col min="13569" max="13569" width="2.33203125" style="584" customWidth="1"/>
    <col min="13570" max="13570" width="19.33203125" style="584" customWidth="1"/>
    <col min="13571" max="13571" width="2.33203125" style="584" customWidth="1"/>
    <col min="13572" max="13572" width="19.33203125" style="584" customWidth="1"/>
    <col min="13573" max="13573" width="19.33203125" style="584"/>
    <col min="13574" max="13574" width="6.33203125" style="584" customWidth="1"/>
    <col min="13575" max="13575" width="19.33203125" style="584" customWidth="1"/>
    <col min="13576" max="13576" width="2.33203125" style="584" customWidth="1"/>
    <col min="13577" max="13577" width="19.33203125" style="584" customWidth="1"/>
    <col min="13578" max="13578" width="2.33203125" style="584" customWidth="1"/>
    <col min="13579" max="13579" width="19.33203125" style="584"/>
    <col min="13580" max="13580" width="6.33203125" style="584" customWidth="1"/>
    <col min="13581" max="13581" width="19.33203125" style="584" customWidth="1"/>
    <col min="13582" max="13582" width="2.33203125" style="584" customWidth="1"/>
    <col min="13583" max="13583" width="19.33203125" style="584" customWidth="1"/>
    <col min="13584" max="13584" width="2.33203125" style="584" customWidth="1"/>
    <col min="13585" max="13585" width="19.33203125" style="584" customWidth="1"/>
    <col min="13586" max="13586" width="6.33203125" style="584" customWidth="1"/>
    <col min="13587" max="13587" width="19.33203125" style="584" customWidth="1"/>
    <col min="13588" max="13588" width="2.21875" style="584" customWidth="1"/>
    <col min="13589" max="13589" width="19.33203125" style="584"/>
    <col min="13590" max="13590" width="2.21875" style="584" customWidth="1"/>
    <col min="13591" max="13816" width="19.33203125" style="584"/>
    <col min="13817" max="13817" width="6.33203125" style="584" customWidth="1"/>
    <col min="13818" max="13818" width="10.33203125" style="584" customWidth="1"/>
    <col min="13819" max="13819" width="6.21875" style="584" customWidth="1"/>
    <col min="13820" max="13820" width="35.33203125" style="584" customWidth="1"/>
    <col min="13821" max="13821" width="4.77734375" style="584" customWidth="1"/>
    <col min="13822" max="13822" width="39" style="584" customWidth="1"/>
    <col min="13823" max="13823" width="5" style="584" customWidth="1"/>
    <col min="13824" max="13824" width="19.33203125" style="584" customWidth="1"/>
    <col min="13825" max="13825" width="2.33203125" style="584" customWidth="1"/>
    <col min="13826" max="13826" width="19.33203125" style="584" customWidth="1"/>
    <col min="13827" max="13827" width="2.33203125" style="584" customWidth="1"/>
    <col min="13828" max="13828" width="19.33203125" style="584" customWidth="1"/>
    <col min="13829" max="13829" width="19.33203125" style="584"/>
    <col min="13830" max="13830" width="6.33203125" style="584" customWidth="1"/>
    <col min="13831" max="13831" width="19.33203125" style="584" customWidth="1"/>
    <col min="13832" max="13832" width="2.33203125" style="584" customWidth="1"/>
    <col min="13833" max="13833" width="19.33203125" style="584" customWidth="1"/>
    <col min="13834" max="13834" width="2.33203125" style="584" customWidth="1"/>
    <col min="13835" max="13835" width="19.33203125" style="584"/>
    <col min="13836" max="13836" width="6.33203125" style="584" customWidth="1"/>
    <col min="13837" max="13837" width="19.33203125" style="584" customWidth="1"/>
    <col min="13838" max="13838" width="2.33203125" style="584" customWidth="1"/>
    <col min="13839" max="13839" width="19.33203125" style="584" customWidth="1"/>
    <col min="13840" max="13840" width="2.33203125" style="584" customWidth="1"/>
    <col min="13841" max="13841" width="19.33203125" style="584" customWidth="1"/>
    <col min="13842" max="13842" width="6.33203125" style="584" customWidth="1"/>
    <col min="13843" max="13843" width="19.33203125" style="584" customWidth="1"/>
    <col min="13844" max="13844" width="2.21875" style="584" customWidth="1"/>
    <col min="13845" max="13845" width="19.33203125" style="584"/>
    <col min="13846" max="13846" width="2.21875" style="584" customWidth="1"/>
    <col min="13847" max="14072" width="19.33203125" style="584"/>
    <col min="14073" max="14073" width="6.33203125" style="584" customWidth="1"/>
    <col min="14074" max="14074" width="10.33203125" style="584" customWidth="1"/>
    <col min="14075" max="14075" width="6.21875" style="584" customWidth="1"/>
    <col min="14076" max="14076" width="35.33203125" style="584" customWidth="1"/>
    <col min="14077" max="14077" width="4.77734375" style="584" customWidth="1"/>
    <col min="14078" max="14078" width="39" style="584" customWidth="1"/>
    <col min="14079" max="14079" width="5" style="584" customWidth="1"/>
    <col min="14080" max="14080" width="19.33203125" style="584" customWidth="1"/>
    <col min="14081" max="14081" width="2.33203125" style="584" customWidth="1"/>
    <col min="14082" max="14082" width="19.33203125" style="584" customWidth="1"/>
    <col min="14083" max="14083" width="2.33203125" style="584" customWidth="1"/>
    <col min="14084" max="14084" width="19.33203125" style="584" customWidth="1"/>
    <col min="14085" max="14085" width="19.33203125" style="584"/>
    <col min="14086" max="14086" width="6.33203125" style="584" customWidth="1"/>
    <col min="14087" max="14087" width="19.33203125" style="584" customWidth="1"/>
    <col min="14088" max="14088" width="2.33203125" style="584" customWidth="1"/>
    <col min="14089" max="14089" width="19.33203125" style="584" customWidth="1"/>
    <col min="14090" max="14090" width="2.33203125" style="584" customWidth="1"/>
    <col min="14091" max="14091" width="19.33203125" style="584"/>
    <col min="14092" max="14092" width="6.33203125" style="584" customWidth="1"/>
    <col min="14093" max="14093" width="19.33203125" style="584" customWidth="1"/>
    <col min="14094" max="14094" width="2.33203125" style="584" customWidth="1"/>
    <col min="14095" max="14095" width="19.33203125" style="584" customWidth="1"/>
    <col min="14096" max="14096" width="2.33203125" style="584" customWidth="1"/>
    <col min="14097" max="14097" width="19.33203125" style="584" customWidth="1"/>
    <col min="14098" max="14098" width="6.33203125" style="584" customWidth="1"/>
    <col min="14099" max="14099" width="19.33203125" style="584" customWidth="1"/>
    <col min="14100" max="14100" width="2.21875" style="584" customWidth="1"/>
    <col min="14101" max="14101" width="19.33203125" style="584"/>
    <col min="14102" max="14102" width="2.21875" style="584" customWidth="1"/>
    <col min="14103" max="14328" width="19.33203125" style="584"/>
    <col min="14329" max="14329" width="6.33203125" style="584" customWidth="1"/>
    <col min="14330" max="14330" width="10.33203125" style="584" customWidth="1"/>
    <col min="14331" max="14331" width="6.21875" style="584" customWidth="1"/>
    <col min="14332" max="14332" width="35.33203125" style="584" customWidth="1"/>
    <col min="14333" max="14333" width="4.77734375" style="584" customWidth="1"/>
    <col min="14334" max="14334" width="39" style="584" customWidth="1"/>
    <col min="14335" max="14335" width="5" style="584" customWidth="1"/>
    <col min="14336" max="14336" width="19.33203125" style="584" customWidth="1"/>
    <col min="14337" max="14337" width="2.33203125" style="584" customWidth="1"/>
    <col min="14338" max="14338" width="19.33203125" style="584" customWidth="1"/>
    <col min="14339" max="14339" width="2.33203125" style="584" customWidth="1"/>
    <col min="14340" max="14340" width="19.33203125" style="584" customWidth="1"/>
    <col min="14341" max="14341" width="19.33203125" style="584"/>
    <col min="14342" max="14342" width="6.33203125" style="584" customWidth="1"/>
    <col min="14343" max="14343" width="19.33203125" style="584" customWidth="1"/>
    <col min="14344" max="14344" width="2.33203125" style="584" customWidth="1"/>
    <col min="14345" max="14345" width="19.33203125" style="584" customWidth="1"/>
    <col min="14346" max="14346" width="2.33203125" style="584" customWidth="1"/>
    <col min="14347" max="14347" width="19.33203125" style="584"/>
    <col min="14348" max="14348" width="6.33203125" style="584" customWidth="1"/>
    <col min="14349" max="14349" width="19.33203125" style="584" customWidth="1"/>
    <col min="14350" max="14350" width="2.33203125" style="584" customWidth="1"/>
    <col min="14351" max="14351" width="19.33203125" style="584" customWidth="1"/>
    <col min="14352" max="14352" width="2.33203125" style="584" customWidth="1"/>
    <col min="14353" max="14353" width="19.33203125" style="584" customWidth="1"/>
    <col min="14354" max="14354" width="6.33203125" style="584" customWidth="1"/>
    <col min="14355" max="14355" width="19.33203125" style="584" customWidth="1"/>
    <col min="14356" max="14356" width="2.21875" style="584" customWidth="1"/>
    <col min="14357" max="14357" width="19.33203125" style="584"/>
    <col min="14358" max="14358" width="2.21875" style="584" customWidth="1"/>
    <col min="14359" max="14584" width="19.33203125" style="584"/>
    <col min="14585" max="14585" width="6.33203125" style="584" customWidth="1"/>
    <col min="14586" max="14586" width="10.33203125" style="584" customWidth="1"/>
    <col min="14587" max="14587" width="6.21875" style="584" customWidth="1"/>
    <col min="14588" max="14588" width="35.33203125" style="584" customWidth="1"/>
    <col min="14589" max="14589" width="4.77734375" style="584" customWidth="1"/>
    <col min="14590" max="14590" width="39" style="584" customWidth="1"/>
    <col min="14591" max="14591" width="5" style="584" customWidth="1"/>
    <col min="14592" max="14592" width="19.33203125" style="584" customWidth="1"/>
    <col min="14593" max="14593" width="2.33203125" style="584" customWidth="1"/>
    <col min="14594" max="14594" width="19.33203125" style="584" customWidth="1"/>
    <col min="14595" max="14595" width="2.33203125" style="584" customWidth="1"/>
    <col min="14596" max="14596" width="19.33203125" style="584" customWidth="1"/>
    <col min="14597" max="14597" width="19.33203125" style="584"/>
    <col min="14598" max="14598" width="6.33203125" style="584" customWidth="1"/>
    <col min="14599" max="14599" width="19.33203125" style="584" customWidth="1"/>
    <col min="14600" max="14600" width="2.33203125" style="584" customWidth="1"/>
    <col min="14601" max="14601" width="19.33203125" style="584" customWidth="1"/>
    <col min="14602" max="14602" width="2.33203125" style="584" customWidth="1"/>
    <col min="14603" max="14603" width="19.33203125" style="584"/>
    <col min="14604" max="14604" width="6.33203125" style="584" customWidth="1"/>
    <col min="14605" max="14605" width="19.33203125" style="584" customWidth="1"/>
    <col min="14606" max="14606" width="2.33203125" style="584" customWidth="1"/>
    <col min="14607" max="14607" width="19.33203125" style="584" customWidth="1"/>
    <col min="14608" max="14608" width="2.33203125" style="584" customWidth="1"/>
    <col min="14609" max="14609" width="19.33203125" style="584" customWidth="1"/>
    <col min="14610" max="14610" width="6.33203125" style="584" customWidth="1"/>
    <col min="14611" max="14611" width="19.33203125" style="584" customWidth="1"/>
    <col min="14612" max="14612" width="2.21875" style="584" customWidth="1"/>
    <col min="14613" max="14613" width="19.33203125" style="584"/>
    <col min="14614" max="14614" width="2.21875" style="584" customWidth="1"/>
    <col min="14615" max="14840" width="19.33203125" style="584"/>
    <col min="14841" max="14841" width="6.33203125" style="584" customWidth="1"/>
    <col min="14842" max="14842" width="10.33203125" style="584" customWidth="1"/>
    <col min="14843" max="14843" width="6.21875" style="584" customWidth="1"/>
    <col min="14844" max="14844" width="35.33203125" style="584" customWidth="1"/>
    <col min="14845" max="14845" width="4.77734375" style="584" customWidth="1"/>
    <col min="14846" max="14846" width="39" style="584" customWidth="1"/>
    <col min="14847" max="14847" width="5" style="584" customWidth="1"/>
    <col min="14848" max="14848" width="19.33203125" style="584" customWidth="1"/>
    <col min="14849" max="14849" width="2.33203125" style="584" customWidth="1"/>
    <col min="14850" max="14850" width="19.33203125" style="584" customWidth="1"/>
    <col min="14851" max="14851" width="2.33203125" style="584" customWidth="1"/>
    <col min="14852" max="14852" width="19.33203125" style="584" customWidth="1"/>
    <col min="14853" max="14853" width="19.33203125" style="584"/>
    <col min="14854" max="14854" width="6.33203125" style="584" customWidth="1"/>
    <col min="14855" max="14855" width="19.33203125" style="584" customWidth="1"/>
    <col min="14856" max="14856" width="2.33203125" style="584" customWidth="1"/>
    <col min="14857" max="14857" width="19.33203125" style="584" customWidth="1"/>
    <col min="14858" max="14858" width="2.33203125" style="584" customWidth="1"/>
    <col min="14859" max="14859" width="19.33203125" style="584"/>
    <col min="14860" max="14860" width="6.33203125" style="584" customWidth="1"/>
    <col min="14861" max="14861" width="19.33203125" style="584" customWidth="1"/>
    <col min="14862" max="14862" width="2.33203125" style="584" customWidth="1"/>
    <col min="14863" max="14863" width="19.33203125" style="584" customWidth="1"/>
    <col min="14864" max="14864" width="2.33203125" style="584" customWidth="1"/>
    <col min="14865" max="14865" width="19.33203125" style="584" customWidth="1"/>
    <col min="14866" max="14866" width="6.33203125" style="584" customWidth="1"/>
    <col min="14867" max="14867" width="19.33203125" style="584" customWidth="1"/>
    <col min="14868" max="14868" width="2.21875" style="584" customWidth="1"/>
    <col min="14869" max="14869" width="19.33203125" style="584"/>
    <col min="14870" max="14870" width="2.21875" style="584" customWidth="1"/>
    <col min="14871" max="15096" width="19.33203125" style="584"/>
    <col min="15097" max="15097" width="6.33203125" style="584" customWidth="1"/>
    <col min="15098" max="15098" width="10.33203125" style="584" customWidth="1"/>
    <col min="15099" max="15099" width="6.21875" style="584" customWidth="1"/>
    <col min="15100" max="15100" width="35.33203125" style="584" customWidth="1"/>
    <col min="15101" max="15101" width="4.77734375" style="584" customWidth="1"/>
    <col min="15102" max="15102" width="39" style="584" customWidth="1"/>
    <col min="15103" max="15103" width="5" style="584" customWidth="1"/>
    <col min="15104" max="15104" width="19.33203125" style="584" customWidth="1"/>
    <col min="15105" max="15105" width="2.33203125" style="584" customWidth="1"/>
    <col min="15106" max="15106" width="19.33203125" style="584" customWidth="1"/>
    <col min="15107" max="15107" width="2.33203125" style="584" customWidth="1"/>
    <col min="15108" max="15108" width="19.33203125" style="584" customWidth="1"/>
    <col min="15109" max="15109" width="19.33203125" style="584"/>
    <col min="15110" max="15110" width="6.33203125" style="584" customWidth="1"/>
    <col min="15111" max="15111" width="19.33203125" style="584" customWidth="1"/>
    <col min="15112" max="15112" width="2.33203125" style="584" customWidth="1"/>
    <col min="15113" max="15113" width="19.33203125" style="584" customWidth="1"/>
    <col min="15114" max="15114" width="2.33203125" style="584" customWidth="1"/>
    <col min="15115" max="15115" width="19.33203125" style="584"/>
    <col min="15116" max="15116" width="6.33203125" style="584" customWidth="1"/>
    <col min="15117" max="15117" width="19.33203125" style="584" customWidth="1"/>
    <col min="15118" max="15118" width="2.33203125" style="584" customWidth="1"/>
    <col min="15119" max="15119" width="19.33203125" style="584" customWidth="1"/>
    <col min="15120" max="15120" width="2.33203125" style="584" customWidth="1"/>
    <col min="15121" max="15121" width="19.33203125" style="584" customWidth="1"/>
    <col min="15122" max="15122" width="6.33203125" style="584" customWidth="1"/>
    <col min="15123" max="15123" width="19.33203125" style="584" customWidth="1"/>
    <col min="15124" max="15124" width="2.21875" style="584" customWidth="1"/>
    <col min="15125" max="15125" width="19.33203125" style="584"/>
    <col min="15126" max="15126" width="2.21875" style="584" customWidth="1"/>
    <col min="15127" max="15352" width="19.33203125" style="584"/>
    <col min="15353" max="15353" width="6.33203125" style="584" customWidth="1"/>
    <col min="15354" max="15354" width="10.33203125" style="584" customWidth="1"/>
    <col min="15355" max="15355" width="6.21875" style="584" customWidth="1"/>
    <col min="15356" max="15356" width="35.33203125" style="584" customWidth="1"/>
    <col min="15357" max="15357" width="4.77734375" style="584" customWidth="1"/>
    <col min="15358" max="15358" width="39" style="584" customWidth="1"/>
    <col min="15359" max="15359" width="5" style="584" customWidth="1"/>
    <col min="15360" max="15360" width="19.33203125" style="584" customWidth="1"/>
    <col min="15361" max="15361" width="2.33203125" style="584" customWidth="1"/>
    <col min="15362" max="15362" width="19.33203125" style="584" customWidth="1"/>
    <col min="15363" max="15363" width="2.33203125" style="584" customWidth="1"/>
    <col min="15364" max="15364" width="19.33203125" style="584" customWidth="1"/>
    <col min="15365" max="15365" width="19.33203125" style="584"/>
    <col min="15366" max="15366" width="6.33203125" style="584" customWidth="1"/>
    <col min="15367" max="15367" width="19.33203125" style="584" customWidth="1"/>
    <col min="15368" max="15368" width="2.33203125" style="584" customWidth="1"/>
    <col min="15369" max="15369" width="19.33203125" style="584" customWidth="1"/>
    <col min="15370" max="15370" width="2.33203125" style="584" customWidth="1"/>
    <col min="15371" max="15371" width="19.33203125" style="584"/>
    <col min="15372" max="15372" width="6.33203125" style="584" customWidth="1"/>
    <col min="15373" max="15373" width="19.33203125" style="584" customWidth="1"/>
    <col min="15374" max="15374" width="2.33203125" style="584" customWidth="1"/>
    <col min="15375" max="15375" width="19.33203125" style="584" customWidth="1"/>
    <col min="15376" max="15376" width="2.33203125" style="584" customWidth="1"/>
    <col min="15377" max="15377" width="19.33203125" style="584" customWidth="1"/>
    <col min="15378" max="15378" width="6.33203125" style="584" customWidth="1"/>
    <col min="15379" max="15379" width="19.33203125" style="584" customWidth="1"/>
    <col min="15380" max="15380" width="2.21875" style="584" customWidth="1"/>
    <col min="15381" max="15381" width="19.33203125" style="584"/>
    <col min="15382" max="15382" width="2.21875" style="584" customWidth="1"/>
    <col min="15383" max="15608" width="19.33203125" style="584"/>
    <col min="15609" max="15609" width="6.33203125" style="584" customWidth="1"/>
    <col min="15610" max="15610" width="10.33203125" style="584" customWidth="1"/>
    <col min="15611" max="15611" width="6.21875" style="584" customWidth="1"/>
    <col min="15612" max="15612" width="35.33203125" style="584" customWidth="1"/>
    <col min="15613" max="15613" width="4.77734375" style="584" customWidth="1"/>
    <col min="15614" max="15614" width="39" style="584" customWidth="1"/>
    <col min="15615" max="15615" width="5" style="584" customWidth="1"/>
    <col min="15616" max="15616" width="19.33203125" style="584" customWidth="1"/>
    <col min="15617" max="15617" width="2.33203125" style="584" customWidth="1"/>
    <col min="15618" max="15618" width="19.33203125" style="584" customWidth="1"/>
    <col min="15619" max="15619" width="2.33203125" style="584" customWidth="1"/>
    <col min="15620" max="15620" width="19.33203125" style="584" customWidth="1"/>
    <col min="15621" max="15621" width="19.33203125" style="584"/>
    <col min="15622" max="15622" width="6.33203125" style="584" customWidth="1"/>
    <col min="15623" max="15623" width="19.33203125" style="584" customWidth="1"/>
    <col min="15624" max="15624" width="2.33203125" style="584" customWidth="1"/>
    <col min="15625" max="15625" width="19.33203125" style="584" customWidth="1"/>
    <col min="15626" max="15626" width="2.33203125" style="584" customWidth="1"/>
    <col min="15627" max="15627" width="19.33203125" style="584"/>
    <col min="15628" max="15628" width="6.33203125" style="584" customWidth="1"/>
    <col min="15629" max="15629" width="19.33203125" style="584" customWidth="1"/>
    <col min="15630" max="15630" width="2.33203125" style="584" customWidth="1"/>
    <col min="15631" max="15631" width="19.33203125" style="584" customWidth="1"/>
    <col min="15632" max="15632" width="2.33203125" style="584" customWidth="1"/>
    <col min="15633" max="15633" width="19.33203125" style="584" customWidth="1"/>
    <col min="15634" max="15634" width="6.33203125" style="584" customWidth="1"/>
    <col min="15635" max="15635" width="19.33203125" style="584" customWidth="1"/>
    <col min="15636" max="15636" width="2.21875" style="584" customWidth="1"/>
    <col min="15637" max="15637" width="19.33203125" style="584"/>
    <col min="15638" max="15638" width="2.21875" style="584" customWidth="1"/>
    <col min="15639" max="15864" width="19.33203125" style="584"/>
    <col min="15865" max="15865" width="6.33203125" style="584" customWidth="1"/>
    <col min="15866" max="15866" width="10.33203125" style="584" customWidth="1"/>
    <col min="15867" max="15867" width="6.21875" style="584" customWidth="1"/>
    <col min="15868" max="15868" width="35.33203125" style="584" customWidth="1"/>
    <col min="15869" max="15869" width="4.77734375" style="584" customWidth="1"/>
    <col min="15870" max="15870" width="39" style="584" customWidth="1"/>
    <col min="15871" max="15871" width="5" style="584" customWidth="1"/>
    <col min="15872" max="15872" width="19.33203125" style="584" customWidth="1"/>
    <col min="15873" max="15873" width="2.33203125" style="584" customWidth="1"/>
    <col min="15874" max="15874" width="19.33203125" style="584" customWidth="1"/>
    <col min="15875" max="15875" width="2.33203125" style="584" customWidth="1"/>
    <col min="15876" max="15876" width="19.33203125" style="584" customWidth="1"/>
    <col min="15877" max="15877" width="19.33203125" style="584"/>
    <col min="15878" max="15878" width="6.33203125" style="584" customWidth="1"/>
    <col min="15879" max="15879" width="19.33203125" style="584" customWidth="1"/>
    <col min="15880" max="15880" width="2.33203125" style="584" customWidth="1"/>
    <col min="15881" max="15881" width="19.33203125" style="584" customWidth="1"/>
    <col min="15882" max="15882" width="2.33203125" style="584" customWidth="1"/>
    <col min="15883" max="15883" width="19.33203125" style="584"/>
    <col min="15884" max="15884" width="6.33203125" style="584" customWidth="1"/>
    <col min="15885" max="15885" width="19.33203125" style="584" customWidth="1"/>
    <col min="15886" max="15886" width="2.33203125" style="584" customWidth="1"/>
    <col min="15887" max="15887" width="19.33203125" style="584" customWidth="1"/>
    <col min="15888" max="15888" width="2.33203125" style="584" customWidth="1"/>
    <col min="15889" max="15889" width="19.33203125" style="584" customWidth="1"/>
    <col min="15890" max="15890" width="6.33203125" style="584" customWidth="1"/>
    <col min="15891" max="15891" width="19.33203125" style="584" customWidth="1"/>
    <col min="15892" max="15892" width="2.21875" style="584" customWidth="1"/>
    <col min="15893" max="15893" width="19.33203125" style="584"/>
    <col min="15894" max="15894" width="2.21875" style="584" customWidth="1"/>
    <col min="15895" max="16120" width="19.33203125" style="584"/>
    <col min="16121" max="16121" width="6.33203125" style="584" customWidth="1"/>
    <col min="16122" max="16122" width="10.33203125" style="584" customWidth="1"/>
    <col min="16123" max="16123" width="6.21875" style="584" customWidth="1"/>
    <col min="16124" max="16124" width="35.33203125" style="584" customWidth="1"/>
    <col min="16125" max="16125" width="4.77734375" style="584" customWidth="1"/>
    <col min="16126" max="16126" width="39" style="584" customWidth="1"/>
    <col min="16127" max="16127" width="5" style="584" customWidth="1"/>
    <col min="16128" max="16128" width="19.33203125" style="584" customWidth="1"/>
    <col min="16129" max="16129" width="2.33203125" style="584" customWidth="1"/>
    <col min="16130" max="16130" width="19.33203125" style="584" customWidth="1"/>
    <col min="16131" max="16131" width="2.33203125" style="584" customWidth="1"/>
    <col min="16132" max="16132" width="19.33203125" style="584" customWidth="1"/>
    <col min="16133" max="16133" width="19.33203125" style="584"/>
    <col min="16134" max="16134" width="6.33203125" style="584" customWidth="1"/>
    <col min="16135" max="16135" width="19.33203125" style="584" customWidth="1"/>
    <col min="16136" max="16136" width="2.33203125" style="584" customWidth="1"/>
    <col min="16137" max="16137" width="19.33203125" style="584" customWidth="1"/>
    <col min="16138" max="16138" width="2.33203125" style="584" customWidth="1"/>
    <col min="16139" max="16139" width="19.33203125" style="584"/>
    <col min="16140" max="16140" width="6.33203125" style="584" customWidth="1"/>
    <col min="16141" max="16141" width="19.33203125" style="584" customWidth="1"/>
    <col min="16142" max="16142" width="2.33203125" style="584" customWidth="1"/>
    <col min="16143" max="16143" width="19.33203125" style="584" customWidth="1"/>
    <col min="16144" max="16144" width="2.33203125" style="584" customWidth="1"/>
    <col min="16145" max="16145" width="19.33203125" style="584" customWidth="1"/>
    <col min="16146" max="16146" width="6.33203125" style="584" customWidth="1"/>
    <col min="16147" max="16147" width="19.33203125" style="584" customWidth="1"/>
    <col min="16148" max="16148" width="2.21875" style="584" customWidth="1"/>
    <col min="16149" max="16149" width="19.33203125" style="584"/>
    <col min="16150" max="16150" width="2.21875" style="584" customWidth="1"/>
    <col min="16151" max="16384" width="19.33203125" style="584"/>
  </cols>
  <sheetData>
    <row r="1" spans="1:23" s="589" customFormat="1">
      <c r="A1" s="584"/>
      <c r="B1" s="584"/>
      <c r="C1" s="585"/>
      <c r="D1" s="585"/>
      <c r="E1" s="586"/>
      <c r="F1" s="586"/>
      <c r="G1" s="579"/>
      <c r="H1" s="584"/>
      <c r="I1" s="584"/>
      <c r="J1" s="584"/>
      <c r="K1" s="587"/>
      <c r="L1" s="587"/>
      <c r="M1" s="587"/>
      <c r="N1" s="587"/>
      <c r="O1" s="587"/>
      <c r="P1" s="587"/>
      <c r="Q1" s="587"/>
      <c r="R1" s="588"/>
    </row>
    <row r="2" spans="1:23" s="589" customFormat="1">
      <c r="A2" s="584"/>
      <c r="B2" s="584"/>
      <c r="C2" s="585"/>
      <c r="D2" s="585"/>
      <c r="E2" s="586"/>
      <c r="F2" s="586"/>
      <c r="G2" s="59"/>
      <c r="H2" s="584"/>
      <c r="I2" s="584"/>
      <c r="J2" s="584"/>
      <c r="K2" s="587"/>
      <c r="L2" s="587"/>
      <c r="M2" s="587"/>
      <c r="N2" s="587"/>
      <c r="O2" s="587"/>
      <c r="P2" s="587"/>
      <c r="Q2" s="587"/>
      <c r="R2" s="588"/>
    </row>
    <row r="3" spans="1:23" s="589" customFormat="1">
      <c r="A3" s="584"/>
      <c r="B3" s="584"/>
      <c r="C3" s="585"/>
      <c r="D3" s="585"/>
      <c r="E3" s="586"/>
      <c r="F3" s="586"/>
      <c r="G3" s="584"/>
      <c r="H3" s="590"/>
      <c r="I3" s="590"/>
      <c r="J3" s="584"/>
      <c r="K3" s="587"/>
      <c r="L3" s="587"/>
      <c r="M3" s="587"/>
      <c r="N3" s="587"/>
      <c r="O3" s="587"/>
      <c r="P3" s="587"/>
      <c r="Q3" s="587"/>
      <c r="R3" s="588"/>
    </row>
    <row r="4" spans="1:23" s="216" customFormat="1" ht="17.399999999999999">
      <c r="A4" s="384"/>
      <c r="B4" s="384"/>
      <c r="C4" s="384"/>
      <c r="D4" s="384"/>
      <c r="E4" s="1159"/>
      <c r="F4" s="591"/>
      <c r="G4" s="1505" t="s">
        <v>0</v>
      </c>
      <c r="H4" s="1505"/>
      <c r="I4" s="1505"/>
      <c r="J4" s="1505"/>
      <c r="K4" s="1505"/>
      <c r="L4" s="1505"/>
      <c r="M4" s="1505"/>
      <c r="N4" s="1505"/>
      <c r="O4" s="1505"/>
      <c r="P4" s="1505"/>
      <c r="Q4" s="1505"/>
      <c r="R4" s="59"/>
    </row>
    <row r="5" spans="1:23" s="216" customFormat="1" ht="17.399999999999999">
      <c r="A5" s="384"/>
      <c r="B5" s="384"/>
      <c r="C5" s="384"/>
      <c r="D5" s="384"/>
      <c r="E5" s="1159"/>
      <c r="F5" s="591"/>
      <c r="G5" s="1505" t="s">
        <v>1</v>
      </c>
      <c r="H5" s="1505"/>
      <c r="I5" s="1505"/>
      <c r="J5" s="1505"/>
      <c r="K5" s="1505"/>
      <c r="L5" s="1505"/>
      <c r="M5" s="1505"/>
      <c r="N5" s="1505"/>
      <c r="O5" s="1505"/>
      <c r="P5" s="1505"/>
      <c r="Q5" s="1505"/>
      <c r="R5" s="59"/>
    </row>
    <row r="6" spans="1:23" s="216" customFormat="1" ht="17.399999999999999">
      <c r="A6" s="384"/>
      <c r="B6" s="384"/>
      <c r="C6" s="384"/>
      <c r="D6" s="384"/>
      <c r="E6" s="1159"/>
      <c r="F6" s="591"/>
      <c r="G6" s="1464" t="str">
        <f>SUMMARY!A7</f>
        <v>YEAR ENDING DECEMBER 31, 2022</v>
      </c>
      <c r="H6" s="1464"/>
      <c r="I6" s="1464"/>
      <c r="J6" s="1464"/>
      <c r="K6" s="1464"/>
      <c r="L6" s="1464"/>
      <c r="M6" s="1464"/>
      <c r="N6" s="1464"/>
      <c r="O6" s="1464"/>
      <c r="P6" s="1464"/>
      <c r="Q6" s="1464"/>
      <c r="R6" s="59"/>
    </row>
    <row r="7" spans="1:23" s="216" customFormat="1" ht="12" customHeight="1">
      <c r="A7" s="382"/>
      <c r="B7" s="548"/>
      <c r="C7" s="382"/>
      <c r="D7" s="382"/>
      <c r="E7" s="1160"/>
      <c r="F7" s="592"/>
      <c r="G7" s="382"/>
      <c r="H7" s="382"/>
      <c r="I7" s="382"/>
      <c r="J7" s="59"/>
      <c r="K7" s="547"/>
      <c r="L7" s="547"/>
      <c r="M7" s="547"/>
      <c r="N7" s="547"/>
      <c r="O7" s="547"/>
      <c r="P7" s="547"/>
      <c r="Q7" s="547"/>
      <c r="R7" s="59"/>
    </row>
    <row r="8" spans="1:23" s="216" customFormat="1" ht="17.399999999999999">
      <c r="A8" s="384"/>
      <c r="B8" s="384"/>
      <c r="C8" s="384"/>
      <c r="D8" s="384"/>
      <c r="E8" s="1159"/>
      <c r="F8" s="591"/>
      <c r="G8" s="1463" t="s">
        <v>1237</v>
      </c>
      <c r="H8" s="1463"/>
      <c r="I8" s="1463"/>
      <c r="J8" s="1463"/>
      <c r="K8" s="1463"/>
      <c r="L8" s="1463"/>
      <c r="M8" s="1463"/>
      <c r="N8" s="1463"/>
      <c r="O8" s="1463"/>
      <c r="P8" s="1463"/>
      <c r="Q8" s="1463"/>
      <c r="R8" s="59"/>
    </row>
    <row r="9" spans="1:23" s="216" customFormat="1" ht="17.399999999999999">
      <c r="A9" s="384"/>
      <c r="B9" s="384"/>
      <c r="C9" s="384"/>
      <c r="D9" s="384"/>
      <c r="E9" s="1159"/>
      <c r="F9" s="591"/>
      <c r="G9" s="1464" t="s">
        <v>2080</v>
      </c>
      <c r="H9" s="1464"/>
      <c r="I9" s="1464"/>
      <c r="J9" s="1464"/>
      <c r="K9" s="1464"/>
      <c r="L9" s="1464"/>
      <c r="M9" s="1464"/>
      <c r="N9" s="1464"/>
      <c r="O9" s="1464"/>
      <c r="P9" s="1464"/>
      <c r="Q9" s="1464"/>
      <c r="R9" s="59"/>
    </row>
    <row r="10" spans="1:23" s="216" customFormat="1" ht="17.399999999999999">
      <c r="A10" s="1279"/>
      <c r="B10" s="1279"/>
      <c r="C10" s="1279"/>
      <c r="D10" s="1279"/>
      <c r="E10" s="1159"/>
      <c r="F10" s="591"/>
      <c r="G10" s="64" t="s">
        <v>8</v>
      </c>
      <c r="H10" s="64" t="s">
        <v>9</v>
      </c>
      <c r="I10" s="64" t="s">
        <v>359</v>
      </c>
      <c r="J10" s="64"/>
      <c r="K10" s="64" t="s">
        <v>360</v>
      </c>
      <c r="L10" s="64" t="s">
        <v>162</v>
      </c>
      <c r="M10" s="64" t="s">
        <v>163</v>
      </c>
      <c r="N10" s="64" t="s">
        <v>228</v>
      </c>
      <c r="O10" s="64" t="s">
        <v>361</v>
      </c>
      <c r="P10" s="64" t="s">
        <v>362</v>
      </c>
      <c r="Q10" s="64" t="s">
        <v>363</v>
      </c>
      <c r="R10" s="64" t="s">
        <v>364</v>
      </c>
    </row>
    <row r="11" spans="1:23" s="216" customFormat="1" ht="17.399999999999999">
      <c r="A11" s="1279"/>
      <c r="B11" s="1279"/>
      <c r="C11" s="1279"/>
      <c r="D11" s="1279"/>
      <c r="E11" s="1159"/>
      <c r="F11" s="591"/>
      <c r="G11" s="1279"/>
      <c r="H11" s="1279"/>
      <c r="I11" s="1279"/>
      <c r="J11" s="59"/>
      <c r="K11" s="547"/>
      <c r="L11" s="547"/>
      <c r="M11" s="547"/>
      <c r="N11" s="547"/>
      <c r="O11" s="547"/>
      <c r="P11" s="547"/>
      <c r="Q11" s="547"/>
      <c r="R11" s="59"/>
    </row>
    <row r="12" spans="1:23" s="216" customFormat="1" ht="17.399999999999999">
      <c r="A12" s="1279"/>
      <c r="B12" s="1279"/>
      <c r="C12" s="1279"/>
      <c r="D12" s="1279"/>
      <c r="E12" s="1159"/>
      <c r="F12" s="591"/>
      <c r="G12" s="1279"/>
      <c r="H12" s="1279"/>
      <c r="I12" s="1279"/>
      <c r="J12" s="59"/>
      <c r="K12" s="547"/>
      <c r="L12" s="547"/>
      <c r="M12" s="547"/>
      <c r="N12" s="547"/>
      <c r="O12" s="547"/>
      <c r="P12" s="547"/>
      <c r="Q12" s="547"/>
      <c r="R12" s="59"/>
    </row>
    <row r="13" spans="1:23" s="216" customFormat="1" ht="17.399999999999999">
      <c r="A13" s="1279"/>
      <c r="B13" s="1279"/>
      <c r="C13" s="1279"/>
      <c r="D13" s="1279"/>
      <c r="E13" s="1159"/>
      <c r="F13" s="591"/>
      <c r="G13" s="1279"/>
      <c r="H13" s="1279"/>
      <c r="I13" s="1279"/>
      <c r="J13" s="59"/>
      <c r="K13" s="1507" t="s">
        <v>1330</v>
      </c>
      <c r="L13" s="1508"/>
      <c r="M13" s="1508"/>
      <c r="N13" s="1509"/>
      <c r="O13" s="1507" t="s">
        <v>1238</v>
      </c>
      <c r="P13" s="1508"/>
      <c r="Q13" s="1508"/>
      <c r="R13" s="1509"/>
      <c r="S13" s="1388"/>
    </row>
    <row r="14" spans="1:23" s="2" customFormat="1">
      <c r="A14" s="46"/>
      <c r="B14" s="105"/>
      <c r="C14" s="105"/>
      <c r="D14" s="105"/>
      <c r="E14" s="1161"/>
      <c r="F14" s="593"/>
      <c r="G14" s="105"/>
      <c r="H14" s="105"/>
      <c r="I14" s="105"/>
      <c r="J14" s="105"/>
      <c r="K14" s="29"/>
      <c r="L14" s="29"/>
      <c r="M14" s="29"/>
      <c r="N14" s="29"/>
      <c r="O14" s="29"/>
      <c r="P14" s="29"/>
      <c r="Q14" s="29"/>
      <c r="R14" s="105"/>
    </row>
    <row r="15" spans="1:23" s="594" customFormat="1">
      <c r="C15" s="595"/>
      <c r="D15" s="595"/>
      <c r="E15" s="586"/>
      <c r="F15" s="596"/>
      <c r="G15" s="596"/>
      <c r="K15" s="597" t="s">
        <v>1239</v>
      </c>
      <c r="L15" s="29"/>
      <c r="M15" s="597" t="s">
        <v>1239</v>
      </c>
      <c r="N15" s="597"/>
      <c r="O15" s="597" t="s">
        <v>1239</v>
      </c>
      <c r="P15" s="29"/>
      <c r="Q15" s="597" t="s">
        <v>1239</v>
      </c>
      <c r="R15" s="598"/>
      <c r="S15" s="599" t="s">
        <v>1239</v>
      </c>
      <c r="W15" s="599" t="s">
        <v>1239</v>
      </c>
    </row>
    <row r="16" spans="1:23" s="594" customFormat="1">
      <c r="C16" s="595"/>
      <c r="D16" s="595"/>
      <c r="E16" s="586"/>
      <c r="F16" s="596"/>
      <c r="G16" s="596"/>
      <c r="H16" s="600"/>
      <c r="I16" s="600"/>
      <c r="K16" s="597" t="s">
        <v>352</v>
      </c>
      <c r="L16" s="597" t="s">
        <v>353</v>
      </c>
      <c r="M16" s="597" t="s">
        <v>352</v>
      </c>
      <c r="N16" s="597" t="s">
        <v>305</v>
      </c>
      <c r="O16" s="597" t="s">
        <v>352</v>
      </c>
      <c r="P16" s="597" t="s">
        <v>353</v>
      </c>
      <c r="Q16" s="597" t="s">
        <v>352</v>
      </c>
      <c r="R16" s="597" t="s">
        <v>305</v>
      </c>
      <c r="S16" s="599" t="s">
        <v>1240</v>
      </c>
      <c r="U16" s="599" t="s">
        <v>353</v>
      </c>
      <c r="W16" s="599" t="s">
        <v>1240</v>
      </c>
    </row>
    <row r="17" spans="1:25" s="594" customFormat="1" ht="16.2" thickBot="1">
      <c r="C17" s="595"/>
      <c r="D17" s="595"/>
      <c r="E17" s="586"/>
      <c r="F17" s="596"/>
      <c r="G17" s="596"/>
      <c r="K17" s="601" t="s">
        <v>355</v>
      </c>
      <c r="L17" s="601" t="s">
        <v>356</v>
      </c>
      <c r="M17" s="601" t="s">
        <v>1241</v>
      </c>
      <c r="N17" s="601" t="s">
        <v>358</v>
      </c>
      <c r="O17" s="601" t="s">
        <v>355</v>
      </c>
      <c r="P17" s="601" t="s">
        <v>356</v>
      </c>
      <c r="Q17" s="601" t="s">
        <v>1241</v>
      </c>
      <c r="R17" s="601" t="s">
        <v>358</v>
      </c>
      <c r="S17" s="602" t="s">
        <v>1242</v>
      </c>
      <c r="U17" s="602" t="s">
        <v>305</v>
      </c>
      <c r="W17" s="602" t="s">
        <v>1243</v>
      </c>
    </row>
    <row r="18" spans="1:25" s="610" customFormat="1" ht="18">
      <c r="A18" s="603"/>
      <c r="B18" s="604"/>
      <c r="C18" s="605"/>
      <c r="D18" s="605"/>
      <c r="E18" s="590" t="s">
        <v>7</v>
      </c>
      <c r="F18" s="579" t="s">
        <v>225</v>
      </c>
      <c r="G18" s="607" t="s">
        <v>1244</v>
      </c>
      <c r="H18" s="603"/>
      <c r="I18" s="603"/>
      <c r="J18" s="603"/>
      <c r="K18" s="608"/>
      <c r="L18" s="608"/>
      <c r="M18" s="587"/>
      <c r="N18" s="587"/>
      <c r="O18" s="608"/>
      <c r="P18" s="608"/>
      <c r="Q18" s="587"/>
      <c r="R18" s="587"/>
      <c r="S18" s="609"/>
      <c r="U18" s="609"/>
      <c r="W18" s="609"/>
    </row>
    <row r="19" spans="1:25" s="610" customFormat="1" ht="12.75" customHeight="1">
      <c r="A19" s="603"/>
      <c r="B19" s="604"/>
      <c r="C19" s="611"/>
      <c r="D19" s="552"/>
      <c r="E19" s="590">
        <v>1</v>
      </c>
      <c r="F19" s="606"/>
      <c r="G19" s="612"/>
      <c r="H19" s="603"/>
      <c r="I19" s="603"/>
      <c r="J19" s="603"/>
      <c r="K19" s="608"/>
      <c r="L19" s="608"/>
      <c r="M19" s="587"/>
      <c r="N19" s="587"/>
      <c r="O19" s="608"/>
      <c r="P19" s="608"/>
      <c r="Q19" s="587"/>
      <c r="R19" s="587"/>
      <c r="S19" s="609"/>
      <c r="U19" s="609"/>
      <c r="W19" s="609"/>
    </row>
    <row r="20" spans="1:25" s="619" customFormat="1">
      <c r="A20" s="565" t="s">
        <v>1245</v>
      </c>
      <c r="B20" s="613" t="s">
        <v>1246</v>
      </c>
      <c r="C20" s="614" t="s">
        <v>1247</v>
      </c>
      <c r="D20" s="615" t="str">
        <f>CONCATENATE(H20,G20,I20)</f>
        <v>500mW C - C at Astoria353Station Equip - Transmission</v>
      </c>
      <c r="E20" s="612" t="s">
        <v>167</v>
      </c>
      <c r="F20" s="310" t="str">
        <f>CONCATENATE("WP-BC, line ",VLOOKUP(D20,'WP-BC'!$A$18:$N$341,2,FALSE))</f>
        <v>WP-BC, line 10as</v>
      </c>
      <c r="G20" s="616">
        <v>353</v>
      </c>
      <c r="H20" s="570" t="s">
        <v>1247</v>
      </c>
      <c r="I20" s="569" t="s">
        <v>1248</v>
      </c>
      <c r="J20" s="565"/>
      <c r="K20" s="617">
        <f>VLOOKUP($D20,'WP-BC'!$A$1:$N$358,7,FALSE)</f>
        <v>94674093</v>
      </c>
      <c r="L20" s="617">
        <f>VLOOKUP($D20,'WP-BC'!$A$1:$N$358,8,FALSE)</f>
        <v>44630412</v>
      </c>
      <c r="M20" s="618">
        <f>+K20-L20</f>
        <v>50043681</v>
      </c>
      <c r="N20" s="617">
        <f>VLOOKUP($D20,'WP-BC'!$A$1:$N$358,10,FALSE)</f>
        <v>2646357</v>
      </c>
      <c r="O20" s="617">
        <f>VLOOKUP($D20,'WP-BC'!$A$1:$N$358,11,FALSE)</f>
        <v>87822364.659999996</v>
      </c>
      <c r="P20" s="617">
        <f>VLOOKUP($D20,'WP-BC'!$A$1:$N$358,12,FALSE)</f>
        <v>41984054.359999999</v>
      </c>
      <c r="Q20" s="618">
        <f>+O20-P20</f>
        <v>45838310.299999997</v>
      </c>
      <c r="R20" s="617">
        <f>VLOOKUP($D20,'WP-BC'!$A$1:$N$358,14,FALSE)</f>
        <v>2818673</v>
      </c>
      <c r="S20" s="537">
        <v>71707767.760000005</v>
      </c>
      <c r="T20" s="537"/>
      <c r="U20" s="537">
        <v>9509690.2599999998</v>
      </c>
      <c r="V20" s="537"/>
      <c r="W20" s="537">
        <f>+S20-U20</f>
        <v>62198077.500000007</v>
      </c>
      <c r="X20" s="331"/>
      <c r="Y20" s="331"/>
    </row>
    <row r="21" spans="1:25" s="619" customFormat="1">
      <c r="A21" s="565"/>
      <c r="B21" s="613" t="s">
        <v>1246</v>
      </c>
      <c r="C21" s="614" t="s">
        <v>1247</v>
      </c>
      <c r="D21" s="615" t="str">
        <f>CONCATENATE(H21,G21,I21)</f>
        <v/>
      </c>
      <c r="E21" s="1162" t="s">
        <v>146</v>
      </c>
      <c r="F21" s="620"/>
      <c r="G21" s="621"/>
      <c r="H21" s="622"/>
      <c r="I21" s="620"/>
      <c r="J21" s="565"/>
      <c r="K21" s="623" t="s">
        <v>768</v>
      </c>
      <c r="L21" s="623" t="s">
        <v>768</v>
      </c>
      <c r="M21" s="623" t="s">
        <v>768</v>
      </c>
      <c r="N21" s="623" t="s">
        <v>768</v>
      </c>
      <c r="O21" s="623" t="s">
        <v>768</v>
      </c>
      <c r="P21" s="623" t="s">
        <v>768</v>
      </c>
      <c r="Q21" s="623" t="s">
        <v>768</v>
      </c>
      <c r="R21" s="623" t="s">
        <v>768</v>
      </c>
      <c r="S21" s="537"/>
      <c r="T21" s="537"/>
      <c r="U21" s="537"/>
      <c r="V21" s="537"/>
      <c r="W21" s="537"/>
      <c r="X21" s="331"/>
      <c r="Y21" s="331"/>
    </row>
    <row r="22" spans="1:25" s="619" customFormat="1">
      <c r="A22" s="565"/>
      <c r="B22" s="613"/>
      <c r="C22" s="614"/>
      <c r="D22" s="615"/>
      <c r="E22" s="643"/>
      <c r="F22" s="598"/>
      <c r="G22" s="625"/>
      <c r="H22" s="626"/>
      <c r="I22" s="626"/>
      <c r="J22" s="565"/>
      <c r="K22" s="627"/>
      <c r="L22" s="627"/>
      <c r="M22" s="628"/>
      <c r="N22" s="627"/>
      <c r="O22" s="627"/>
      <c r="P22" s="627"/>
      <c r="Q22" s="628"/>
      <c r="R22" s="627"/>
      <c r="S22" s="537"/>
      <c r="T22" s="537"/>
      <c r="U22" s="537"/>
      <c r="V22" s="537"/>
      <c r="W22" s="537"/>
      <c r="X22" s="331"/>
      <c r="Y22" s="331"/>
    </row>
    <row r="23" spans="1:25" s="619" customFormat="1">
      <c r="A23" s="565"/>
      <c r="B23" s="613"/>
      <c r="C23" s="614"/>
      <c r="D23" s="615"/>
      <c r="E23" s="643">
        <v>2</v>
      </c>
      <c r="F23" s="598"/>
      <c r="G23" s="629" t="s">
        <v>1249</v>
      </c>
      <c r="H23" s="626"/>
      <c r="I23" s="626"/>
      <c r="J23" s="565"/>
      <c r="K23" s="627">
        <f>SUM(K20:K21)</f>
        <v>94674093</v>
      </c>
      <c r="L23" s="627">
        <f t="shared" ref="L23:R23" si="0">SUM(L20:L21)</f>
        <v>44630412</v>
      </c>
      <c r="M23" s="627">
        <f t="shared" si="0"/>
        <v>50043681</v>
      </c>
      <c r="N23" s="627">
        <f t="shared" si="0"/>
        <v>2646357</v>
      </c>
      <c r="O23" s="627">
        <f t="shared" si="0"/>
        <v>87822364.659999996</v>
      </c>
      <c r="P23" s="627">
        <f t="shared" si="0"/>
        <v>41984054.359999999</v>
      </c>
      <c r="Q23" s="627">
        <f t="shared" si="0"/>
        <v>45838310.299999997</v>
      </c>
      <c r="R23" s="627">
        <f t="shared" si="0"/>
        <v>2818673</v>
      </c>
      <c r="S23" s="537"/>
      <c r="T23" s="537"/>
      <c r="U23" s="537"/>
      <c r="V23" s="537"/>
      <c r="W23" s="537"/>
      <c r="X23" s="331"/>
      <c r="Y23" s="331"/>
    </row>
    <row r="24" spans="1:25" s="439" customFormat="1">
      <c r="A24" s="626"/>
      <c r="B24" s="630"/>
      <c r="C24" s="614"/>
      <c r="D24" s="615" t="str">
        <f t="shared" ref="D24:D113" si="1">CONCATENATE(H24,G24,I24)</f>
        <v/>
      </c>
      <c r="E24" s="1159">
        <v>3</v>
      </c>
      <c r="F24" s="1320"/>
      <c r="G24" s="625"/>
      <c r="H24" s="626"/>
      <c r="I24" s="626"/>
      <c r="J24" s="626"/>
      <c r="K24" s="617"/>
      <c r="L24" s="617"/>
      <c r="M24" s="618"/>
      <c r="N24" s="617"/>
      <c r="O24" s="627"/>
      <c r="P24" s="627"/>
      <c r="Q24" s="628"/>
      <c r="R24" s="627"/>
      <c r="S24" s="532"/>
      <c r="T24" s="532"/>
      <c r="U24" s="532"/>
      <c r="V24" s="532"/>
      <c r="W24" s="532"/>
      <c r="X24" s="56"/>
      <c r="Y24" s="56"/>
    </row>
    <row r="25" spans="1:25" s="439" customFormat="1">
      <c r="A25" s="626" t="s">
        <v>1245</v>
      </c>
      <c r="B25" s="630" t="s">
        <v>1246</v>
      </c>
      <c r="C25" s="614" t="s">
        <v>1250</v>
      </c>
      <c r="D25" s="615" t="str">
        <f t="shared" si="1"/>
        <v>Astoria 2 (AE-II) Substation350Land &amp; Land Rights</v>
      </c>
      <c r="E25" s="1132" t="s">
        <v>183</v>
      </c>
      <c r="F25" s="1222" t="str">
        <f>CONCATENATE("WP-BC, line ",VLOOKUP(D25,'WP-BC'!$A$18:$N$341,2,FALSE))</f>
        <v>WP-BC, line 1o</v>
      </c>
      <c r="G25" s="621">
        <v>350</v>
      </c>
      <c r="H25" s="570" t="s">
        <v>1250</v>
      </c>
      <c r="I25" s="620" t="s">
        <v>1251</v>
      </c>
      <c r="J25" s="626"/>
      <c r="K25" s="617">
        <f>VLOOKUP($D25,'WP-BC'!$A$1:$N$358,7,FALSE)</f>
        <v>0</v>
      </c>
      <c r="L25" s="617">
        <f>VLOOKUP($D25,'WP-BC'!$A$1:$N$358,8,FALSE)</f>
        <v>0</v>
      </c>
      <c r="M25" s="618">
        <f t="shared" ref="M25:M32" si="2">+K25-L25</f>
        <v>0</v>
      </c>
      <c r="N25" s="617">
        <f>VLOOKUP($D25,'WP-BC'!$A$1:$N$358,10,FALSE)</f>
        <v>0</v>
      </c>
      <c r="O25" s="627">
        <f>VLOOKUP($D25,'WP-BC'!$A$1:$N$358,11,FALSE)</f>
        <v>0</v>
      </c>
      <c r="P25" s="627">
        <f>VLOOKUP($D25,'WP-BC'!$A$1:$N$358,12,FALSE)</f>
        <v>0</v>
      </c>
      <c r="Q25" s="628">
        <f t="shared" ref="Q25:Q32" si="3">+O25-P25</f>
        <v>0</v>
      </c>
      <c r="R25" s="627">
        <f>VLOOKUP($D25,'WP-BC'!$A$1:$N$358,14,FALSE)</f>
        <v>0</v>
      </c>
      <c r="S25" s="532"/>
      <c r="T25" s="532"/>
      <c r="U25" s="532"/>
      <c r="V25" s="532"/>
      <c r="W25" s="532"/>
      <c r="X25" s="56"/>
      <c r="Y25" s="56"/>
    </row>
    <row r="26" spans="1:25" s="439" customFormat="1">
      <c r="A26" s="626" t="s">
        <v>1245</v>
      </c>
      <c r="B26" s="630" t="s">
        <v>1246</v>
      </c>
      <c r="C26" s="614" t="s">
        <v>1250</v>
      </c>
      <c r="D26" s="615" t="str">
        <f t="shared" si="1"/>
        <v>Astoria 2 (AE-II) Substation352Structures &amp; Improvements</v>
      </c>
      <c r="E26" s="1132" t="s">
        <v>185</v>
      </c>
      <c r="F26" s="1222" t="str">
        <f>CONCATENATE("WP-BC, line ",VLOOKUP(D26,'WP-BC'!$A$18:$N$341,2,FALSE))</f>
        <v>WP-BC, line 10at</v>
      </c>
      <c r="G26" s="621">
        <v>352</v>
      </c>
      <c r="H26" s="570" t="s">
        <v>1250</v>
      </c>
      <c r="I26" s="620" t="s">
        <v>308</v>
      </c>
      <c r="J26" s="626"/>
      <c r="K26" s="617">
        <f>VLOOKUP($D26,'WP-BC'!$A$1:$N$358,7,FALSE)</f>
        <v>0</v>
      </c>
      <c r="L26" s="617">
        <f>VLOOKUP($D26,'WP-BC'!$A$1:$N$358,8,FALSE)</f>
        <v>0</v>
      </c>
      <c r="M26" s="618">
        <f t="shared" si="2"/>
        <v>0</v>
      </c>
      <c r="N26" s="617">
        <f>VLOOKUP($D26,'WP-BC'!$A$1:$N$358,10,FALSE)</f>
        <v>0</v>
      </c>
      <c r="O26" s="617">
        <f>VLOOKUP($D26,'WP-BC'!$A$1:$N$358,11,FALSE)</f>
        <v>0</v>
      </c>
      <c r="P26" s="617">
        <f>VLOOKUP($D26,'WP-BC'!$A$1:$N$358,12,FALSE)</f>
        <v>0</v>
      </c>
      <c r="Q26" s="618">
        <f t="shared" si="3"/>
        <v>0</v>
      </c>
      <c r="R26" s="617">
        <f>VLOOKUP($D26,'WP-BC'!$A$1:$N$358,14,FALSE)</f>
        <v>0</v>
      </c>
      <c r="S26" s="532"/>
      <c r="T26" s="532"/>
      <c r="U26" s="532"/>
      <c r="V26" s="532"/>
      <c r="W26" s="532"/>
      <c r="X26" s="56"/>
      <c r="Y26" s="56"/>
    </row>
    <row r="27" spans="1:25" s="439" customFormat="1">
      <c r="A27" s="626" t="s">
        <v>1245</v>
      </c>
      <c r="B27" s="630" t="s">
        <v>1246</v>
      </c>
      <c r="C27" s="614" t="s">
        <v>1250</v>
      </c>
      <c r="D27" s="615" t="str">
        <f t="shared" si="1"/>
        <v>Astoria 2 (AE-II) Substation353Station Equipment</v>
      </c>
      <c r="E27" s="1132" t="s">
        <v>188</v>
      </c>
      <c r="F27" s="1222" t="str">
        <f>CONCATENATE("WP-BC, line ",VLOOKUP(D27,'WP-BC'!$A$18:$N$341,2,FALSE))</f>
        <v>WP-BC, line 10au</v>
      </c>
      <c r="G27" s="621">
        <v>353</v>
      </c>
      <c r="H27" s="570" t="s">
        <v>1250</v>
      </c>
      <c r="I27" s="620" t="s">
        <v>189</v>
      </c>
      <c r="J27" s="626"/>
      <c r="K27" s="617">
        <f>VLOOKUP($D27,'WP-BC'!$A$1:$N$358,7,FALSE)</f>
        <v>0</v>
      </c>
      <c r="L27" s="617">
        <f>VLOOKUP($D27,'WP-BC'!$A$1:$N$358,8,FALSE)</f>
        <v>0</v>
      </c>
      <c r="M27" s="618">
        <f t="shared" si="2"/>
        <v>0</v>
      </c>
      <c r="N27" s="617">
        <f>VLOOKUP($D27,'WP-BC'!$A$1:$N$358,10,FALSE)</f>
        <v>0</v>
      </c>
      <c r="O27" s="617">
        <f>VLOOKUP($D27,'WP-BC'!$A$1:$N$358,11,FALSE)</f>
        <v>60481915</v>
      </c>
      <c r="P27" s="617">
        <f>VLOOKUP($D27,'WP-BC'!$A$1:$N$358,12,FALSE)</f>
        <v>31676663</v>
      </c>
      <c r="Q27" s="618">
        <f t="shared" si="3"/>
        <v>28805252</v>
      </c>
      <c r="R27" s="617">
        <f>VLOOKUP($D27,'WP-BC'!$A$1:$N$358,14,FALSE)</f>
        <v>3011360</v>
      </c>
      <c r="S27" s="532"/>
      <c r="T27" s="532"/>
      <c r="U27" s="532"/>
      <c r="V27" s="532"/>
      <c r="W27" s="532"/>
      <c r="X27" s="56"/>
      <c r="Y27" s="56"/>
    </row>
    <row r="28" spans="1:25" s="439" customFormat="1">
      <c r="A28" s="626" t="s">
        <v>1245</v>
      </c>
      <c r="B28" s="630" t="s">
        <v>1246</v>
      </c>
      <c r="C28" s="614" t="s">
        <v>1250</v>
      </c>
      <c r="D28" s="615" t="str">
        <f t="shared" si="1"/>
        <v>Astoria 2 (AE-II) Substation354Towers &amp; Fixtures</v>
      </c>
      <c r="E28" s="1132" t="s">
        <v>191</v>
      </c>
      <c r="F28" s="1222" t="str">
        <f>CONCATENATE("WP-BC, line ",VLOOKUP(D28,'WP-BC'!$A$18:$N$341,2,FALSE))</f>
        <v>WP-BC, line 10av</v>
      </c>
      <c r="G28" s="621">
        <v>354</v>
      </c>
      <c r="H28" s="570" t="s">
        <v>1250</v>
      </c>
      <c r="I28" s="620" t="s">
        <v>310</v>
      </c>
      <c r="J28" s="626"/>
      <c r="K28" s="617">
        <f>VLOOKUP($D28,'WP-BC'!$A$1:$N$358,7,FALSE)</f>
        <v>0</v>
      </c>
      <c r="L28" s="617">
        <f>VLOOKUP($D28,'WP-BC'!$A$1:$N$358,8,FALSE)</f>
        <v>0</v>
      </c>
      <c r="M28" s="618">
        <f t="shared" si="2"/>
        <v>0</v>
      </c>
      <c r="N28" s="617">
        <f>VLOOKUP($D28,'WP-BC'!$A$1:$N$358,10,FALSE)</f>
        <v>0</v>
      </c>
      <c r="O28" s="617">
        <f>VLOOKUP($D28,'WP-BC'!$A$1:$N$358,11,FALSE)</f>
        <v>0</v>
      </c>
      <c r="P28" s="617">
        <f>VLOOKUP($D28,'WP-BC'!$A$1:$N$358,12,FALSE)</f>
        <v>0</v>
      </c>
      <c r="Q28" s="618">
        <f t="shared" si="3"/>
        <v>0</v>
      </c>
      <c r="R28" s="617">
        <f>VLOOKUP($D28,'WP-BC'!$A$1:$N$358,14,FALSE)</f>
        <v>0</v>
      </c>
      <c r="S28" s="532"/>
      <c r="T28" s="532"/>
      <c r="U28" s="532"/>
      <c r="V28" s="532"/>
      <c r="W28" s="532"/>
      <c r="X28" s="56"/>
      <c r="Y28" s="56"/>
    </row>
    <row r="29" spans="1:25" s="439" customFormat="1">
      <c r="A29" s="626" t="s">
        <v>1245</v>
      </c>
      <c r="B29" s="630" t="s">
        <v>1246</v>
      </c>
      <c r="C29" s="614" t="s">
        <v>1250</v>
      </c>
      <c r="D29" s="615" t="str">
        <f t="shared" si="1"/>
        <v>Astoria 2 (AE-II) Substation355Poles &amp; Fixtures</v>
      </c>
      <c r="E29" s="1132" t="s">
        <v>194</v>
      </c>
      <c r="F29" s="1222" t="str">
        <f>CONCATENATE("WP-BC, line ",VLOOKUP(D29,'WP-BC'!$A$18:$N$341,2,FALSE))</f>
        <v>WP-BC, line 10aw</v>
      </c>
      <c r="G29" s="621">
        <v>355</v>
      </c>
      <c r="H29" s="570" t="s">
        <v>1250</v>
      </c>
      <c r="I29" s="620" t="s">
        <v>311</v>
      </c>
      <c r="J29" s="626"/>
      <c r="K29" s="617">
        <f>VLOOKUP($D29,'WP-BC'!$A$1:$N$358,7,FALSE)</f>
        <v>0</v>
      </c>
      <c r="L29" s="617">
        <f>VLOOKUP($D29,'WP-BC'!$A$1:$N$358,8,FALSE)</f>
        <v>0</v>
      </c>
      <c r="M29" s="618">
        <f t="shared" si="2"/>
        <v>0</v>
      </c>
      <c r="N29" s="617">
        <f>VLOOKUP($D29,'WP-BC'!$A$1:$N$358,10,FALSE)</f>
        <v>0</v>
      </c>
      <c r="O29" s="617">
        <f>VLOOKUP($D29,'WP-BC'!$A$1:$N$358,11,FALSE)</f>
        <v>0</v>
      </c>
      <c r="P29" s="617">
        <f>VLOOKUP($D29,'WP-BC'!$A$1:$N$358,12,FALSE)</f>
        <v>0</v>
      </c>
      <c r="Q29" s="618">
        <f t="shared" si="3"/>
        <v>0</v>
      </c>
      <c r="R29" s="617">
        <f>VLOOKUP($D29,'WP-BC'!$A$1:$N$358,14,FALSE)</f>
        <v>0</v>
      </c>
      <c r="S29" s="532"/>
      <c r="T29" s="532"/>
      <c r="U29" s="532"/>
      <c r="V29" s="532"/>
      <c r="W29" s="532"/>
      <c r="X29" s="56"/>
      <c r="Y29" s="56"/>
    </row>
    <row r="30" spans="1:25" s="439" customFormat="1">
      <c r="A30" s="626" t="s">
        <v>1245</v>
      </c>
      <c r="B30" s="630" t="s">
        <v>1246</v>
      </c>
      <c r="C30" s="614" t="s">
        <v>1250</v>
      </c>
      <c r="D30" s="615" t="str">
        <f t="shared" si="1"/>
        <v>Astoria 2 (AE-II) Substation356Overhead Conductors &amp; Devices</v>
      </c>
      <c r="E30" s="1132" t="s">
        <v>197</v>
      </c>
      <c r="F30" s="1222" t="str">
        <f>CONCATENATE("WP-BC, line ",VLOOKUP(D30,'WP-BC'!$A$18:$N$341,2,FALSE))</f>
        <v>WP-BC, line 10ax</v>
      </c>
      <c r="G30" s="621">
        <v>356</v>
      </c>
      <c r="H30" s="570" t="s">
        <v>1250</v>
      </c>
      <c r="I30" s="620" t="s">
        <v>312</v>
      </c>
      <c r="J30" s="626"/>
      <c r="K30" s="617">
        <f>VLOOKUP($D30,'WP-BC'!$A$1:$N$358,7,FALSE)</f>
        <v>0</v>
      </c>
      <c r="L30" s="617">
        <f>VLOOKUP($D30,'WP-BC'!$A$1:$N$358,8,FALSE)</f>
        <v>0</v>
      </c>
      <c r="M30" s="618">
        <f t="shared" si="2"/>
        <v>0</v>
      </c>
      <c r="N30" s="617">
        <f>VLOOKUP($D30,'WP-BC'!$A$1:$N$358,10,FALSE)</f>
        <v>0</v>
      </c>
      <c r="O30" s="617">
        <f>VLOOKUP($D30,'WP-BC'!$A$1:$N$358,11,FALSE)</f>
        <v>0</v>
      </c>
      <c r="P30" s="617">
        <f>VLOOKUP($D30,'WP-BC'!$A$1:$N$358,12,FALSE)</f>
        <v>0</v>
      </c>
      <c r="Q30" s="618">
        <f t="shared" si="3"/>
        <v>0</v>
      </c>
      <c r="R30" s="617">
        <f>VLOOKUP($D30,'WP-BC'!$A$1:$N$358,14,FALSE)</f>
        <v>0</v>
      </c>
      <c r="S30" s="532"/>
      <c r="T30" s="532"/>
      <c r="U30" s="532"/>
      <c r="V30" s="532"/>
      <c r="W30" s="532"/>
      <c r="X30" s="56"/>
      <c r="Y30" s="56"/>
    </row>
    <row r="31" spans="1:25" s="439" customFormat="1">
      <c r="A31" s="626" t="s">
        <v>1245</v>
      </c>
      <c r="B31" s="630" t="s">
        <v>1246</v>
      </c>
      <c r="C31" s="614" t="s">
        <v>1250</v>
      </c>
      <c r="D31" s="615" t="str">
        <f t="shared" si="1"/>
        <v>Astoria 2 (AE-II) Substation357Underground Conduit</v>
      </c>
      <c r="E31" s="1132" t="s">
        <v>322</v>
      </c>
      <c r="F31" s="1222" t="str">
        <f>CONCATENATE("WP-BC, line ",VLOOKUP(D31,'WP-BC'!$A$18:$N$341,2,FALSE))</f>
        <v>WP-BC, line 10ay</v>
      </c>
      <c r="G31" s="621">
        <v>357</v>
      </c>
      <c r="H31" s="570" t="s">
        <v>1250</v>
      </c>
      <c r="I31" s="620" t="s">
        <v>313</v>
      </c>
      <c r="J31" s="626"/>
      <c r="K31" s="617">
        <f>VLOOKUP($D31,'WP-BC'!$A$1:$N$358,7,FALSE)</f>
        <v>0</v>
      </c>
      <c r="L31" s="617">
        <f>VLOOKUP($D31,'WP-BC'!$A$1:$N$358,8,FALSE)</f>
        <v>0</v>
      </c>
      <c r="M31" s="618">
        <f t="shared" si="2"/>
        <v>0</v>
      </c>
      <c r="N31" s="617">
        <f>VLOOKUP($D31,'WP-BC'!$A$1:$N$358,10,FALSE)</f>
        <v>0</v>
      </c>
      <c r="O31" s="617">
        <f>VLOOKUP($D31,'WP-BC'!$A$1:$N$358,11,FALSE)</f>
        <v>24644166</v>
      </c>
      <c r="P31" s="617">
        <f>VLOOKUP($D31,'WP-BC'!$A$1:$N$358,12,FALSE)</f>
        <v>12938195</v>
      </c>
      <c r="Q31" s="618">
        <f t="shared" si="3"/>
        <v>11705971</v>
      </c>
      <c r="R31" s="617">
        <f>VLOOKUP($D31,'WP-BC'!$A$1:$N$358,14,FALSE)</f>
        <v>1232209</v>
      </c>
      <c r="S31" s="532"/>
      <c r="T31" s="532"/>
      <c r="U31" s="532"/>
      <c r="V31" s="532"/>
      <c r="W31" s="532"/>
      <c r="X31" s="56"/>
      <c r="Y31" s="56"/>
    </row>
    <row r="32" spans="1:25" s="439" customFormat="1">
      <c r="A32" s="626" t="s">
        <v>1245</v>
      </c>
      <c r="B32" s="630" t="s">
        <v>1246</v>
      </c>
      <c r="C32" s="614" t="s">
        <v>1250</v>
      </c>
      <c r="D32" s="615" t="str">
        <f t="shared" si="1"/>
        <v>Astoria 2 (AE-II) Substation358Underground Conductors &amp; Devices</v>
      </c>
      <c r="E32" s="1132" t="s">
        <v>324</v>
      </c>
      <c r="F32" s="1222" t="str">
        <f>CONCATENATE("WP-BC, line ",VLOOKUP(D32,'WP-BC'!$A$18:$N$341,2,FALSE))</f>
        <v>WP-BC, line 10az</v>
      </c>
      <c r="G32" s="621">
        <v>358</v>
      </c>
      <c r="H32" s="570" t="s">
        <v>1250</v>
      </c>
      <c r="I32" s="620" t="s">
        <v>314</v>
      </c>
      <c r="J32" s="626"/>
      <c r="K32" s="617">
        <f>VLOOKUP($D32,'WP-BC'!$A$1:$N$358,7,FALSE)</f>
        <v>0</v>
      </c>
      <c r="L32" s="617">
        <f>VLOOKUP($D32,'WP-BC'!$A$1:$N$358,8,FALSE)</f>
        <v>0</v>
      </c>
      <c r="M32" s="618">
        <f t="shared" si="2"/>
        <v>0</v>
      </c>
      <c r="N32" s="617">
        <f>VLOOKUP($D32,'WP-BC'!$A$1:$N$358,10,FALSE)</f>
        <v>0</v>
      </c>
      <c r="O32" s="627">
        <f>VLOOKUP($D32,'WP-BC'!$A$1:$N$358,11,FALSE)</f>
        <v>0</v>
      </c>
      <c r="P32" s="627">
        <f>VLOOKUP($D32,'WP-BC'!$A$1:$N$358,12,FALSE)</f>
        <v>0</v>
      </c>
      <c r="Q32" s="628">
        <f t="shared" si="3"/>
        <v>0</v>
      </c>
      <c r="R32" s="627">
        <f>VLOOKUP($D32,'WP-BC'!$A$1:$N$358,14,FALSE)</f>
        <v>0</v>
      </c>
      <c r="S32" s="532"/>
      <c r="T32" s="532"/>
      <c r="U32" s="532"/>
      <c r="V32" s="532"/>
      <c r="W32" s="532"/>
      <c r="X32" s="56"/>
      <c r="Y32" s="56"/>
    </row>
    <row r="33" spans="1:25" s="439" customFormat="1">
      <c r="A33" s="626" t="s">
        <v>1245</v>
      </c>
      <c r="B33" s="630" t="s">
        <v>1246</v>
      </c>
      <c r="C33" s="614" t="s">
        <v>1250</v>
      </c>
      <c r="D33" s="615" t="str">
        <f t="shared" si="1"/>
        <v>Astoria 2 (AE-II) Substation359Roads &amp; Trails</v>
      </c>
      <c r="E33" s="1132" t="s">
        <v>326</v>
      </c>
      <c r="F33" s="1222" t="str">
        <f>CONCATENATE("WP-BC, line ",VLOOKUP(D33,'WP-BC'!$A$18:$N$341,2,FALSE))</f>
        <v>WP-BC, line 10ba</v>
      </c>
      <c r="G33" s="621">
        <v>359</v>
      </c>
      <c r="H33" s="570" t="s">
        <v>1250</v>
      </c>
      <c r="I33" s="620" t="s">
        <v>315</v>
      </c>
      <c r="J33" s="626"/>
      <c r="K33" s="617">
        <f>'WP-BC'!G222</f>
        <v>0</v>
      </c>
      <c r="L33" s="617">
        <f>'WP-BC'!H222</f>
        <v>0</v>
      </c>
      <c r="M33" s="618">
        <f t="shared" ref="M33" si="4">+K33-L33</f>
        <v>0</v>
      </c>
      <c r="N33" s="617">
        <f>'WP-BC'!J222</f>
        <v>0</v>
      </c>
      <c r="O33" s="617">
        <f>'WP-BC'!K222</f>
        <v>0</v>
      </c>
      <c r="P33" s="617">
        <f>'WP-BC'!L222</f>
        <v>0</v>
      </c>
      <c r="Q33" s="618">
        <f t="shared" ref="Q33" si="5">+O33-P33</f>
        <v>0</v>
      </c>
      <c r="R33" s="617">
        <f>'WP-BC'!N222</f>
        <v>0</v>
      </c>
      <c r="S33" s="1194"/>
      <c r="T33" s="1194"/>
      <c r="U33" s="1194"/>
      <c r="V33" s="1194"/>
      <c r="W33" s="1194"/>
      <c r="X33" s="56"/>
      <c r="Y33" s="56"/>
    </row>
    <row r="34" spans="1:25" s="439" customFormat="1">
      <c r="A34" s="626"/>
      <c r="B34" s="630"/>
      <c r="C34" s="614"/>
      <c r="D34" s="615"/>
      <c r="E34" s="1163" t="s">
        <v>146</v>
      </c>
      <c r="F34" s="620"/>
      <c r="G34" s="621"/>
      <c r="H34" s="622"/>
      <c r="I34" s="620"/>
      <c r="J34" s="626"/>
      <c r="K34" s="623" t="s">
        <v>768</v>
      </c>
      <c r="L34" s="623" t="s">
        <v>768</v>
      </c>
      <c r="M34" s="623" t="s">
        <v>768</v>
      </c>
      <c r="N34" s="623" t="s">
        <v>768</v>
      </c>
      <c r="O34" s="623" t="s">
        <v>768</v>
      </c>
      <c r="P34" s="623" t="s">
        <v>768</v>
      </c>
      <c r="Q34" s="623" t="s">
        <v>768</v>
      </c>
      <c r="R34" s="623" t="s">
        <v>768</v>
      </c>
      <c r="S34" s="532"/>
      <c r="T34" s="532"/>
      <c r="U34" s="532"/>
      <c r="V34" s="532"/>
      <c r="W34" s="532"/>
      <c r="X34" s="56"/>
      <c r="Y34" s="56"/>
    </row>
    <row r="35" spans="1:25" s="439" customFormat="1">
      <c r="A35" s="626"/>
      <c r="B35" s="630"/>
      <c r="C35" s="614"/>
      <c r="D35" s="615"/>
      <c r="E35" s="603"/>
      <c r="F35" s="1321"/>
      <c r="G35" s="625"/>
      <c r="H35" s="626"/>
      <c r="I35" s="626"/>
      <c r="J35" s="626"/>
      <c r="K35" s="617"/>
      <c r="L35" s="617"/>
      <c r="M35" s="617"/>
      <c r="N35" s="617"/>
      <c r="O35" s="617"/>
      <c r="P35" s="617"/>
      <c r="Q35" s="617"/>
      <c r="R35" s="617"/>
      <c r="S35" s="532"/>
      <c r="T35" s="532"/>
      <c r="U35" s="532"/>
      <c r="V35" s="532"/>
      <c r="W35" s="532"/>
      <c r="X35" s="56"/>
      <c r="Y35" s="56"/>
    </row>
    <row r="36" spans="1:25" s="439" customFormat="1">
      <c r="A36" s="626"/>
      <c r="B36" s="630"/>
      <c r="C36" s="614"/>
      <c r="D36" s="615" t="str">
        <f t="shared" si="1"/>
        <v>SUBTOTAL Astoria 2 (AE-II) Substation</v>
      </c>
      <c r="E36" s="1159">
        <v>4</v>
      </c>
      <c r="F36" s="631"/>
      <c r="G36" s="629" t="s">
        <v>1252</v>
      </c>
      <c r="H36" s="626"/>
      <c r="I36" s="626"/>
      <c r="J36" s="626"/>
      <c r="K36" s="627">
        <f t="shared" ref="K36:R36" si="6">SUM(K25:K33)</f>
        <v>0</v>
      </c>
      <c r="L36" s="627">
        <f t="shared" si="6"/>
        <v>0</v>
      </c>
      <c r="M36" s="627">
        <f t="shared" si="6"/>
        <v>0</v>
      </c>
      <c r="N36" s="627">
        <f t="shared" si="6"/>
        <v>0</v>
      </c>
      <c r="O36" s="627">
        <f t="shared" si="6"/>
        <v>85126081</v>
      </c>
      <c r="P36" s="627">
        <f t="shared" si="6"/>
        <v>44614858</v>
      </c>
      <c r="Q36" s="627">
        <f t="shared" si="6"/>
        <v>40511223</v>
      </c>
      <c r="R36" s="627">
        <f t="shared" si="6"/>
        <v>4243569</v>
      </c>
      <c r="S36" s="532"/>
      <c r="T36" s="532"/>
      <c r="U36" s="532"/>
      <c r="V36" s="532"/>
      <c r="W36" s="532"/>
      <c r="X36" s="56"/>
      <c r="Y36" s="56"/>
    </row>
    <row r="37" spans="1:25" s="439" customFormat="1">
      <c r="A37" s="626"/>
      <c r="B37" s="630"/>
      <c r="C37" s="614"/>
      <c r="D37" s="615" t="str">
        <f t="shared" si="1"/>
        <v/>
      </c>
      <c r="E37" s="643">
        <v>5</v>
      </c>
      <c r="F37" s="1322"/>
      <c r="G37" s="625"/>
      <c r="H37" s="626"/>
      <c r="I37" s="626"/>
      <c r="J37" s="626"/>
      <c r="K37" s="617"/>
      <c r="L37" s="617"/>
      <c r="M37" s="618"/>
      <c r="N37" s="617"/>
      <c r="O37" s="617"/>
      <c r="P37" s="617"/>
      <c r="Q37" s="618"/>
      <c r="R37" s="617"/>
      <c r="S37" s="532"/>
      <c r="T37" s="532"/>
      <c r="U37" s="532"/>
      <c r="V37" s="532"/>
      <c r="W37" s="532"/>
      <c r="X37" s="56"/>
      <c r="Y37" s="56"/>
    </row>
    <row r="38" spans="1:25" s="439" customFormat="1">
      <c r="A38" s="626" t="s">
        <v>1245</v>
      </c>
      <c r="B38" s="630" t="s">
        <v>1246</v>
      </c>
      <c r="C38" s="614" t="s">
        <v>955</v>
      </c>
      <c r="D38" s="615" t="str">
        <f t="shared" si="1"/>
        <v>Crescent353Station Equip - Transmission</v>
      </c>
      <c r="E38" s="1132" t="s">
        <v>332</v>
      </c>
      <c r="F38" s="358" t="str">
        <f>CONCATENATE("WP-BC, line ",VLOOKUP(D38,'WP-BC'!$A$18:$N$341,2,FALSE))</f>
        <v>WP-BC, line 10bc</v>
      </c>
      <c r="G38" s="621">
        <v>353</v>
      </c>
      <c r="H38" s="570" t="s">
        <v>955</v>
      </c>
      <c r="I38" s="620" t="s">
        <v>1248</v>
      </c>
      <c r="J38" s="626"/>
      <c r="K38" s="617">
        <f>VLOOKUP($D38,'WP-BC'!$A$1:$N$358,7,FALSE)</f>
        <v>2395536</v>
      </c>
      <c r="L38" s="617">
        <f>VLOOKUP($D38,'WP-BC'!$A$1:$N$358,8,FALSE)</f>
        <v>1296108</v>
      </c>
      <c r="M38" s="618">
        <f t="shared" ref="M38" si="7">+K38-L38</f>
        <v>1099428</v>
      </c>
      <c r="N38" s="617">
        <f>VLOOKUP($D38,'WP-BC'!$A$1:$N$358,10,FALSE)</f>
        <v>73507</v>
      </c>
      <c r="O38" s="617">
        <f>VLOOKUP($D38,'WP-BC'!$A$1:$N$358,11,FALSE)</f>
        <v>2395536</v>
      </c>
      <c r="P38" s="617">
        <f>VLOOKUP($D38,'WP-BC'!$A$1:$N$358,12,FALSE)</f>
        <v>1222601</v>
      </c>
      <c r="Q38" s="618">
        <f t="shared" ref="Q38" si="8">+O38-P38</f>
        <v>1172935</v>
      </c>
      <c r="R38" s="617">
        <f>VLOOKUP($D38,'WP-BC'!$A$1:$N$358,14,FALSE)</f>
        <v>39926</v>
      </c>
      <c r="S38" s="532">
        <v>2395536</v>
      </c>
      <c r="T38" s="532"/>
      <c r="U38" s="532">
        <v>743489</v>
      </c>
      <c r="V38" s="532"/>
      <c r="W38" s="532">
        <f>+S38-U38</f>
        <v>1652047</v>
      </c>
      <c r="X38" s="56"/>
      <c r="Y38" s="56"/>
    </row>
    <row r="39" spans="1:25" s="439" customFormat="1">
      <c r="A39" s="626" t="s">
        <v>1245</v>
      </c>
      <c r="B39" s="630" t="s">
        <v>1246</v>
      </c>
      <c r="C39" s="614" t="s">
        <v>956</v>
      </c>
      <c r="D39" s="615" t="str">
        <f t="shared" si="1"/>
        <v>Vischer Ferry353Station Equip - Transmission</v>
      </c>
      <c r="E39" s="1132" t="s">
        <v>335</v>
      </c>
      <c r="F39" s="358" t="str">
        <f>CONCATENATE("WP-BC, line ",VLOOKUP(D39,'WP-BC'!$A$18:$N$341,2,FALSE))</f>
        <v>WP-BC, line 10bp</v>
      </c>
      <c r="G39" s="621">
        <v>353</v>
      </c>
      <c r="H39" s="570" t="s">
        <v>956</v>
      </c>
      <c r="I39" s="620" t="s">
        <v>1248</v>
      </c>
      <c r="J39" s="626"/>
      <c r="K39" s="617">
        <f>VLOOKUP($D39,'WP-BC'!$A$1:$N$358,7,FALSE)</f>
        <v>663158</v>
      </c>
      <c r="L39" s="617">
        <f>VLOOKUP($D39,'WP-BC'!$A$1:$N$358,8,FALSE)</f>
        <v>358809</v>
      </c>
      <c r="M39" s="618">
        <f t="shared" ref="M39:M40" si="9">+K39-L39</f>
        <v>304349</v>
      </c>
      <c r="N39" s="617">
        <f>VLOOKUP($D39,'WP-BC'!$A$1:$N$358,10,FALSE)</f>
        <v>20349</v>
      </c>
      <c r="O39" s="617">
        <f>VLOOKUP($D39,'WP-BC'!$A$1:$N$358,11,FALSE)</f>
        <v>663158</v>
      </c>
      <c r="P39" s="617">
        <f>VLOOKUP($D39,'WP-BC'!$A$1:$N$358,12,FALSE)</f>
        <v>338460</v>
      </c>
      <c r="Q39" s="618">
        <f t="shared" ref="Q39:Q40" si="10">+O39-P39</f>
        <v>324698</v>
      </c>
      <c r="R39" s="617">
        <f>VLOOKUP($D39,'WP-BC'!$A$1:$N$358,14,FALSE)</f>
        <v>11053</v>
      </c>
      <c r="S39" s="532">
        <v>663158</v>
      </c>
      <c r="T39" s="532"/>
      <c r="U39" s="532">
        <v>205824</v>
      </c>
      <c r="V39" s="532"/>
      <c r="W39" s="532">
        <f>+S39-U39</f>
        <v>457334</v>
      </c>
      <c r="X39" s="56"/>
      <c r="Y39" s="56"/>
    </row>
    <row r="40" spans="1:25" s="439" customFormat="1">
      <c r="A40" s="626" t="s">
        <v>1245</v>
      </c>
      <c r="B40" s="630" t="s">
        <v>1246</v>
      </c>
      <c r="C40" s="614" t="s">
        <v>954</v>
      </c>
      <c r="D40" s="615" t="str">
        <f t="shared" si="1"/>
        <v>Jarvis353Station Equip - Transmission</v>
      </c>
      <c r="E40" s="1132" t="s">
        <v>338</v>
      </c>
      <c r="F40" s="358" t="str">
        <f>CONCATENATE("WP-BC, line ",VLOOKUP(D40,'WP-BC'!$A$18:$N$341,2,FALSE))</f>
        <v>WP-BC, line 10bh</v>
      </c>
      <c r="G40" s="621">
        <v>353</v>
      </c>
      <c r="H40" s="570" t="s">
        <v>954</v>
      </c>
      <c r="I40" s="620" t="s">
        <v>1248</v>
      </c>
      <c r="J40" s="626"/>
      <c r="K40" s="617">
        <f>VLOOKUP($D40,'WP-BC'!$A$1:$N$358,7,FALSE)</f>
        <v>4403688</v>
      </c>
      <c r="L40" s="617">
        <f>VLOOKUP($D40,'WP-BC'!$A$1:$N$358,8,FALSE)</f>
        <v>2343572</v>
      </c>
      <c r="M40" s="618">
        <f t="shared" si="9"/>
        <v>2060116</v>
      </c>
      <c r="N40" s="617">
        <f>VLOOKUP($D40,'WP-BC'!$A$1:$N$358,10,FALSE)</f>
        <v>142772</v>
      </c>
      <c r="O40" s="617">
        <f>VLOOKUP($D40,'WP-BC'!$A$1:$N$358,11,FALSE)</f>
        <v>4403687.68</v>
      </c>
      <c r="P40" s="617">
        <f>VLOOKUP($D40,'WP-BC'!$A$1:$N$358,12,FALSE)</f>
        <v>2200799.6800000002</v>
      </c>
      <c r="Q40" s="618">
        <f t="shared" si="10"/>
        <v>2202887.9999999995</v>
      </c>
      <c r="R40" s="617">
        <f>VLOOKUP($D40,'WP-BC'!$A$1:$N$358,14,FALSE)</f>
        <v>74241</v>
      </c>
      <c r="S40" s="532">
        <v>4302254</v>
      </c>
      <c r="T40" s="532"/>
      <c r="U40" s="532">
        <v>1335268</v>
      </c>
      <c r="V40" s="532"/>
      <c r="W40" s="532">
        <f>+S40-U40</f>
        <v>2966986</v>
      </c>
      <c r="X40" s="56"/>
      <c r="Y40" s="56"/>
    </row>
    <row r="41" spans="1:25" s="439" customFormat="1">
      <c r="A41" s="626"/>
      <c r="B41" s="630"/>
      <c r="C41" s="614"/>
      <c r="D41" s="615"/>
      <c r="E41" s="1163" t="s">
        <v>146</v>
      </c>
      <c r="F41" s="620"/>
      <c r="G41" s="621"/>
      <c r="H41" s="622"/>
      <c r="I41" s="620"/>
      <c r="J41" s="626"/>
      <c r="K41" s="623" t="s">
        <v>768</v>
      </c>
      <c r="L41" s="623" t="s">
        <v>768</v>
      </c>
      <c r="M41" s="623" t="s">
        <v>768</v>
      </c>
      <c r="N41" s="623" t="s">
        <v>768</v>
      </c>
      <c r="O41" s="623" t="s">
        <v>768</v>
      </c>
      <c r="P41" s="623" t="s">
        <v>768</v>
      </c>
      <c r="Q41" s="623" t="s">
        <v>768</v>
      </c>
      <c r="R41" s="623" t="s">
        <v>768</v>
      </c>
      <c r="S41" s="532"/>
      <c r="T41" s="532"/>
      <c r="U41" s="532"/>
      <c r="V41" s="532"/>
      <c r="W41" s="532"/>
      <c r="X41" s="56"/>
      <c r="Y41" s="56"/>
    </row>
    <row r="42" spans="1:25" s="439" customFormat="1">
      <c r="A42" s="626"/>
      <c r="B42" s="630"/>
      <c r="C42" s="614"/>
      <c r="D42" s="615"/>
      <c r="E42" s="612"/>
      <c r="F42" s="1322"/>
      <c r="G42" s="625"/>
      <c r="H42" s="626"/>
      <c r="I42" s="626"/>
      <c r="J42" s="626"/>
      <c r="K42" s="617"/>
      <c r="L42" s="617"/>
      <c r="M42" s="617"/>
      <c r="N42" s="617"/>
      <c r="O42" s="617"/>
      <c r="P42" s="617"/>
      <c r="Q42" s="617"/>
      <c r="R42" s="617"/>
      <c r="S42" s="532"/>
      <c r="T42" s="532"/>
      <c r="U42" s="532"/>
      <c r="V42" s="532"/>
      <c r="W42" s="532"/>
      <c r="X42" s="56"/>
      <c r="Y42" s="56"/>
    </row>
    <row r="43" spans="1:25" s="439" customFormat="1">
      <c r="A43" s="626"/>
      <c r="B43" s="630"/>
      <c r="C43" s="614"/>
      <c r="D43" s="615" t="str">
        <f t="shared" si="1"/>
        <v>SUBTOTAL Small Hydro</v>
      </c>
      <c r="E43" s="643">
        <v>6</v>
      </c>
      <c r="F43" s="624"/>
      <c r="G43" s="629" t="s">
        <v>1253</v>
      </c>
      <c r="H43" s="626"/>
      <c r="I43" s="626"/>
      <c r="J43" s="626"/>
      <c r="K43" s="627">
        <f>SUM(K38:K41)</f>
        <v>7462382</v>
      </c>
      <c r="L43" s="627">
        <f t="shared" ref="L43:R43" si="11">SUM(L38:L41)</f>
        <v>3998489</v>
      </c>
      <c r="M43" s="627">
        <f t="shared" si="11"/>
        <v>3463893</v>
      </c>
      <c r="N43" s="627">
        <f t="shared" si="11"/>
        <v>236628</v>
      </c>
      <c r="O43" s="627">
        <f t="shared" si="11"/>
        <v>7462381.6799999997</v>
      </c>
      <c r="P43" s="627">
        <f t="shared" si="11"/>
        <v>3761860.68</v>
      </c>
      <c r="Q43" s="627">
        <f t="shared" si="11"/>
        <v>3700520.9999999995</v>
      </c>
      <c r="R43" s="627">
        <f t="shared" si="11"/>
        <v>125220</v>
      </c>
      <c r="S43" s="537">
        <f t="shared" ref="S43" si="12">SUM(S38:S40)</f>
        <v>7360948</v>
      </c>
      <c r="T43" s="532"/>
      <c r="U43" s="537">
        <f>SUM(U38:U40)</f>
        <v>2284581</v>
      </c>
      <c r="V43" s="532"/>
      <c r="W43" s="537">
        <f>SUM(W38:W40)</f>
        <v>5076367</v>
      </c>
      <c r="X43" s="56"/>
      <c r="Y43" s="56"/>
    </row>
    <row r="44" spans="1:25" s="439" customFormat="1" ht="15" customHeight="1">
      <c r="A44" s="626"/>
      <c r="B44" s="630"/>
      <c r="C44" s="614"/>
      <c r="D44" s="615" t="str">
        <f t="shared" si="1"/>
        <v/>
      </c>
      <c r="E44" s="643">
        <v>7</v>
      </c>
      <c r="F44" s="1321"/>
      <c r="G44" s="625"/>
      <c r="H44" s="626"/>
      <c r="I44" s="626"/>
      <c r="J44" s="626"/>
      <c r="K44" s="617"/>
      <c r="L44" s="617"/>
      <c r="M44" s="618"/>
      <c r="N44" s="617"/>
      <c r="O44" s="617"/>
      <c r="P44" s="617"/>
      <c r="Q44" s="618"/>
      <c r="R44" s="617"/>
      <c r="S44" s="532"/>
      <c r="T44" s="532"/>
      <c r="U44" s="532"/>
      <c r="V44" s="532"/>
      <c r="W44" s="532"/>
      <c r="X44" s="56"/>
      <c r="Y44" s="56"/>
    </row>
    <row r="45" spans="1:25" s="619" customFormat="1">
      <c r="A45" s="565" t="s">
        <v>1245</v>
      </c>
      <c r="B45" s="613" t="s">
        <v>1246</v>
      </c>
      <c r="C45" s="614" t="s">
        <v>1254</v>
      </c>
      <c r="D45" s="615" t="str">
        <f t="shared" si="1"/>
        <v>FLYNN  (Holtsville)353Station Equip - Transmission</v>
      </c>
      <c r="E45" s="612" t="s">
        <v>1141</v>
      </c>
      <c r="F45" s="358" t="str">
        <f>CONCATENATE("WP-BC, line ",VLOOKUP(D45,'WP-BC'!$A$18:$N$341,2,FALSE))</f>
        <v>WP-BC, line 10bd</v>
      </c>
      <c r="G45" s="616">
        <v>353</v>
      </c>
      <c r="H45" s="570" t="s">
        <v>1254</v>
      </c>
      <c r="I45" s="569" t="s">
        <v>1248</v>
      </c>
      <c r="J45" s="565"/>
      <c r="K45" s="617">
        <f>VLOOKUP($D45,'WP-BC'!$A$1:$N$358,7,FALSE)</f>
        <v>11982220</v>
      </c>
      <c r="L45" s="617">
        <f>VLOOKUP($D45,'WP-BC'!$A$1:$N$358,8,FALSE)</f>
        <v>6051367</v>
      </c>
      <c r="M45" s="618">
        <f>+K45-L45</f>
        <v>5930853</v>
      </c>
      <c r="N45" s="617">
        <f>VLOOKUP($D45,'WP-BC'!$A$1:$N$358,10,FALSE)</f>
        <v>323136</v>
      </c>
      <c r="O45" s="617">
        <f>VLOOKUP($D45,'WP-BC'!$A$1:$N$358,11,FALSE)</f>
        <v>11982219.839999998</v>
      </c>
      <c r="P45" s="617">
        <f>VLOOKUP($D45,'WP-BC'!$A$1:$N$358,12,FALSE)</f>
        <v>5728230.7800000003</v>
      </c>
      <c r="Q45" s="618">
        <f>+O45-P45</f>
        <v>6253989.0599999977</v>
      </c>
      <c r="R45" s="617">
        <f>VLOOKUP($D45,'WP-BC'!$A$1:$N$358,14,FALSE)</f>
        <v>318111</v>
      </c>
      <c r="S45" s="537">
        <v>7581079</v>
      </c>
      <c r="T45" s="537"/>
      <c r="U45" s="537">
        <v>2894210</v>
      </c>
      <c r="V45" s="537"/>
      <c r="W45" s="537">
        <f>+S45-U45</f>
        <v>4686869</v>
      </c>
      <c r="X45" s="331"/>
      <c r="Y45" s="331"/>
    </row>
    <row r="46" spans="1:25" s="619" customFormat="1">
      <c r="A46" s="565"/>
      <c r="B46" s="613"/>
      <c r="C46" s="614"/>
      <c r="D46" s="615"/>
      <c r="E46" s="1163" t="s">
        <v>146</v>
      </c>
      <c r="F46" s="620"/>
      <c r="G46" s="621"/>
      <c r="H46" s="622"/>
      <c r="I46" s="620"/>
      <c r="J46" s="565"/>
      <c r="K46" s="620" t="s">
        <v>768</v>
      </c>
      <c r="L46" s="620" t="s">
        <v>768</v>
      </c>
      <c r="M46" s="620" t="s">
        <v>768</v>
      </c>
      <c r="N46" s="620" t="s">
        <v>768</v>
      </c>
      <c r="O46" s="620" t="s">
        <v>768</v>
      </c>
      <c r="P46" s="620" t="s">
        <v>768</v>
      </c>
      <c r="Q46" s="620" t="s">
        <v>768</v>
      </c>
      <c r="R46" s="620" t="s">
        <v>768</v>
      </c>
      <c r="S46" s="537"/>
      <c r="T46" s="537"/>
      <c r="U46" s="537"/>
      <c r="V46" s="537"/>
      <c r="W46" s="537"/>
      <c r="X46" s="331"/>
      <c r="Y46" s="331"/>
    </row>
    <row r="47" spans="1:25" s="619" customFormat="1">
      <c r="A47" s="565"/>
      <c r="B47" s="613"/>
      <c r="C47" s="614"/>
      <c r="D47" s="615"/>
      <c r="E47" s="643"/>
      <c r="F47" s="598"/>
      <c r="G47" s="625"/>
      <c r="H47" s="626"/>
      <c r="I47" s="626"/>
      <c r="J47" s="565"/>
      <c r="K47" s="626"/>
      <c r="L47" s="626"/>
      <c r="M47" s="626"/>
      <c r="N47" s="626"/>
      <c r="O47" s="626"/>
      <c r="P47" s="626"/>
      <c r="Q47" s="626"/>
      <c r="R47" s="626"/>
      <c r="S47" s="537"/>
      <c r="T47" s="537"/>
      <c r="U47" s="537"/>
      <c r="V47" s="537"/>
      <c r="W47" s="537"/>
      <c r="X47" s="331"/>
      <c r="Y47" s="331"/>
    </row>
    <row r="48" spans="1:25" s="619" customFormat="1">
      <c r="A48" s="565"/>
      <c r="B48" s="613"/>
      <c r="C48" s="614"/>
      <c r="D48" s="615"/>
      <c r="E48" s="643">
        <v>8</v>
      </c>
      <c r="F48" s="598"/>
      <c r="G48" s="629" t="s">
        <v>1255</v>
      </c>
      <c r="H48" s="626"/>
      <c r="I48" s="626"/>
      <c r="J48" s="565"/>
      <c r="K48" s="627">
        <f>SUM(K45:K47)</f>
        <v>11982220</v>
      </c>
      <c r="L48" s="627">
        <f t="shared" ref="L48:R48" si="13">SUM(L45:L47)</f>
        <v>6051367</v>
      </c>
      <c r="M48" s="627">
        <f t="shared" si="13"/>
        <v>5930853</v>
      </c>
      <c r="N48" s="627">
        <f t="shared" si="13"/>
        <v>323136</v>
      </c>
      <c r="O48" s="627">
        <f t="shared" si="13"/>
        <v>11982219.839999998</v>
      </c>
      <c r="P48" s="627">
        <f t="shared" si="13"/>
        <v>5728230.7800000003</v>
      </c>
      <c r="Q48" s="627">
        <f t="shared" si="13"/>
        <v>6253989.0599999977</v>
      </c>
      <c r="R48" s="627">
        <f t="shared" si="13"/>
        <v>318111</v>
      </c>
      <c r="S48" s="537"/>
      <c r="T48" s="537"/>
      <c r="U48" s="537"/>
      <c r="V48" s="537"/>
      <c r="W48" s="537"/>
      <c r="X48" s="331"/>
      <c r="Y48" s="331"/>
    </row>
    <row r="49" spans="1:25" s="439" customFormat="1" ht="9" customHeight="1">
      <c r="A49" s="626"/>
      <c r="B49" s="630"/>
      <c r="C49" s="614"/>
      <c r="D49" s="615" t="str">
        <f t="shared" si="1"/>
        <v/>
      </c>
      <c r="E49" s="603"/>
      <c r="F49" s="1321"/>
      <c r="G49" s="629"/>
      <c r="H49" s="626"/>
      <c r="I49" s="626"/>
      <c r="J49" s="626"/>
      <c r="K49" s="617"/>
      <c r="L49" s="617"/>
      <c r="M49" s="618"/>
      <c r="N49" s="617"/>
      <c r="O49" s="617"/>
      <c r="P49" s="617"/>
      <c r="Q49" s="618"/>
      <c r="R49" s="617"/>
      <c r="S49" s="532"/>
      <c r="T49" s="532"/>
      <c r="U49" s="532"/>
      <c r="V49" s="532"/>
      <c r="W49" s="532"/>
      <c r="X49" s="56"/>
      <c r="Y49" s="56"/>
    </row>
    <row r="50" spans="1:25" s="439" customFormat="1">
      <c r="A50" s="626" t="s">
        <v>1245</v>
      </c>
      <c r="B50" s="630" t="s">
        <v>1246</v>
      </c>
      <c r="C50" s="614" t="s">
        <v>1256</v>
      </c>
      <c r="D50" s="615" t="str">
        <f t="shared" si="1"/>
        <v>POLETTI  (Astoria)350Land &amp; Land Rights</v>
      </c>
      <c r="E50" s="603" t="s">
        <v>1257</v>
      </c>
      <c r="F50" s="358" t="str">
        <f>CONCATENATE("WP-BC, line ",VLOOKUP(D50,'WP-BC'!$A$18:$N$341,2,FALSE))</f>
        <v>WP-BC, line 1p</v>
      </c>
      <c r="G50" s="621">
        <v>350</v>
      </c>
      <c r="H50" s="570" t="s">
        <v>1256</v>
      </c>
      <c r="I50" s="620" t="s">
        <v>1251</v>
      </c>
      <c r="J50" s="626"/>
      <c r="K50" s="617">
        <f>VLOOKUP($D50,'WP-BC'!$A$1:$N$358,7,FALSE)</f>
        <v>981</v>
      </c>
      <c r="L50" s="617">
        <f>VLOOKUP($D50,'WP-BC'!$A$1:$N$358,8,FALSE)</f>
        <v>0</v>
      </c>
      <c r="M50" s="618">
        <f t="shared" ref="M50:M54" si="14">+K50-L50</f>
        <v>981</v>
      </c>
      <c r="N50" s="617">
        <f>VLOOKUP($D50,'WP-BC'!$A$1:$N$358,10,FALSE)</f>
        <v>0</v>
      </c>
      <c r="O50" s="617">
        <f>VLOOKUP($D50,'WP-BC'!$A$1:$N$358,11,FALSE)</f>
        <v>981</v>
      </c>
      <c r="P50" s="617">
        <f>VLOOKUP($D50,'WP-BC'!$A$1:$N$358,12,FALSE)</f>
        <v>0</v>
      </c>
      <c r="Q50" s="618">
        <f t="shared" ref="Q50:Q54" si="15">+O50-P50</f>
        <v>981</v>
      </c>
      <c r="R50" s="617">
        <f>VLOOKUP($D50,'WP-BC'!$A$1:$N$358,14,FALSE)</f>
        <v>0</v>
      </c>
      <c r="S50" s="532">
        <v>981</v>
      </c>
      <c r="T50" s="532"/>
      <c r="U50" s="532">
        <v>0</v>
      </c>
      <c r="V50" s="532"/>
      <c r="W50" s="532">
        <f>+S50-U50</f>
        <v>981</v>
      </c>
      <c r="X50" s="56"/>
      <c r="Y50" s="56"/>
    </row>
    <row r="51" spans="1:25" s="439" customFormat="1">
      <c r="A51" s="626" t="s">
        <v>1245</v>
      </c>
      <c r="B51" s="630" t="s">
        <v>1246</v>
      </c>
      <c r="C51" s="614" t="s">
        <v>1256</v>
      </c>
      <c r="D51" s="615" t="str">
        <f t="shared" si="1"/>
        <v>POLETTI  (Astoria)352Structures &amp; Improvements</v>
      </c>
      <c r="E51" s="603" t="s">
        <v>1258</v>
      </c>
      <c r="F51" s="358" t="str">
        <f>CONCATENATE("WP-BC, line ",VLOOKUP(D51,'WP-BC'!$A$18:$N$341,2,FALSE))</f>
        <v>WP-BC, line 10bj</v>
      </c>
      <c r="G51" s="621">
        <v>352</v>
      </c>
      <c r="H51" s="570" t="s">
        <v>1256</v>
      </c>
      <c r="I51" s="620" t="s">
        <v>308</v>
      </c>
      <c r="J51" s="626"/>
      <c r="K51" s="617">
        <f>VLOOKUP($D51,'WP-BC'!$A$1:$N$358,7,FALSE)</f>
        <v>69748</v>
      </c>
      <c r="L51" s="617">
        <f>VLOOKUP($D51,'WP-BC'!$A$1:$N$358,8,FALSE)</f>
        <v>59998</v>
      </c>
      <c r="M51" s="618">
        <f t="shared" si="14"/>
        <v>9750</v>
      </c>
      <c r="N51" s="617">
        <f>VLOOKUP($D51,'WP-BC'!$A$1:$N$358,10,FALSE)</f>
        <v>314</v>
      </c>
      <c r="O51" s="617">
        <f>VLOOKUP($D51,'WP-BC'!$A$1:$N$358,11,FALSE)</f>
        <v>69748</v>
      </c>
      <c r="P51" s="617">
        <f>VLOOKUP($D51,'WP-BC'!$A$1:$N$358,12,FALSE)</f>
        <v>59684.639999999999</v>
      </c>
      <c r="Q51" s="618">
        <f t="shared" si="15"/>
        <v>10063.36</v>
      </c>
      <c r="R51" s="617">
        <f>VLOOKUP($D51,'WP-BC'!$A$1:$N$358,14,FALSE)</f>
        <v>0</v>
      </c>
      <c r="S51" s="532">
        <v>69748</v>
      </c>
      <c r="T51" s="532"/>
      <c r="U51" s="532">
        <v>52142</v>
      </c>
      <c r="V51" s="532"/>
      <c r="W51" s="532">
        <f>+S51-U51</f>
        <v>17606</v>
      </c>
      <c r="X51" s="56"/>
      <c r="Y51" s="56"/>
    </row>
    <row r="52" spans="1:25" s="439" customFormat="1">
      <c r="A52" s="626" t="s">
        <v>1245</v>
      </c>
      <c r="B52" s="630" t="s">
        <v>1246</v>
      </c>
      <c r="C52" s="614" t="s">
        <v>1256</v>
      </c>
      <c r="D52" s="615" t="str">
        <f t="shared" si="1"/>
        <v>POLETTI  (Astoria)353Station Equipment</v>
      </c>
      <c r="E52" s="603" t="s">
        <v>1259</v>
      </c>
      <c r="F52" s="358" t="str">
        <f>CONCATENATE("WP-BC, line ",VLOOKUP(D52,'WP-BC'!$A$18:$N$341,2,FALSE))</f>
        <v>WP-BC, line 10bk</v>
      </c>
      <c r="G52" s="621">
        <v>353</v>
      </c>
      <c r="H52" s="570" t="s">
        <v>1256</v>
      </c>
      <c r="I52" s="620" t="s">
        <v>189</v>
      </c>
      <c r="J52" s="626"/>
      <c r="K52" s="617">
        <f>VLOOKUP($D52,'WP-BC'!$A$1:$N$358,7,FALSE)</f>
        <v>14716023</v>
      </c>
      <c r="L52" s="617">
        <f>VLOOKUP($D52,'WP-BC'!$A$1:$N$358,8,FALSE)</f>
        <v>15488169</v>
      </c>
      <c r="M52" s="618">
        <f t="shared" si="14"/>
        <v>-772146</v>
      </c>
      <c r="N52" s="617">
        <f>VLOOKUP($D52,'WP-BC'!$A$1:$N$358,10,FALSE)</f>
        <v>109791</v>
      </c>
      <c r="O52" s="617">
        <f>VLOOKUP($D52,'WP-BC'!$A$1:$N$358,11,FALSE)</f>
        <v>14716023</v>
      </c>
      <c r="P52" s="617">
        <f>VLOOKUP($D52,'WP-BC'!$A$1:$N$358,12,FALSE)</f>
        <v>15378377.59</v>
      </c>
      <c r="Q52" s="618">
        <f t="shared" si="15"/>
        <v>-662354.58999999985</v>
      </c>
      <c r="R52" s="617">
        <f>VLOOKUP($D52,'WP-BC'!$A$1:$N$358,14,FALSE)</f>
        <v>0</v>
      </c>
      <c r="S52" s="532">
        <v>14716023</v>
      </c>
      <c r="T52" s="532"/>
      <c r="U52" s="532">
        <v>13714374</v>
      </c>
      <c r="V52" s="532"/>
      <c r="W52" s="532">
        <f>+S52-U52</f>
        <v>1001649</v>
      </c>
      <c r="X52" s="56"/>
      <c r="Y52" s="56"/>
    </row>
    <row r="53" spans="1:25" s="439" customFormat="1">
      <c r="A53" s="626" t="s">
        <v>1245</v>
      </c>
      <c r="B53" s="630" t="s">
        <v>1246</v>
      </c>
      <c r="C53" s="614" t="s">
        <v>1256</v>
      </c>
      <c r="D53" s="615" t="str">
        <f t="shared" si="1"/>
        <v>POLETTI  (Astoria)357Underground Conduit</v>
      </c>
      <c r="E53" s="603" t="s">
        <v>1260</v>
      </c>
      <c r="F53" s="358" t="str">
        <f>CONCATENATE("WP-BC, line ",VLOOKUP(D53,'WP-BC'!$A$18:$N$341,2,FALSE))</f>
        <v>WP-BC, line 10bl</v>
      </c>
      <c r="G53" s="621">
        <v>357</v>
      </c>
      <c r="H53" s="570" t="s">
        <v>1256</v>
      </c>
      <c r="I53" s="620" t="s">
        <v>313</v>
      </c>
      <c r="J53" s="626"/>
      <c r="K53" s="617">
        <f>VLOOKUP($D53,'WP-BC'!$A$1:$N$358,7,FALSE)</f>
        <v>16192845</v>
      </c>
      <c r="L53" s="617">
        <f>VLOOKUP($D53,'WP-BC'!$A$1:$N$358,8,FALSE)</f>
        <v>16539663</v>
      </c>
      <c r="M53" s="618">
        <f t="shared" si="14"/>
        <v>-346818</v>
      </c>
      <c r="N53" s="617">
        <f>VLOOKUP($D53,'WP-BC'!$A$1:$N$358,10,FALSE)</f>
        <v>14687</v>
      </c>
      <c r="O53" s="617">
        <f>VLOOKUP($D53,'WP-BC'!$A$1:$N$358,11,FALSE)</f>
        <v>16192845</v>
      </c>
      <c r="P53" s="617">
        <f>VLOOKUP($D53,'WP-BC'!$A$1:$N$358,12,FALSE)</f>
        <v>16524976.029999999</v>
      </c>
      <c r="Q53" s="618">
        <f t="shared" si="15"/>
        <v>-332131.02999999933</v>
      </c>
      <c r="R53" s="617">
        <f>VLOOKUP($D53,'WP-BC'!$A$1:$N$358,14,FALSE)</f>
        <v>0</v>
      </c>
      <c r="S53" s="532">
        <v>16192845</v>
      </c>
      <c r="T53" s="532"/>
      <c r="U53" s="532">
        <v>15487818</v>
      </c>
      <c r="V53" s="532"/>
      <c r="W53" s="532">
        <f>+S53-U53</f>
        <v>705027</v>
      </c>
      <c r="X53" s="56"/>
      <c r="Y53" s="56"/>
    </row>
    <row r="54" spans="1:25" s="439" customFormat="1">
      <c r="A54" s="626" t="s">
        <v>1245</v>
      </c>
      <c r="B54" s="630" t="s">
        <v>1246</v>
      </c>
      <c r="C54" s="614" t="s">
        <v>1256</v>
      </c>
      <c r="D54" s="615" t="str">
        <f t="shared" si="1"/>
        <v>POLETTI  (Astoria)358Underground Conductors &amp; Devices</v>
      </c>
      <c r="E54" s="603" t="s">
        <v>1261</v>
      </c>
      <c r="F54" s="358" t="str">
        <f>CONCATENATE("WP-BC, line ",VLOOKUP(D54,'WP-BC'!$A$18:$N$341,2,FALSE))</f>
        <v>WP-BC, line 10bm</v>
      </c>
      <c r="G54" s="621">
        <v>358</v>
      </c>
      <c r="H54" s="570" t="s">
        <v>1256</v>
      </c>
      <c r="I54" s="620" t="s">
        <v>314</v>
      </c>
      <c r="J54" s="626"/>
      <c r="K54" s="617">
        <f>VLOOKUP($D54,'WP-BC'!$A$1:$N$358,7,FALSE)</f>
        <v>14726135</v>
      </c>
      <c r="L54" s="617">
        <f>VLOOKUP($D54,'WP-BC'!$A$1:$N$358,8,FALSE)</f>
        <v>14538660</v>
      </c>
      <c r="M54" s="618">
        <f t="shared" si="14"/>
        <v>187475</v>
      </c>
      <c r="N54" s="617">
        <f>VLOOKUP($D54,'WP-BC'!$A$1:$N$358,10,FALSE)</f>
        <v>84435</v>
      </c>
      <c r="O54" s="617">
        <f>VLOOKUP($D54,'WP-BC'!$A$1:$N$358,11,FALSE)</f>
        <v>14726135</v>
      </c>
      <c r="P54" s="617">
        <f>VLOOKUP($D54,'WP-BC'!$A$1:$N$358,12,FALSE)</f>
        <v>14454224.74</v>
      </c>
      <c r="Q54" s="618">
        <f t="shared" si="15"/>
        <v>271910.25999999978</v>
      </c>
      <c r="R54" s="617">
        <f>VLOOKUP($D54,'WP-BC'!$A$1:$N$358,14,FALSE)</f>
        <v>30451</v>
      </c>
      <c r="S54" s="532">
        <v>14726135</v>
      </c>
      <c r="T54" s="532"/>
      <c r="U54" s="532">
        <v>13030098</v>
      </c>
      <c r="V54" s="532"/>
      <c r="W54" s="532">
        <f>+S54-U54</f>
        <v>1696037</v>
      </c>
      <c r="X54" s="56"/>
      <c r="Y54" s="56"/>
    </row>
    <row r="55" spans="1:25" s="439" customFormat="1">
      <c r="A55" s="626"/>
      <c r="B55" s="630"/>
      <c r="C55" s="614"/>
      <c r="D55" s="615"/>
      <c r="E55" s="1163" t="s">
        <v>146</v>
      </c>
      <c r="F55" s="620"/>
      <c r="G55" s="621"/>
      <c r="H55" s="622"/>
      <c r="I55" s="620"/>
      <c r="J55" s="626"/>
      <c r="K55" s="623" t="s">
        <v>768</v>
      </c>
      <c r="L55" s="623" t="s">
        <v>768</v>
      </c>
      <c r="M55" s="623" t="s">
        <v>768</v>
      </c>
      <c r="N55" s="623" t="s">
        <v>768</v>
      </c>
      <c r="O55" s="623" t="s">
        <v>768</v>
      </c>
      <c r="P55" s="623" t="s">
        <v>768</v>
      </c>
      <c r="Q55" s="623" t="s">
        <v>768</v>
      </c>
      <c r="R55" s="623" t="s">
        <v>768</v>
      </c>
      <c r="S55" s="532"/>
      <c r="T55" s="532"/>
      <c r="U55" s="532"/>
      <c r="V55" s="532"/>
      <c r="W55" s="532"/>
      <c r="X55" s="56"/>
      <c r="Y55" s="56"/>
    </row>
    <row r="56" spans="1:25" s="439" customFormat="1">
      <c r="A56" s="626"/>
      <c r="B56" s="630"/>
      <c r="C56" s="614"/>
      <c r="D56" s="615"/>
      <c r="E56" s="603"/>
      <c r="F56" s="1321"/>
      <c r="G56" s="625"/>
      <c r="H56" s="626"/>
      <c r="I56" s="626"/>
      <c r="J56" s="626"/>
      <c r="K56" s="617"/>
      <c r="L56" s="617"/>
      <c r="M56" s="617"/>
      <c r="N56" s="617"/>
      <c r="O56" s="617"/>
      <c r="P56" s="617"/>
      <c r="Q56" s="617"/>
      <c r="R56" s="617"/>
      <c r="S56" s="532"/>
      <c r="T56" s="532"/>
      <c r="U56" s="532"/>
      <c r="V56" s="532"/>
      <c r="W56" s="532"/>
      <c r="X56" s="56"/>
      <c r="Y56" s="56"/>
    </row>
    <row r="57" spans="1:25" s="439" customFormat="1">
      <c r="A57" s="626"/>
      <c r="B57" s="630"/>
      <c r="C57" s="614"/>
      <c r="D57" s="615" t="str">
        <f t="shared" si="1"/>
        <v>SUBTOTAL Poletti</v>
      </c>
      <c r="E57" s="643">
        <v>9</v>
      </c>
      <c r="F57" s="624"/>
      <c r="G57" s="629" t="s">
        <v>1262</v>
      </c>
      <c r="H57" s="626"/>
      <c r="I57" s="626"/>
      <c r="J57" s="626"/>
      <c r="K57" s="627">
        <f>SUM(K50:K55)</f>
        <v>45705732</v>
      </c>
      <c r="L57" s="627">
        <f t="shared" ref="L57:R57" si="16">SUM(L50:L55)</f>
        <v>46626490</v>
      </c>
      <c r="M57" s="627">
        <f t="shared" si="16"/>
        <v>-920758</v>
      </c>
      <c r="N57" s="627">
        <f t="shared" si="16"/>
        <v>209227</v>
      </c>
      <c r="O57" s="627">
        <f t="shared" si="16"/>
        <v>45705732</v>
      </c>
      <c r="P57" s="627">
        <f t="shared" si="16"/>
        <v>46417263</v>
      </c>
      <c r="Q57" s="627">
        <f t="shared" si="16"/>
        <v>-711530.99999999942</v>
      </c>
      <c r="R57" s="627">
        <f t="shared" si="16"/>
        <v>30451</v>
      </c>
      <c r="S57" s="537">
        <f>SUM(S50:S54)</f>
        <v>45705732</v>
      </c>
      <c r="T57" s="532"/>
      <c r="U57" s="537">
        <f>SUM(U50:U54)</f>
        <v>42284432</v>
      </c>
      <c r="V57" s="532"/>
      <c r="W57" s="537">
        <f>SUM(W50:W54)</f>
        <v>3421300</v>
      </c>
      <c r="X57" s="56"/>
      <c r="Y57" s="56"/>
    </row>
    <row r="58" spans="1:25" s="439" customFormat="1" ht="22.5" customHeight="1">
      <c r="A58" s="626"/>
      <c r="B58" s="630"/>
      <c r="C58" s="614"/>
      <c r="D58" s="615" t="str">
        <f t="shared" si="1"/>
        <v/>
      </c>
      <c r="E58" s="643">
        <v>10</v>
      </c>
      <c r="F58" s="1321"/>
      <c r="G58" s="625"/>
      <c r="H58" s="626"/>
      <c r="I58" s="626"/>
      <c r="J58" s="626"/>
      <c r="K58" s="617"/>
      <c r="L58" s="617"/>
      <c r="M58" s="618"/>
      <c r="N58" s="617"/>
      <c r="O58" s="617"/>
      <c r="P58" s="617"/>
      <c r="Q58" s="618"/>
      <c r="R58" s="617"/>
      <c r="S58" s="532"/>
      <c r="T58" s="532"/>
      <c r="U58" s="532"/>
      <c r="V58" s="532"/>
      <c r="W58" s="532"/>
      <c r="X58" s="56"/>
      <c r="Y58" s="56"/>
    </row>
    <row r="59" spans="1:25" s="439" customFormat="1">
      <c r="A59" s="626" t="s">
        <v>1245</v>
      </c>
      <c r="B59" s="630" t="s">
        <v>1246</v>
      </c>
      <c r="C59" s="614" t="s">
        <v>1263</v>
      </c>
      <c r="D59" s="615" t="str">
        <f t="shared" si="1"/>
        <v>BRENTWOOD  (Long Island)353Station Equip - Transmission</v>
      </c>
      <c r="E59" s="1132" t="s">
        <v>1264</v>
      </c>
      <c r="F59" s="358" t="str">
        <f>CONCATENATE("WP-BC, line ",VLOOKUP(D59,'WP-BC'!$A$18:$N$341,2,FALSE))</f>
        <v>WP-BC, line 10bb</v>
      </c>
      <c r="G59" s="621">
        <v>353</v>
      </c>
      <c r="H59" s="570" t="s">
        <v>1263</v>
      </c>
      <c r="I59" s="620" t="s">
        <v>1248</v>
      </c>
      <c r="J59" s="626"/>
      <c r="K59" s="617">
        <f>VLOOKUP($D59,'WP-BC'!$A$1:$N$358,7,FALSE)</f>
        <v>6883706</v>
      </c>
      <c r="L59" s="617">
        <f>VLOOKUP($D59,'WP-BC'!$A$1:$N$358,8,FALSE)</f>
        <v>5919671</v>
      </c>
      <c r="M59" s="618">
        <f t="shared" ref="M59:M65" si="17">+K59-L59</f>
        <v>964035</v>
      </c>
      <c r="N59" s="617">
        <f>VLOOKUP($D59,'WP-BC'!$A$1:$N$358,10,FALSE)</f>
        <v>50474</v>
      </c>
      <c r="O59" s="617">
        <f>VLOOKUP($D59,'WP-BC'!$A$1:$N$358,11,FALSE)</f>
        <v>6883705.7699999996</v>
      </c>
      <c r="P59" s="617">
        <f>VLOOKUP($D59,'WP-BC'!$A$1:$N$358,12,FALSE)</f>
        <v>5869197</v>
      </c>
      <c r="Q59" s="618">
        <f t="shared" ref="Q59:Q65" si="18">+O59-P59</f>
        <v>1014508.7699999996</v>
      </c>
      <c r="R59" s="617">
        <f>VLOOKUP($D59,'WP-BC'!$A$1:$N$358,14,FALSE)</f>
        <v>37305</v>
      </c>
      <c r="S59" s="532">
        <v>6324138</v>
      </c>
      <c r="T59" s="532"/>
      <c r="U59" s="532">
        <v>3895543.23</v>
      </c>
      <c r="V59" s="532"/>
      <c r="W59" s="532">
        <f t="shared" ref="W59:W65" si="19">+S59-U59</f>
        <v>2428594.77</v>
      </c>
      <c r="X59" s="56"/>
      <c r="Y59" s="56"/>
    </row>
    <row r="60" spans="1:25" s="439" customFormat="1">
      <c r="A60" s="626" t="s">
        <v>1245</v>
      </c>
      <c r="B60" s="630" t="s">
        <v>1246</v>
      </c>
      <c r="C60" s="614" t="s">
        <v>1265</v>
      </c>
      <c r="D60" s="615" t="str">
        <f t="shared" si="1"/>
        <v>GOWANUS  (Brooklyn)353Station Equip - Transmission</v>
      </c>
      <c r="E60" s="1132" t="s">
        <v>1266</v>
      </c>
      <c r="F60" s="358" t="str">
        <f>CONCATENATE("WP-BC, line ",VLOOKUP(D60,'WP-BC'!$A$18:$N$341,2,FALSE))</f>
        <v>WP-BC, line 10be</v>
      </c>
      <c r="G60" s="621">
        <v>353</v>
      </c>
      <c r="H60" s="570" t="s">
        <v>1265</v>
      </c>
      <c r="I60" s="620" t="s">
        <v>1248</v>
      </c>
      <c r="J60" s="626"/>
      <c r="K60" s="617">
        <f>VLOOKUP($D60,'WP-BC'!$A$1:$N$358,7,FALSE)</f>
        <v>28715227</v>
      </c>
      <c r="L60" s="617">
        <f>VLOOKUP($D60,'WP-BC'!$A$1:$N$358,8,FALSE)</f>
        <v>27640774</v>
      </c>
      <c r="M60" s="618">
        <f t="shared" si="17"/>
        <v>1074453</v>
      </c>
      <c r="N60" s="617">
        <f>VLOOKUP($D60,'WP-BC'!$A$1:$N$358,10,FALSE)</f>
        <v>60421</v>
      </c>
      <c r="O60" s="617">
        <f>VLOOKUP($D60,'WP-BC'!$A$1:$N$358,11,FALSE)</f>
        <v>28715227.16</v>
      </c>
      <c r="P60" s="617">
        <f>VLOOKUP($D60,'WP-BC'!$A$1:$N$358,12,FALSE)</f>
        <v>27580353.329999998</v>
      </c>
      <c r="Q60" s="618">
        <f t="shared" si="18"/>
        <v>1134873.8300000019</v>
      </c>
      <c r="R60" s="617">
        <f>VLOOKUP($D60,'WP-BC'!$A$1:$N$358,14,FALSE)</f>
        <v>0</v>
      </c>
      <c r="S60" s="532">
        <v>28929287.280000001</v>
      </c>
      <c r="T60" s="532"/>
      <c r="U60" s="532">
        <v>11360221.449999999</v>
      </c>
      <c r="V60" s="532"/>
      <c r="W60" s="532">
        <f t="shared" si="19"/>
        <v>17569065.830000002</v>
      </c>
      <c r="X60" s="56"/>
      <c r="Y60" s="56"/>
    </row>
    <row r="61" spans="1:25" s="439" customFormat="1">
      <c r="A61" s="626" t="s">
        <v>1245</v>
      </c>
      <c r="B61" s="630" t="s">
        <v>1246</v>
      </c>
      <c r="C61" s="614" t="s">
        <v>1267</v>
      </c>
      <c r="D61" s="615" t="str">
        <f t="shared" si="1"/>
        <v>HARLEM RIVER YARDS  (Bronx)353Station Equip - Transmission</v>
      </c>
      <c r="E61" s="1132" t="s">
        <v>1268</v>
      </c>
      <c r="F61" s="358" t="str">
        <f>CONCATENATE("WP-BC, line ",VLOOKUP(D61,'WP-BC'!$A$18:$N$341,2,FALSE))</f>
        <v>WP-BC, line 10bf</v>
      </c>
      <c r="G61" s="621">
        <v>353</v>
      </c>
      <c r="H61" s="570" t="s">
        <v>1267</v>
      </c>
      <c r="I61" s="620" t="s">
        <v>1248</v>
      </c>
      <c r="J61" s="626"/>
      <c r="K61" s="617">
        <f>VLOOKUP($D61,'WP-BC'!$A$1:$N$358,7,FALSE)</f>
        <v>25080072</v>
      </c>
      <c r="L61" s="617">
        <f>VLOOKUP($D61,'WP-BC'!$A$1:$N$358,8,FALSE)</f>
        <v>21534820</v>
      </c>
      <c r="M61" s="618">
        <f t="shared" si="17"/>
        <v>3545252</v>
      </c>
      <c r="N61" s="617">
        <f>VLOOKUP($D61,'WP-BC'!$A$1:$N$358,10,FALSE)</f>
        <v>391430</v>
      </c>
      <c r="O61" s="617">
        <f>VLOOKUP($D61,'WP-BC'!$A$1:$N$358,11,FALSE)</f>
        <v>25080072.09</v>
      </c>
      <c r="P61" s="617">
        <f>VLOOKUP($D61,'WP-BC'!$A$1:$N$358,12,FALSE)</f>
        <v>21143390</v>
      </c>
      <c r="Q61" s="618">
        <f t="shared" si="18"/>
        <v>3936682.09</v>
      </c>
      <c r="R61" s="617">
        <f>VLOOKUP($D61,'WP-BC'!$A$1:$N$358,14,FALSE)</f>
        <v>487234</v>
      </c>
      <c r="S61" s="532">
        <v>18077566</v>
      </c>
      <c r="T61" s="532"/>
      <c r="U61" s="532">
        <v>12146580</v>
      </c>
      <c r="V61" s="532"/>
      <c r="W61" s="532">
        <f t="shared" si="19"/>
        <v>5930986</v>
      </c>
      <c r="X61" s="56"/>
      <c r="Y61" s="56"/>
    </row>
    <row r="62" spans="1:25" s="439" customFormat="1">
      <c r="A62" s="626" t="s">
        <v>1245</v>
      </c>
      <c r="B62" s="630" t="s">
        <v>1246</v>
      </c>
      <c r="C62" s="614" t="s">
        <v>1269</v>
      </c>
      <c r="D62" s="615" t="str">
        <f t="shared" si="1"/>
        <v>HELLGATE  (Bronx)353Station Equip - Transmission</v>
      </c>
      <c r="E62" s="1132" t="s">
        <v>1270</v>
      </c>
      <c r="F62" s="358" t="str">
        <f>CONCATENATE("WP-BC, line ",VLOOKUP(D62,'WP-BC'!$A$18:$N$341,2,FALSE))</f>
        <v>WP-BC, line 10bg</v>
      </c>
      <c r="G62" s="621">
        <v>353</v>
      </c>
      <c r="H62" s="570" t="s">
        <v>1269</v>
      </c>
      <c r="I62" s="620" t="s">
        <v>1248</v>
      </c>
      <c r="J62" s="626"/>
      <c r="K62" s="617">
        <f>VLOOKUP($D62,'WP-BC'!$A$1:$N$358,7,FALSE)</f>
        <v>25061553</v>
      </c>
      <c r="L62" s="617">
        <f>VLOOKUP($D62,'WP-BC'!$A$1:$N$358,8,FALSE)</f>
        <v>21326325</v>
      </c>
      <c r="M62" s="618">
        <f t="shared" si="17"/>
        <v>3735228</v>
      </c>
      <c r="N62" s="617">
        <f>VLOOKUP($D62,'WP-BC'!$A$1:$N$358,10,FALSE)</f>
        <v>2273130</v>
      </c>
      <c r="O62" s="617">
        <f>VLOOKUP($D62,'WP-BC'!$A$1:$N$358,11,FALSE)</f>
        <v>25061552.949999999</v>
      </c>
      <c r="P62" s="617">
        <f>VLOOKUP($D62,'WP-BC'!$A$1:$N$358,12,FALSE)</f>
        <v>19053195</v>
      </c>
      <c r="Q62" s="618">
        <f t="shared" si="18"/>
        <v>6008357.9499999993</v>
      </c>
      <c r="R62" s="617">
        <f>VLOOKUP($D62,'WP-BC'!$A$1:$N$358,14,FALSE)</f>
        <v>684730</v>
      </c>
      <c r="S62" s="532">
        <v>16205600</v>
      </c>
      <c r="T62" s="532"/>
      <c r="U62" s="532">
        <v>10969679</v>
      </c>
      <c r="V62" s="532"/>
      <c r="W62" s="532">
        <f t="shared" si="19"/>
        <v>5235921</v>
      </c>
      <c r="X62" s="56"/>
      <c r="Y62" s="56"/>
    </row>
    <row r="63" spans="1:25" s="439" customFormat="1">
      <c r="A63" s="626" t="s">
        <v>1245</v>
      </c>
      <c r="B63" s="630" t="s">
        <v>1246</v>
      </c>
      <c r="C63" s="614" t="s">
        <v>1271</v>
      </c>
      <c r="D63" s="615" t="str">
        <f t="shared" si="1"/>
        <v>KENT  (Brooklyn)353Station Equip - Transmission</v>
      </c>
      <c r="E63" s="1132" t="s">
        <v>1272</v>
      </c>
      <c r="F63" s="358" t="str">
        <f>CONCATENATE("WP-BC, line ",VLOOKUP(D63,'WP-BC'!$A$18:$N$341,2,FALSE))</f>
        <v>WP-BC, line 10bi</v>
      </c>
      <c r="G63" s="621">
        <v>353</v>
      </c>
      <c r="H63" s="570" t="s">
        <v>1271</v>
      </c>
      <c r="I63" s="620" t="s">
        <v>1248</v>
      </c>
      <c r="J63" s="626"/>
      <c r="K63" s="617">
        <f>VLOOKUP($D63,'WP-BC'!$A$1:$N$358,7,FALSE)</f>
        <v>10506622</v>
      </c>
      <c r="L63" s="617">
        <f>VLOOKUP($D63,'WP-BC'!$A$1:$N$358,8,FALSE)</f>
        <v>9829017</v>
      </c>
      <c r="M63" s="618">
        <f t="shared" si="17"/>
        <v>677605</v>
      </c>
      <c r="N63" s="617">
        <f>VLOOKUP($D63,'WP-BC'!$A$1:$N$358,10,FALSE)</f>
        <v>29903</v>
      </c>
      <c r="O63" s="617">
        <f>VLOOKUP($D63,'WP-BC'!$A$1:$N$358,11,FALSE)</f>
        <v>10506622.24</v>
      </c>
      <c r="P63" s="617">
        <f>VLOOKUP($D63,'WP-BC'!$A$1:$N$358,12,FALSE)</f>
        <v>9799114.2400000002</v>
      </c>
      <c r="Q63" s="618">
        <f t="shared" si="18"/>
        <v>707508</v>
      </c>
      <c r="R63" s="617">
        <f>VLOOKUP($D63,'WP-BC'!$A$1:$N$358,14,FALSE)</f>
        <v>4695</v>
      </c>
      <c r="S63" s="532">
        <v>10365797</v>
      </c>
      <c r="T63" s="532"/>
      <c r="U63" s="532">
        <v>6515685.2800000003</v>
      </c>
      <c r="V63" s="532"/>
      <c r="W63" s="532">
        <f t="shared" si="19"/>
        <v>3850111.7199999997</v>
      </c>
      <c r="X63" s="56"/>
      <c r="Y63" s="56"/>
    </row>
    <row r="64" spans="1:25" s="439" customFormat="1">
      <c r="A64" s="626" t="s">
        <v>1245</v>
      </c>
      <c r="B64" s="630" t="s">
        <v>1246</v>
      </c>
      <c r="C64" s="614" t="s">
        <v>1273</v>
      </c>
      <c r="D64" s="615" t="str">
        <f t="shared" si="1"/>
        <v>POUCH TERMINAL  (Richmond)353Station Equip - Transmission</v>
      </c>
      <c r="E64" s="603" t="s">
        <v>1274</v>
      </c>
      <c r="F64" s="358" t="str">
        <f>CONCATENATE("WP-BC, line ",VLOOKUP(D64,'WP-BC'!$A$18:$N$341,2,FALSE))</f>
        <v>WP-BC, line 10bn</v>
      </c>
      <c r="G64" s="621">
        <v>353</v>
      </c>
      <c r="H64" s="570" t="s">
        <v>1273</v>
      </c>
      <c r="I64" s="620" t="s">
        <v>1248</v>
      </c>
      <c r="J64" s="626"/>
      <c r="K64" s="617">
        <f>VLOOKUP($D64,'WP-BC'!$A$1:$N$358,7,FALSE)</f>
        <v>11520027</v>
      </c>
      <c r="L64" s="617">
        <f>VLOOKUP($D64,'WP-BC'!$A$1:$N$358,8,FALSE)</f>
        <v>10500554</v>
      </c>
      <c r="M64" s="618">
        <f t="shared" si="17"/>
        <v>1019473</v>
      </c>
      <c r="N64" s="617">
        <f>VLOOKUP($D64,'WP-BC'!$A$1:$N$358,10,FALSE)</f>
        <v>31875</v>
      </c>
      <c r="O64" s="617">
        <f>VLOOKUP($D64,'WP-BC'!$A$1:$N$358,11,FALSE)</f>
        <v>11520027</v>
      </c>
      <c r="P64" s="617">
        <f>VLOOKUP($D64,'WP-BC'!$A$1:$N$358,12,FALSE)</f>
        <v>10468678.050000001</v>
      </c>
      <c r="Q64" s="618">
        <f t="shared" si="18"/>
        <v>1051348.9499999993</v>
      </c>
      <c r="R64" s="617">
        <f>VLOOKUP($D64,'WP-BC'!$A$1:$N$358,14,FALSE)</f>
        <v>0</v>
      </c>
      <c r="S64" s="532">
        <v>11520027</v>
      </c>
      <c r="T64" s="532"/>
      <c r="U64" s="532">
        <v>5996993.0499999998</v>
      </c>
      <c r="V64" s="532"/>
      <c r="W64" s="532">
        <f t="shared" si="19"/>
        <v>5523033.9500000002</v>
      </c>
      <c r="X64" s="56"/>
      <c r="Y64" s="56"/>
    </row>
    <row r="65" spans="1:25" s="439" customFormat="1">
      <c r="A65" s="626" t="s">
        <v>1245</v>
      </c>
      <c r="B65" s="630" t="s">
        <v>1246</v>
      </c>
      <c r="C65" s="614" t="s">
        <v>1275</v>
      </c>
      <c r="D65" s="615" t="str">
        <f t="shared" si="1"/>
        <v>VERNON BOULEVARD  (Queens)353Station Equip - Transmission</v>
      </c>
      <c r="E65" s="603" t="s">
        <v>1276</v>
      </c>
      <c r="F65" s="358" t="str">
        <f>CONCATENATE("WP-BC, line ",VLOOKUP(D65,'WP-BC'!$A$18:$N$341,2,FALSE))</f>
        <v>WP-BC, line 10bo</v>
      </c>
      <c r="G65" s="621">
        <v>353</v>
      </c>
      <c r="H65" s="570" t="s">
        <v>1275</v>
      </c>
      <c r="I65" s="620" t="s">
        <v>1248</v>
      </c>
      <c r="J65" s="626"/>
      <c r="K65" s="617">
        <f>VLOOKUP($D65,'WP-BC'!$A$1:$N$358,7,FALSE)</f>
        <v>16526683</v>
      </c>
      <c r="L65" s="617">
        <f>VLOOKUP($D65,'WP-BC'!$A$1:$N$358,8,FALSE)</f>
        <v>6635443</v>
      </c>
      <c r="M65" s="618">
        <f t="shared" si="17"/>
        <v>9891240</v>
      </c>
      <c r="N65" s="617">
        <f>VLOOKUP($D65,'WP-BC'!$A$1:$N$358,10,FALSE)</f>
        <v>0</v>
      </c>
      <c r="O65" s="617">
        <f>VLOOKUP($D65,'WP-BC'!$A$1:$N$358,11,FALSE)</f>
        <v>16526683</v>
      </c>
      <c r="P65" s="617">
        <f>VLOOKUP($D65,'WP-BC'!$A$1:$N$358,12,FALSE)</f>
        <v>6635442.8499999996</v>
      </c>
      <c r="Q65" s="618">
        <f t="shared" si="18"/>
        <v>9891240.1500000004</v>
      </c>
      <c r="R65" s="617">
        <f>VLOOKUP($D65,'WP-BC'!$A$1:$N$358,14,FALSE)</f>
        <v>0</v>
      </c>
      <c r="S65" s="532">
        <v>16526683</v>
      </c>
      <c r="T65" s="532"/>
      <c r="U65" s="532">
        <v>6636442.8499999996</v>
      </c>
      <c r="V65" s="532"/>
      <c r="W65" s="532">
        <f t="shared" si="19"/>
        <v>9890240.1500000004</v>
      </c>
      <c r="X65" s="56"/>
      <c r="Y65" s="56"/>
    </row>
    <row r="66" spans="1:25" s="439" customFormat="1">
      <c r="A66" s="626"/>
      <c r="B66" s="630"/>
      <c r="C66" s="614"/>
      <c r="D66" s="615"/>
      <c r="E66" s="1163" t="s">
        <v>146</v>
      </c>
      <c r="F66" s="620"/>
      <c r="G66" s="621"/>
      <c r="H66" s="622"/>
      <c r="I66" s="620"/>
      <c r="J66" s="626"/>
      <c r="K66" s="623" t="s">
        <v>768</v>
      </c>
      <c r="L66" s="623" t="s">
        <v>768</v>
      </c>
      <c r="M66" s="623" t="s">
        <v>768</v>
      </c>
      <c r="N66" s="623" t="s">
        <v>768</v>
      </c>
      <c r="O66" s="623" t="s">
        <v>768</v>
      </c>
      <c r="P66" s="623" t="s">
        <v>768</v>
      </c>
      <c r="Q66" s="623" t="s">
        <v>768</v>
      </c>
      <c r="R66" s="623" t="s">
        <v>768</v>
      </c>
      <c r="S66" s="532"/>
      <c r="T66" s="532"/>
      <c r="U66" s="532"/>
      <c r="V66" s="532"/>
      <c r="W66" s="532"/>
      <c r="X66" s="56"/>
      <c r="Y66" s="56"/>
    </row>
    <row r="67" spans="1:25" s="439" customFormat="1">
      <c r="A67" s="626"/>
      <c r="B67" s="630"/>
      <c r="C67" s="614"/>
      <c r="D67" s="615"/>
      <c r="E67" s="603"/>
      <c r="F67" s="1321"/>
      <c r="G67" s="625"/>
      <c r="H67" s="626"/>
      <c r="I67" s="626"/>
      <c r="J67" s="626"/>
      <c r="K67" s="617"/>
      <c r="L67" s="617"/>
      <c r="M67" s="618"/>
      <c r="N67" s="617"/>
      <c r="O67" s="617"/>
      <c r="P67" s="617"/>
      <c r="Q67" s="618"/>
      <c r="R67" s="617"/>
      <c r="S67" s="532"/>
      <c r="T67" s="532"/>
      <c r="U67" s="532"/>
      <c r="V67" s="532"/>
      <c r="W67" s="532"/>
      <c r="X67" s="56"/>
      <c r="Y67" s="56"/>
    </row>
    <row r="68" spans="1:25" s="439" customFormat="1">
      <c r="A68" s="626"/>
      <c r="B68" s="630"/>
      <c r="C68" s="614"/>
      <c r="D68" s="615" t="str">
        <f t="shared" si="1"/>
        <v>SUBTOTAL SCPP</v>
      </c>
      <c r="E68" s="643">
        <v>11</v>
      </c>
      <c r="F68" s="624"/>
      <c r="G68" s="629" t="s">
        <v>1277</v>
      </c>
      <c r="H68" s="626"/>
      <c r="I68" s="626"/>
      <c r="J68" s="626"/>
      <c r="K68" s="627">
        <f>SUM(K59:K66)</f>
        <v>124293890</v>
      </c>
      <c r="L68" s="627">
        <f t="shared" ref="L68:R68" si="20">SUM(L59:L66)</f>
        <v>103386604</v>
      </c>
      <c r="M68" s="627">
        <f t="shared" si="20"/>
        <v>20907286</v>
      </c>
      <c r="N68" s="627">
        <f t="shared" si="20"/>
        <v>2837233</v>
      </c>
      <c r="O68" s="627">
        <f t="shared" si="20"/>
        <v>124293890.20999999</v>
      </c>
      <c r="P68" s="627">
        <f t="shared" si="20"/>
        <v>100549370.46999998</v>
      </c>
      <c r="Q68" s="627">
        <f t="shared" si="20"/>
        <v>23744519.740000002</v>
      </c>
      <c r="R68" s="627">
        <f t="shared" si="20"/>
        <v>1213964</v>
      </c>
      <c r="S68" s="537">
        <f t="shared" ref="S68" si="21">SUM(S59:S65)</f>
        <v>107949098.28</v>
      </c>
      <c r="T68" s="532"/>
      <c r="U68" s="537">
        <f>SUM(U59:U65)</f>
        <v>57521144.859999999</v>
      </c>
      <c r="V68" s="532"/>
      <c r="W68" s="537">
        <f>SUM(W59:W65)</f>
        <v>50427953.420000002</v>
      </c>
      <c r="X68" s="56"/>
      <c r="Y68" s="56"/>
    </row>
    <row r="69" spans="1:25" s="439" customFormat="1">
      <c r="A69" s="626"/>
      <c r="B69" s="630"/>
      <c r="C69" s="614"/>
      <c r="D69" s="615"/>
      <c r="E69" s="603"/>
      <c r="F69" s="1321"/>
      <c r="G69" s="629"/>
      <c r="H69" s="626"/>
      <c r="I69" s="626"/>
      <c r="J69" s="626"/>
      <c r="K69" s="627"/>
      <c r="L69" s="627"/>
      <c r="M69" s="627"/>
      <c r="N69" s="627"/>
      <c r="O69" s="627"/>
      <c r="P69" s="627"/>
      <c r="Q69" s="627"/>
      <c r="R69" s="627"/>
      <c r="S69" s="537"/>
      <c r="T69" s="532"/>
      <c r="U69" s="537"/>
      <c r="V69" s="532"/>
      <c r="W69" s="537"/>
      <c r="X69" s="56"/>
      <c r="Y69" s="56"/>
    </row>
    <row r="70" spans="1:25" s="439" customFormat="1" ht="22.5" customHeight="1">
      <c r="A70" s="626"/>
      <c r="B70" s="630"/>
      <c r="C70" s="614"/>
      <c r="D70" s="615" t="str">
        <f t="shared" ref="D70:D71" si="22">CONCATENATE(H70,G70,I70)</f>
        <v/>
      </c>
      <c r="E70" s="643">
        <v>12</v>
      </c>
      <c r="F70" s="1321"/>
      <c r="G70" s="625"/>
      <c r="H70" s="626"/>
      <c r="I70" s="626"/>
      <c r="J70" s="626"/>
      <c r="K70" s="617"/>
      <c r="L70" s="617"/>
      <c r="M70" s="618"/>
      <c r="N70" s="617"/>
      <c r="O70" s="617"/>
      <c r="P70" s="617"/>
      <c r="Q70" s="618"/>
      <c r="R70" s="617"/>
      <c r="S70" s="532"/>
      <c r="T70" s="532"/>
      <c r="U70" s="532"/>
      <c r="V70" s="532"/>
      <c r="W70" s="532"/>
      <c r="X70" s="56"/>
      <c r="Y70" s="56"/>
    </row>
    <row r="71" spans="1:25" s="439" customFormat="1">
      <c r="A71" s="626" t="s">
        <v>1245</v>
      </c>
      <c r="B71" s="630" t="s">
        <v>1246</v>
      </c>
      <c r="C71" s="614" t="s">
        <v>1263</v>
      </c>
      <c r="D71" s="615" t="str">
        <f t="shared" si="22"/>
        <v/>
      </c>
      <c r="E71" s="1164" t="s">
        <v>146</v>
      </c>
      <c r="F71" s="620"/>
      <c r="G71" s="621"/>
      <c r="H71" s="622"/>
      <c r="I71" s="620"/>
      <c r="J71" s="626"/>
      <c r="K71" s="632" t="s">
        <v>768</v>
      </c>
      <c r="L71" s="633" t="s">
        <v>768</v>
      </c>
      <c r="M71" s="633" t="s">
        <v>768</v>
      </c>
      <c r="N71" s="633" t="s">
        <v>768</v>
      </c>
      <c r="O71" s="633" t="s">
        <v>768</v>
      </c>
      <c r="P71" s="633" t="s">
        <v>768</v>
      </c>
      <c r="Q71" s="633" t="s">
        <v>768</v>
      </c>
      <c r="R71" s="633" t="s">
        <v>768</v>
      </c>
      <c r="S71" s="532">
        <v>6324138</v>
      </c>
      <c r="T71" s="532"/>
      <c r="U71" s="532">
        <v>3895543.23</v>
      </c>
      <c r="V71" s="532"/>
      <c r="W71" s="532">
        <f t="shared" ref="W71" si="23">+S71-U71</f>
        <v>2428594.77</v>
      </c>
      <c r="X71" s="56"/>
      <c r="Y71" s="56"/>
    </row>
    <row r="72" spans="1:25" s="439" customFormat="1">
      <c r="A72" s="626"/>
      <c r="B72" s="630"/>
      <c r="C72" s="614"/>
      <c r="D72" s="615"/>
      <c r="E72" s="1132"/>
      <c r="F72" s="1321"/>
      <c r="G72" s="629"/>
      <c r="H72" s="626"/>
      <c r="I72" s="626"/>
      <c r="J72" s="626"/>
      <c r="K72" s="634"/>
      <c r="L72" s="635"/>
      <c r="M72" s="635"/>
      <c r="N72" s="635"/>
      <c r="O72" s="635"/>
      <c r="P72" s="635"/>
      <c r="Q72" s="635"/>
      <c r="R72" s="635"/>
      <c r="S72" s="532"/>
      <c r="T72" s="532"/>
      <c r="U72" s="532"/>
      <c r="V72" s="532"/>
      <c r="W72" s="532"/>
      <c r="X72" s="56"/>
      <c r="Y72" s="56"/>
    </row>
    <row r="73" spans="1:25" s="439" customFormat="1">
      <c r="A73" s="626"/>
      <c r="B73" s="630"/>
      <c r="C73" s="614"/>
      <c r="D73" s="615"/>
      <c r="E73" s="603"/>
      <c r="F73" s="1321"/>
      <c r="G73" s="629"/>
      <c r="H73" s="626"/>
      <c r="I73" s="626"/>
      <c r="J73" s="626"/>
      <c r="K73" s="636">
        <f>SUM(K71)</f>
        <v>0</v>
      </c>
      <c r="L73" s="637">
        <f t="shared" ref="L73:R73" si="24">SUM(L71)</f>
        <v>0</v>
      </c>
      <c r="M73" s="637">
        <f t="shared" si="24"/>
        <v>0</v>
      </c>
      <c r="N73" s="637">
        <f t="shared" si="24"/>
        <v>0</v>
      </c>
      <c r="O73" s="637">
        <f t="shared" si="24"/>
        <v>0</v>
      </c>
      <c r="P73" s="637">
        <f t="shared" si="24"/>
        <v>0</v>
      </c>
      <c r="Q73" s="637">
        <f t="shared" si="24"/>
        <v>0</v>
      </c>
      <c r="R73" s="637">
        <f t="shared" si="24"/>
        <v>0</v>
      </c>
      <c r="S73" s="537"/>
      <c r="T73" s="532"/>
      <c r="U73" s="537"/>
      <c r="V73" s="532"/>
      <c r="W73" s="537"/>
      <c r="X73" s="56"/>
      <c r="Y73" s="56"/>
    </row>
    <row r="74" spans="1:25" s="439" customFormat="1">
      <c r="A74" s="626"/>
      <c r="B74" s="630"/>
      <c r="C74" s="614"/>
      <c r="D74" s="615"/>
      <c r="E74" s="603"/>
      <c r="F74" s="1321"/>
      <c r="G74" s="629"/>
      <c r="H74" s="626"/>
      <c r="I74" s="626"/>
      <c r="J74" s="626"/>
      <c r="K74" s="627"/>
      <c r="L74" s="627"/>
      <c r="M74" s="627"/>
      <c r="N74" s="627"/>
      <c r="O74" s="627"/>
      <c r="P74" s="627"/>
      <c r="Q74" s="627"/>
      <c r="R74" s="627"/>
      <c r="S74" s="537"/>
      <c r="T74" s="532"/>
      <c r="U74" s="537"/>
      <c r="V74" s="532"/>
      <c r="W74" s="537"/>
      <c r="X74" s="56"/>
      <c r="Y74" s="56"/>
    </row>
    <row r="75" spans="1:25" s="439" customFormat="1" ht="17.399999999999999">
      <c r="A75" s="626"/>
      <c r="B75" s="630"/>
      <c r="C75" s="614"/>
      <c r="D75" s="615" t="str">
        <f t="shared" si="1"/>
        <v>TOTAL EXCLUDED TRANSMISSION</v>
      </c>
      <c r="E75" s="643">
        <v>13</v>
      </c>
      <c r="F75" s="624"/>
      <c r="G75" s="638" t="s">
        <v>1278</v>
      </c>
      <c r="H75" s="626"/>
      <c r="I75" s="626"/>
      <c r="J75" s="626"/>
      <c r="K75" s="627">
        <f>K23+K43+K48+K57+K68+K36+K73</f>
        <v>284118317</v>
      </c>
      <c r="L75" s="627">
        <f t="shared" ref="L75:R75" si="25">L23+L43+L48+L57+L68+L36+L73</f>
        <v>204693362</v>
      </c>
      <c r="M75" s="627">
        <f t="shared" si="25"/>
        <v>79424955</v>
      </c>
      <c r="N75" s="627">
        <f>N23+N43+N48+N57+N68+N36+N73</f>
        <v>6252581</v>
      </c>
      <c r="O75" s="627">
        <f t="shared" si="25"/>
        <v>362392669.38999999</v>
      </c>
      <c r="P75" s="627">
        <f t="shared" si="25"/>
        <v>243055637.28999996</v>
      </c>
      <c r="Q75" s="627">
        <f t="shared" si="25"/>
        <v>119337032.09999999</v>
      </c>
      <c r="R75" s="627">
        <f t="shared" si="25"/>
        <v>8749988</v>
      </c>
      <c r="S75" s="537">
        <f>S20+S43+S45+S57+S68</f>
        <v>240304625.04000002</v>
      </c>
      <c r="T75" s="532"/>
      <c r="U75" s="537">
        <f>U20+U43+U45+U57+U68</f>
        <v>114494058.12</v>
      </c>
      <c r="V75" s="532"/>
      <c r="W75" s="537">
        <f>W20+W43+W45+W57+W68</f>
        <v>125810566.92</v>
      </c>
      <c r="X75" s="56"/>
      <c r="Y75" s="56"/>
    </row>
    <row r="76" spans="1:25" s="439" customFormat="1">
      <c r="A76" s="626"/>
      <c r="B76" s="630"/>
      <c r="C76" s="614"/>
      <c r="D76" s="615" t="str">
        <f t="shared" si="1"/>
        <v/>
      </c>
      <c r="E76" s="603"/>
      <c r="F76" s="1321"/>
      <c r="G76" s="629"/>
      <c r="H76" s="626"/>
      <c r="I76" s="626"/>
      <c r="J76" s="626"/>
      <c r="K76" s="617"/>
      <c r="L76" s="617"/>
      <c r="M76" s="618"/>
      <c r="N76" s="617"/>
      <c r="O76" s="617"/>
      <c r="P76" s="617"/>
      <c r="Q76" s="618"/>
      <c r="R76" s="617"/>
      <c r="S76" s="639"/>
      <c r="U76" s="639"/>
      <c r="W76" s="639"/>
    </row>
    <row r="77" spans="1:25" s="439" customFormat="1" ht="17.399999999999999">
      <c r="A77" s="626"/>
      <c r="B77" s="630"/>
      <c r="C77" s="615"/>
      <c r="D77" s="615" t="str">
        <f t="shared" si="1"/>
        <v>EXCLUDED GENERAL</v>
      </c>
      <c r="E77" s="643">
        <v>14</v>
      </c>
      <c r="F77" s="1321"/>
      <c r="G77" s="640" t="s">
        <v>1279</v>
      </c>
      <c r="H77" s="626"/>
      <c r="I77" s="626"/>
      <c r="J77" s="626"/>
      <c r="K77" s="617"/>
      <c r="L77" s="617"/>
      <c r="M77" s="618"/>
      <c r="N77" s="617"/>
      <c r="O77" s="617"/>
      <c r="P77" s="617"/>
      <c r="Q77" s="618"/>
      <c r="R77" s="617"/>
      <c r="S77" s="641"/>
      <c r="U77" s="641"/>
      <c r="W77" s="641"/>
    </row>
    <row r="78" spans="1:25" s="439" customFormat="1">
      <c r="A78" s="626" t="s">
        <v>1245</v>
      </c>
      <c r="B78" s="630" t="s">
        <v>655</v>
      </c>
      <c r="C78" s="614" t="s">
        <v>1247</v>
      </c>
      <c r="D78" s="615" t="str">
        <f t="shared" si="1"/>
        <v>500mW C - C at Astoria391Office Furniture &amp; Equipment</v>
      </c>
      <c r="E78" s="603" t="s">
        <v>1280</v>
      </c>
      <c r="F78" s="358" t="str">
        <f>CONCATENATE("WP-BC, line ",VLOOKUP(D78,'WP-BC'!$A$18:$N$341,2,FALSE))</f>
        <v>WP-BC, line 12bf</v>
      </c>
      <c r="G78" s="621">
        <v>391</v>
      </c>
      <c r="H78" s="570" t="s">
        <v>1247</v>
      </c>
      <c r="I78" s="620" t="s">
        <v>317</v>
      </c>
      <c r="J78" s="626"/>
      <c r="K78" s="617">
        <f>VLOOKUP($D78,'WP-BC'!$A$1:$N$358,7,FALSE)</f>
        <v>179725</v>
      </c>
      <c r="L78" s="617">
        <f>VLOOKUP($D78,'WP-BC'!$A$1:$N$358,8,FALSE)</f>
        <v>154933</v>
      </c>
      <c r="M78" s="618">
        <f t="shared" ref="M78:M85" si="26">+K78-L78</f>
        <v>24792</v>
      </c>
      <c r="N78" s="617">
        <f>VLOOKUP($D78,'WP-BC'!$A$1:$N$358,10,FALSE)</f>
        <v>9097</v>
      </c>
      <c r="O78" s="617">
        <f>VLOOKUP($D78,'WP-BC'!$A$1:$N$358,11,FALSE)</f>
        <v>179725.36</v>
      </c>
      <c r="P78" s="617">
        <f>VLOOKUP($D78,'WP-BC'!$A$1:$N$358,12,FALSE)</f>
        <v>145835.35999999999</v>
      </c>
      <c r="Q78" s="618">
        <f t="shared" ref="Q78:Q83" si="27">+O78-P78</f>
        <v>33890</v>
      </c>
      <c r="R78" s="617">
        <f>VLOOKUP($D78,'WP-BC'!$A$1:$N$358,14,FALSE)</f>
        <v>15486.61</v>
      </c>
      <c r="S78" s="641">
        <v>14194</v>
      </c>
      <c r="U78" s="641">
        <v>4852</v>
      </c>
      <c r="W78" s="641">
        <f t="shared" ref="W78:W83" si="28">+S78-U78</f>
        <v>9342</v>
      </c>
    </row>
    <row r="79" spans="1:25" s="439" customFormat="1">
      <c r="A79" s="626" t="s">
        <v>1245</v>
      </c>
      <c r="B79" s="630" t="s">
        <v>655</v>
      </c>
      <c r="C79" s="614" t="s">
        <v>1247</v>
      </c>
      <c r="D79" s="615" t="str">
        <f t="shared" si="1"/>
        <v>500mW C - C at Astoria391.2Office Furniture &amp; Equipment - 5 years</v>
      </c>
      <c r="E79" s="603" t="s">
        <v>1281</v>
      </c>
      <c r="F79" s="358" t="str">
        <f>CONCATENATE("WP-BC, line ",VLOOKUP(D79,'WP-BC'!$A$18:$N$341,2,FALSE))</f>
        <v>WP-BC, line 12bg</v>
      </c>
      <c r="G79" s="621">
        <v>391.2</v>
      </c>
      <c r="H79" s="570" t="s">
        <v>1247</v>
      </c>
      <c r="I79" s="620" t="s">
        <v>1282</v>
      </c>
      <c r="J79" s="626"/>
      <c r="K79" s="617">
        <f>VLOOKUP($D79,'WP-BC'!$A$1:$N$358,7,FALSE)</f>
        <v>33516</v>
      </c>
      <c r="L79" s="617">
        <f>VLOOKUP($D79,'WP-BC'!$A$1:$N$358,8,FALSE)</f>
        <v>35193</v>
      </c>
      <c r="M79" s="618">
        <f t="shared" si="26"/>
        <v>-1677</v>
      </c>
      <c r="N79" s="617">
        <f>VLOOKUP($D79,'WP-BC'!$A$1:$N$358,10,FALSE)</f>
        <v>5576</v>
      </c>
      <c r="O79" s="617">
        <f>VLOOKUP($D79,'WP-BC'!$A$1:$N$358,11,FALSE)</f>
        <v>33516.410000000003</v>
      </c>
      <c r="P79" s="617">
        <f>VLOOKUP($D79,'WP-BC'!$A$1:$N$358,12,FALSE)</f>
        <v>29616.9</v>
      </c>
      <c r="Q79" s="618">
        <f t="shared" si="27"/>
        <v>3899.510000000002</v>
      </c>
      <c r="R79" s="617">
        <f>VLOOKUP($D79,'WP-BC'!$A$1:$N$358,14,FALSE)</f>
        <v>6705</v>
      </c>
      <c r="S79" s="641"/>
      <c r="U79" s="641"/>
      <c r="W79" s="641">
        <f t="shared" si="28"/>
        <v>0</v>
      </c>
    </row>
    <row r="80" spans="1:25" s="439" customFormat="1">
      <c r="A80" s="626" t="s">
        <v>1245</v>
      </c>
      <c r="B80" s="630" t="s">
        <v>655</v>
      </c>
      <c r="C80" s="614" t="s">
        <v>1247</v>
      </c>
      <c r="D80" s="615" t="str">
        <f t="shared" si="1"/>
        <v>500mW C - C at Astoria391.3Office Furniture &amp; Equipment - 10 years</v>
      </c>
      <c r="E80" s="603" t="s">
        <v>1283</v>
      </c>
      <c r="F80" s="358" t="str">
        <f>CONCATENATE("WP-BC, line ",VLOOKUP(D80,'WP-BC'!$A$18:$N$341,2,FALSE))</f>
        <v>WP-BC, line 12bh</v>
      </c>
      <c r="G80" s="621">
        <v>391.3</v>
      </c>
      <c r="H80" s="570" t="s">
        <v>1247</v>
      </c>
      <c r="I80" s="620" t="s">
        <v>1284</v>
      </c>
      <c r="J80" s="626"/>
      <c r="K80" s="617">
        <f>VLOOKUP($D80,'WP-BC'!$A$1:$N$358,7,FALSE)</f>
        <v>654888</v>
      </c>
      <c r="L80" s="617">
        <f>VLOOKUP($D80,'WP-BC'!$A$1:$N$358,8,FALSE)</f>
        <v>229212</v>
      </c>
      <c r="M80" s="618">
        <f t="shared" si="26"/>
        <v>425676</v>
      </c>
      <c r="N80" s="617">
        <f>VLOOKUP($D80,'WP-BC'!$A$1:$N$358,10,FALSE)</f>
        <v>65489</v>
      </c>
      <c r="O80" s="617">
        <f>VLOOKUP($D80,'WP-BC'!$A$1:$N$358,11,FALSE)</f>
        <v>654887.76</v>
      </c>
      <c r="P80" s="617">
        <f>VLOOKUP($D80,'WP-BC'!$A$1:$N$358,12,FALSE)</f>
        <v>163722.76</v>
      </c>
      <c r="Q80" s="618">
        <f t="shared" si="27"/>
        <v>491165</v>
      </c>
      <c r="R80" s="617">
        <f>VLOOKUP($D80,'WP-BC'!$A$1:$N$358,14,FALSE)</f>
        <v>65489</v>
      </c>
      <c r="S80" s="641">
        <v>12132.13</v>
      </c>
      <c r="U80" s="641">
        <v>1709.13</v>
      </c>
      <c r="W80" s="641">
        <f t="shared" si="28"/>
        <v>10423</v>
      </c>
    </row>
    <row r="81" spans="1:23" s="619" customFormat="1">
      <c r="A81" s="626" t="s">
        <v>1245</v>
      </c>
      <c r="B81" s="630" t="s">
        <v>655</v>
      </c>
      <c r="C81" s="614" t="s">
        <v>1247</v>
      </c>
      <c r="D81" s="615" t="str">
        <f t="shared" si="1"/>
        <v>500mW C - C at Astoria392Transprt.Equip-500MW</v>
      </c>
      <c r="E81" s="603" t="s">
        <v>1285</v>
      </c>
      <c r="F81" s="358" t="str">
        <f>CONCATENATE("WP-BC, line ",VLOOKUP(D81,'WP-BC'!$A$18:$N$341,2,FALSE))</f>
        <v>WP-BC, line 12bi</v>
      </c>
      <c r="G81" s="621">
        <v>392</v>
      </c>
      <c r="H81" s="570" t="s">
        <v>1247</v>
      </c>
      <c r="I81" s="620" t="s">
        <v>1286</v>
      </c>
      <c r="J81" s="626"/>
      <c r="K81" s="617">
        <f>VLOOKUP($D81,'WP-BC'!$A$1:$N$358,7,FALSE)</f>
        <v>1437741</v>
      </c>
      <c r="L81" s="617">
        <f>VLOOKUP($D81,'WP-BC'!$A$1:$N$358,8,FALSE)</f>
        <v>594506</v>
      </c>
      <c r="M81" s="618">
        <f t="shared" si="26"/>
        <v>843235</v>
      </c>
      <c r="N81" s="617">
        <f>VLOOKUP($D81,'WP-BC'!$A$1:$N$358,10,FALSE)</f>
        <v>99979</v>
      </c>
      <c r="O81" s="617">
        <f>VLOOKUP($D81,'WP-BC'!$A$1:$N$358,11,FALSE)</f>
        <v>1348083.6400000001</v>
      </c>
      <c r="P81" s="617">
        <f>VLOOKUP($D81,'WP-BC'!$A$1:$N$358,12,FALSE)</f>
        <v>550951.14</v>
      </c>
      <c r="Q81" s="618">
        <f t="shared" si="27"/>
        <v>797132.50000000012</v>
      </c>
      <c r="R81" s="617">
        <f>VLOOKUP($D81,'WP-BC'!$A$1:$N$358,14,FALSE)</f>
        <v>85777.099999999991</v>
      </c>
      <c r="S81" s="641">
        <v>30426.84</v>
      </c>
      <c r="T81" s="439"/>
      <c r="U81" s="641">
        <v>3299.84</v>
      </c>
      <c r="V81" s="439"/>
      <c r="W81" s="641">
        <f t="shared" si="28"/>
        <v>27127</v>
      </c>
    </row>
    <row r="82" spans="1:23" s="439" customFormat="1">
      <c r="A82" s="626" t="s">
        <v>1245</v>
      </c>
      <c r="B82" s="630" t="s">
        <v>655</v>
      </c>
      <c r="C82" s="614" t="s">
        <v>1247</v>
      </c>
      <c r="D82" s="615" t="str">
        <f t="shared" si="1"/>
        <v>500mW C - C at Astoria394Tools, Shop &amp; Garage Equipment</v>
      </c>
      <c r="E82" s="603" t="s">
        <v>1287</v>
      </c>
      <c r="F82" s="358" t="str">
        <f>CONCATENATE("WP-BC, line ",VLOOKUP(D82,'WP-BC'!$A$18:$N$341,2,FALSE))</f>
        <v>WP-BC, line 12bj</v>
      </c>
      <c r="G82" s="621">
        <v>394</v>
      </c>
      <c r="H82" s="570" t="s">
        <v>1247</v>
      </c>
      <c r="I82" s="620" t="s">
        <v>320</v>
      </c>
      <c r="J82" s="626"/>
      <c r="K82" s="617">
        <f>VLOOKUP($D82,'WP-BC'!$A$1:$N$358,7,FALSE)</f>
        <v>68609</v>
      </c>
      <c r="L82" s="617">
        <f>VLOOKUP($D82,'WP-BC'!$A$1:$N$358,8,FALSE)</f>
        <v>68656</v>
      </c>
      <c r="M82" s="618">
        <f t="shared" si="26"/>
        <v>-47</v>
      </c>
      <c r="N82" s="617">
        <f>VLOOKUP($D82,'WP-BC'!$A$1:$N$358,10,FALSE)</f>
        <v>47</v>
      </c>
      <c r="O82" s="617">
        <f>VLOOKUP($D82,'WP-BC'!$A$1:$N$358,11,FALSE)</f>
        <v>68609.17</v>
      </c>
      <c r="P82" s="617">
        <f>VLOOKUP($D82,'WP-BC'!$A$1:$N$358,12,FALSE)</f>
        <v>68609.17</v>
      </c>
      <c r="Q82" s="618">
        <f t="shared" si="27"/>
        <v>0</v>
      </c>
      <c r="R82" s="617">
        <f>VLOOKUP($D82,'WP-BC'!$A$1:$N$358,14,FALSE)</f>
        <v>0</v>
      </c>
      <c r="S82" s="641">
        <v>94875</v>
      </c>
      <c r="U82" s="641">
        <v>5953</v>
      </c>
      <c r="W82" s="641">
        <f t="shared" si="28"/>
        <v>88922</v>
      </c>
    </row>
    <row r="83" spans="1:23" s="439" customFormat="1">
      <c r="A83" s="626" t="s">
        <v>1245</v>
      </c>
      <c r="B83" s="630" t="s">
        <v>655</v>
      </c>
      <c r="C83" s="614" t="s">
        <v>1247</v>
      </c>
      <c r="D83" s="1260" t="str">
        <f t="shared" si="1"/>
        <v>500mW C - C at Astoria395Laboratory Equipment</v>
      </c>
      <c r="E83" s="603" t="s">
        <v>1288</v>
      </c>
      <c r="F83" s="358" t="str">
        <f>CONCATENATE("WP-BC, line ",VLOOKUP(D83,'WP-BC'!$A$18:$N$341,2,FALSE))</f>
        <v>WP-BC, line 12bk</v>
      </c>
      <c r="G83" s="621">
        <v>395</v>
      </c>
      <c r="H83" s="570" t="s">
        <v>1247</v>
      </c>
      <c r="I83" s="620" t="s">
        <v>321</v>
      </c>
      <c r="J83" s="626"/>
      <c r="K83" s="617">
        <f>VLOOKUP($D83,'WP-BC'!$A$1:$N$358,7,FALSE)</f>
        <v>2143543</v>
      </c>
      <c r="L83" s="617">
        <f>VLOOKUP($D83,'WP-BC'!$A$1:$N$358,8,FALSE)</f>
        <v>1340379</v>
      </c>
      <c r="M83" s="618">
        <f t="shared" si="26"/>
        <v>803164</v>
      </c>
      <c r="N83" s="617">
        <f>VLOOKUP($D83,'WP-BC'!$A$1:$N$358,10,FALSE)</f>
        <v>177406</v>
      </c>
      <c r="O83" s="617">
        <f>VLOOKUP($D83,'WP-BC'!$A$1:$N$358,11,FALSE)</f>
        <v>2143542.84</v>
      </c>
      <c r="P83" s="617">
        <f>VLOOKUP($D83,'WP-BC'!$A$1:$N$358,12,FALSE)</f>
        <v>1162972.8399999999</v>
      </c>
      <c r="Q83" s="618">
        <f t="shared" si="27"/>
        <v>980570</v>
      </c>
      <c r="R83" s="617">
        <f>VLOOKUP($D83,'WP-BC'!$A$1:$N$358,14,FALSE)</f>
        <v>207997</v>
      </c>
      <c r="S83" s="1195">
        <v>47455.29</v>
      </c>
      <c r="T83" s="1196"/>
      <c r="U83" s="1195">
        <v>6170.78</v>
      </c>
      <c r="V83" s="1196"/>
      <c r="W83" s="1195">
        <f t="shared" si="28"/>
        <v>41284.51</v>
      </c>
    </row>
    <row r="84" spans="1:23" s="439" customFormat="1">
      <c r="A84" s="626"/>
      <c r="B84" s="630"/>
      <c r="C84" s="614"/>
      <c r="D84" s="1260" t="str">
        <f t="shared" si="1"/>
        <v>500mW C - C at Astoria396Power Oper Eqp-500MW</v>
      </c>
      <c r="E84" s="603" t="s">
        <v>1289</v>
      </c>
      <c r="F84" s="358" t="str">
        <f>CONCATENATE("WP-BC, line ",VLOOKUP(D84,'WP-BC'!$A$18:$N$341,2,FALSE))</f>
        <v>WP-BC, line 12bl</v>
      </c>
      <c r="G84" s="621">
        <v>396</v>
      </c>
      <c r="H84" s="570" t="s">
        <v>1247</v>
      </c>
      <c r="I84" s="620" t="s">
        <v>1290</v>
      </c>
      <c r="J84" s="626"/>
      <c r="K84" s="617">
        <f>VLOOKUP($D84,'WP-BC'!$A$1:$N$358,7,FALSE)</f>
        <v>1741658</v>
      </c>
      <c r="L84" s="617">
        <f>VLOOKUP($D84,'WP-BC'!$A$1:$N$358,8,FALSE)</f>
        <v>629056</v>
      </c>
      <c r="M84" s="618">
        <f t="shared" si="26"/>
        <v>1112602</v>
      </c>
      <c r="N84" s="617">
        <f>VLOOKUP($D84,'WP-BC'!$A$1:$N$358,10,FALSE)</f>
        <v>49887</v>
      </c>
      <c r="O84" s="617">
        <f>VLOOKUP($D84,'WP-BC'!$A$1:$N$358,11,FALSE)</f>
        <v>678685.7</v>
      </c>
      <c r="P84" s="617">
        <f>VLOOKUP($D84,'WP-BC'!$A$1:$N$358,12,FALSE)</f>
        <v>576019.68999999994</v>
      </c>
      <c r="Q84" s="618">
        <f t="shared" ref="Q84:Q85" si="29">+O84-P84</f>
        <v>102666.01000000001</v>
      </c>
      <c r="R84" s="617">
        <f>VLOOKUP($D84,'WP-BC'!$A$1:$N$358,14,FALSE)</f>
        <v>54434</v>
      </c>
      <c r="S84" s="641"/>
      <c r="U84" s="641"/>
      <c r="W84" s="641"/>
    </row>
    <row r="85" spans="1:23" s="439" customFormat="1">
      <c r="A85" s="626"/>
      <c r="B85" s="630"/>
      <c r="C85" s="614"/>
      <c r="D85" s="1260" t="str">
        <f t="shared" si="1"/>
        <v>500mW C - C at Astoria398Miscellaneous Equipment</v>
      </c>
      <c r="E85" s="603" t="s">
        <v>1291</v>
      </c>
      <c r="F85" s="358" t="str">
        <f>CONCATENATE("WP-BC, line ",VLOOKUP(D85,'WP-BC'!$A$18:$N$341,2,FALSE))</f>
        <v>WP-BC, line 12bm</v>
      </c>
      <c r="G85" s="621">
        <v>398</v>
      </c>
      <c r="H85" s="622" t="s">
        <v>1247</v>
      </c>
      <c r="I85" s="620" t="s">
        <v>327</v>
      </c>
      <c r="J85" s="626"/>
      <c r="K85" s="617">
        <f>VLOOKUP($D85,'WP-BC'!$A$1:$N$358,7,FALSE)</f>
        <v>2203827</v>
      </c>
      <c r="L85" s="617">
        <f>VLOOKUP($D85,'WP-BC'!$A$1:$N$358,8,FALSE)</f>
        <v>752305</v>
      </c>
      <c r="M85" s="618">
        <f t="shared" si="26"/>
        <v>1451522</v>
      </c>
      <c r="N85" s="617">
        <f>VLOOKUP($D85,'WP-BC'!$A$1:$N$358,10,FALSE)</f>
        <v>56561</v>
      </c>
      <c r="O85" s="617">
        <f>VLOOKUP($D85,'WP-BC'!$A$1:$N$358,11,FALSE)</f>
        <v>1764738.46</v>
      </c>
      <c r="P85" s="617">
        <f>VLOOKUP($D85,'WP-BC'!$A$1:$N$358,12,FALSE)</f>
        <v>695743.95</v>
      </c>
      <c r="Q85" s="618">
        <f t="shared" si="29"/>
        <v>1068994.51</v>
      </c>
      <c r="R85" s="617">
        <f>VLOOKUP($D85,'WP-BC'!$A$1:$N$358,14,FALSE)</f>
        <v>43623.72</v>
      </c>
      <c r="S85" s="641"/>
      <c r="U85" s="641"/>
      <c r="W85" s="641"/>
    </row>
    <row r="86" spans="1:23" s="439" customFormat="1">
      <c r="A86" s="626"/>
      <c r="B86" s="630"/>
      <c r="C86" s="614"/>
      <c r="D86" s="615"/>
      <c r="E86" s="1163" t="s">
        <v>146</v>
      </c>
      <c r="F86" s="358"/>
      <c r="G86" s="1257"/>
      <c r="H86" s="1258"/>
      <c r="I86" s="1259"/>
      <c r="J86" s="626"/>
      <c r="K86" s="623" t="s">
        <v>768</v>
      </c>
      <c r="L86" s="623" t="s">
        <v>768</v>
      </c>
      <c r="M86" s="623" t="s">
        <v>768</v>
      </c>
      <c r="N86" s="623" t="s">
        <v>768</v>
      </c>
      <c r="O86" s="623" t="s">
        <v>768</v>
      </c>
      <c r="P86" s="623" t="s">
        <v>768</v>
      </c>
      <c r="Q86" s="623" t="s">
        <v>768</v>
      </c>
      <c r="R86" s="623" t="s">
        <v>768</v>
      </c>
      <c r="S86" s="641"/>
      <c r="U86" s="641"/>
      <c r="W86" s="641"/>
    </row>
    <row r="87" spans="1:23" s="439" customFormat="1">
      <c r="A87" s="626"/>
      <c r="B87" s="630"/>
      <c r="C87" s="614"/>
      <c r="D87" s="615"/>
      <c r="E87" s="603"/>
      <c r="F87" s="1321"/>
      <c r="G87" s="625"/>
      <c r="H87" s="626"/>
      <c r="I87" s="626"/>
      <c r="J87" s="626"/>
      <c r="K87" s="617"/>
      <c r="L87" s="617"/>
      <c r="M87" s="617"/>
      <c r="N87" s="617"/>
      <c r="O87" s="617"/>
      <c r="P87" s="617"/>
      <c r="Q87" s="617"/>
      <c r="R87" s="617"/>
      <c r="S87" s="641"/>
      <c r="U87" s="641"/>
      <c r="W87" s="641"/>
    </row>
    <row r="88" spans="1:23" s="439" customFormat="1">
      <c r="A88" s="626"/>
      <c r="B88" s="626"/>
      <c r="C88" s="615"/>
      <c r="D88" s="615" t="str">
        <f t="shared" si="1"/>
        <v>SUBTOTAL 500Mw CC</v>
      </c>
      <c r="E88" s="643">
        <v>15</v>
      </c>
      <c r="F88" s="624"/>
      <c r="G88" s="629" t="s">
        <v>1292</v>
      </c>
      <c r="H88" s="626"/>
      <c r="I88" s="626"/>
      <c r="J88" s="626"/>
      <c r="K88" s="628">
        <f t="shared" ref="K88:R88" si="30">SUM(K78:K86)</f>
        <v>8463507</v>
      </c>
      <c r="L88" s="628">
        <f t="shared" si="30"/>
        <v>3804240</v>
      </c>
      <c r="M88" s="628">
        <f t="shared" si="30"/>
        <v>4659267</v>
      </c>
      <c r="N88" s="628">
        <f t="shared" si="30"/>
        <v>464042</v>
      </c>
      <c r="O88" s="628">
        <f t="shared" si="30"/>
        <v>6871789.3399999999</v>
      </c>
      <c r="P88" s="628">
        <f t="shared" si="30"/>
        <v>3393471.8099999996</v>
      </c>
      <c r="Q88" s="628">
        <f t="shared" si="30"/>
        <v>3478317.5300000003</v>
      </c>
      <c r="R88" s="628">
        <f t="shared" si="30"/>
        <v>479512.42999999993</v>
      </c>
      <c r="S88" s="639">
        <f>SUM(S78:S83)</f>
        <v>199083.26</v>
      </c>
      <c r="U88" s="639">
        <f>SUM(U78:U83)</f>
        <v>21984.75</v>
      </c>
      <c r="W88" s="639">
        <f>SUM(W78:W83)</f>
        <v>177098.51</v>
      </c>
    </row>
    <row r="89" spans="1:23" s="439" customFormat="1" ht="20.25" customHeight="1">
      <c r="A89" s="626"/>
      <c r="B89" s="626"/>
      <c r="C89" s="615"/>
      <c r="D89" s="615" t="str">
        <f t="shared" si="1"/>
        <v/>
      </c>
      <c r="E89" s="643">
        <v>16</v>
      </c>
      <c r="F89" s="1321"/>
      <c r="G89" s="625"/>
      <c r="H89" s="626"/>
      <c r="I89" s="626"/>
      <c r="J89" s="626"/>
      <c r="K89" s="618"/>
      <c r="L89" s="618"/>
      <c r="M89" s="618"/>
      <c r="N89" s="618"/>
      <c r="O89" s="618"/>
      <c r="P89" s="618"/>
      <c r="Q89" s="618"/>
      <c r="R89" s="618"/>
      <c r="S89" s="641"/>
      <c r="U89" s="641"/>
      <c r="W89" s="641"/>
    </row>
    <row r="90" spans="1:23" s="439" customFormat="1" ht="20.25" customHeight="1">
      <c r="A90" s="626" t="s">
        <v>1245</v>
      </c>
      <c r="B90" s="630" t="s">
        <v>655</v>
      </c>
      <c r="C90" s="614" t="s">
        <v>954</v>
      </c>
      <c r="D90" s="615" t="str">
        <f t="shared" si="1"/>
        <v>Jarvis389Land &amp; Land Rights</v>
      </c>
      <c r="E90" s="603" t="s">
        <v>1293</v>
      </c>
      <c r="F90" s="358" t="str">
        <f>CONCATENATE("WP-BC, line ",VLOOKUP(D90,'WP-BC'!$A$18:$N$341,2,FALSE))</f>
        <v>WP-BC, line 1n</v>
      </c>
      <c r="G90" s="621">
        <v>389</v>
      </c>
      <c r="H90" s="570" t="s">
        <v>954</v>
      </c>
      <c r="I90" s="620" t="s">
        <v>1251</v>
      </c>
      <c r="J90" s="626"/>
      <c r="K90" s="617">
        <f>VLOOKUP($D90,'WP-BC'!$A$1:$N$358,7,FALSE)</f>
        <v>8000</v>
      </c>
      <c r="L90" s="617">
        <f>VLOOKUP($D90,'WP-BC'!$A$1:$N$358,8,FALSE)</f>
        <v>0</v>
      </c>
      <c r="M90" s="618">
        <f t="shared" ref="M90:M91" si="31">+K90-L90</f>
        <v>8000</v>
      </c>
      <c r="N90" s="617">
        <f>VLOOKUP($D90,'WP-BC'!$A$1:$N$358,10,FALSE)</f>
        <v>0</v>
      </c>
      <c r="O90" s="617">
        <f>VLOOKUP($D90,'WP-BC'!$A$1:$N$358,11,FALSE)</f>
        <v>8000</v>
      </c>
      <c r="P90" s="617">
        <f>VLOOKUP($D90,'WP-BC'!$A$1:$N$358,12,FALSE)</f>
        <v>0</v>
      </c>
      <c r="Q90" s="618">
        <f t="shared" ref="Q90:Q91" si="32">+O90-P90</f>
        <v>8000</v>
      </c>
      <c r="R90" s="617">
        <f>VLOOKUP($D90,'WP-BC'!$A$1:$N$358,14,FALSE)</f>
        <v>0</v>
      </c>
      <c r="S90" s="641">
        <v>8000</v>
      </c>
      <c r="U90" s="641">
        <v>0</v>
      </c>
      <c r="W90" s="641">
        <f>+S90-U90</f>
        <v>8000</v>
      </c>
    </row>
    <row r="91" spans="1:23" s="439" customFormat="1">
      <c r="A91" s="626" t="s">
        <v>1245</v>
      </c>
      <c r="B91" s="630" t="s">
        <v>655</v>
      </c>
      <c r="C91" s="614" t="s">
        <v>954</v>
      </c>
      <c r="D91" s="615" t="str">
        <f t="shared" si="1"/>
        <v>Jarvis399Other Tangible Property</v>
      </c>
      <c r="E91" s="603" t="s">
        <v>1294</v>
      </c>
      <c r="F91" s="358" t="str">
        <f>CONCATENATE("WP-BC, line ",VLOOKUP(D91,'WP-BC'!$A$18:$N$341,2,FALSE))</f>
        <v>WP-BC, line 12ce</v>
      </c>
      <c r="G91" s="621">
        <v>399</v>
      </c>
      <c r="H91" s="570" t="s">
        <v>954</v>
      </c>
      <c r="I91" s="620" t="s">
        <v>329</v>
      </c>
      <c r="J91" s="626"/>
      <c r="K91" s="617">
        <f>VLOOKUP($D91,'WP-BC'!$A$1:$N$358,7,FALSE)</f>
        <v>985615</v>
      </c>
      <c r="L91" s="617">
        <f>VLOOKUP($D91,'WP-BC'!$A$1:$N$358,8,FALSE)</f>
        <v>234822</v>
      </c>
      <c r="M91" s="618">
        <f t="shared" si="31"/>
        <v>750793</v>
      </c>
      <c r="N91" s="617">
        <f>VLOOKUP($D91,'WP-BC'!$A$1:$N$358,10,FALSE)</f>
        <v>15558</v>
      </c>
      <c r="O91" s="617">
        <f>VLOOKUP($D91,'WP-BC'!$A$1:$N$358,11,FALSE)</f>
        <v>427000</v>
      </c>
      <c r="P91" s="617">
        <f>VLOOKUP($D91,'WP-BC'!$A$1:$N$358,12,FALSE)</f>
        <v>219264</v>
      </c>
      <c r="Q91" s="618">
        <f t="shared" si="32"/>
        <v>207736</v>
      </c>
      <c r="R91" s="617">
        <f>VLOOKUP($D91,'WP-BC'!$A$1:$N$358,14,FALSE)</f>
        <v>7117</v>
      </c>
      <c r="S91" s="1195">
        <v>427000</v>
      </c>
      <c r="T91" s="1196"/>
      <c r="U91" s="1195">
        <v>133860</v>
      </c>
      <c r="V91" s="1196"/>
      <c r="W91" s="1195">
        <f>+S91-U91</f>
        <v>293140</v>
      </c>
    </row>
    <row r="92" spans="1:23" s="439" customFormat="1">
      <c r="A92" s="626"/>
      <c r="B92" s="630"/>
      <c r="C92" s="614"/>
      <c r="D92" s="615"/>
      <c r="E92" s="1163" t="s">
        <v>146</v>
      </c>
      <c r="F92" s="620"/>
      <c r="G92" s="621"/>
      <c r="H92" s="622"/>
      <c r="I92" s="620"/>
      <c r="J92" s="626"/>
      <c r="K92" s="623" t="s">
        <v>768</v>
      </c>
      <c r="L92" s="623" t="s">
        <v>768</v>
      </c>
      <c r="M92" s="623" t="s">
        <v>768</v>
      </c>
      <c r="N92" s="623" t="s">
        <v>768</v>
      </c>
      <c r="O92" s="623" t="s">
        <v>768</v>
      </c>
      <c r="P92" s="623" t="s">
        <v>768</v>
      </c>
      <c r="Q92" s="623" t="s">
        <v>768</v>
      </c>
      <c r="R92" s="623" t="s">
        <v>768</v>
      </c>
      <c r="S92" s="641"/>
      <c r="U92" s="641"/>
      <c r="W92" s="641"/>
    </row>
    <row r="93" spans="1:23" s="439" customFormat="1">
      <c r="A93" s="626"/>
      <c r="B93" s="630"/>
      <c r="C93" s="614"/>
      <c r="D93" s="615"/>
      <c r="E93" s="603"/>
      <c r="F93" s="1321"/>
      <c r="G93" s="625"/>
      <c r="H93" s="626"/>
      <c r="I93" s="626"/>
      <c r="J93" s="626"/>
      <c r="K93" s="617"/>
      <c r="L93" s="617"/>
      <c r="M93" s="617"/>
      <c r="N93" s="617"/>
      <c r="O93" s="617"/>
      <c r="P93" s="617"/>
      <c r="Q93" s="617"/>
      <c r="R93" s="617"/>
      <c r="S93" s="641"/>
      <c r="U93" s="641"/>
      <c r="W93" s="641"/>
    </row>
    <row r="94" spans="1:23" s="439" customFormat="1">
      <c r="A94" s="626"/>
      <c r="B94" s="626"/>
      <c r="C94" s="615"/>
      <c r="D94" s="615" t="str">
        <f t="shared" si="1"/>
        <v>SUBTOTAL Small Hydro</v>
      </c>
      <c r="E94" s="643">
        <v>17</v>
      </c>
      <c r="F94" s="624"/>
      <c r="G94" s="629" t="s">
        <v>1253</v>
      </c>
      <c r="H94" s="626"/>
      <c r="I94" s="626"/>
      <c r="J94" s="626"/>
      <c r="K94" s="628">
        <f>SUM(K90:K92)</f>
        <v>993615</v>
      </c>
      <c r="L94" s="628">
        <f t="shared" ref="L94:R94" si="33">SUM(L90:L92)</f>
        <v>234822</v>
      </c>
      <c r="M94" s="628">
        <f t="shared" si="33"/>
        <v>758793</v>
      </c>
      <c r="N94" s="628">
        <f t="shared" si="33"/>
        <v>15558</v>
      </c>
      <c r="O94" s="628">
        <f t="shared" si="33"/>
        <v>435000</v>
      </c>
      <c r="P94" s="628">
        <f t="shared" si="33"/>
        <v>219264</v>
      </c>
      <c r="Q94" s="628">
        <f t="shared" si="33"/>
        <v>215736</v>
      </c>
      <c r="R94" s="628">
        <f t="shared" si="33"/>
        <v>7117</v>
      </c>
      <c r="S94" s="639">
        <f t="shared" ref="S94" si="34">SUM(S90:S91)</f>
        <v>435000</v>
      </c>
      <c r="U94" s="639">
        <f>SUM(U90:U91)</f>
        <v>133860</v>
      </c>
      <c r="W94" s="639">
        <f>SUM(W90:W91)</f>
        <v>301140</v>
      </c>
    </row>
    <row r="95" spans="1:23" s="439" customFormat="1" ht="21" customHeight="1">
      <c r="A95" s="626"/>
      <c r="B95" s="626"/>
      <c r="C95" s="615"/>
      <c r="D95" s="615" t="str">
        <f t="shared" si="1"/>
        <v/>
      </c>
      <c r="E95" s="643">
        <v>18</v>
      </c>
      <c r="F95" s="1321"/>
      <c r="G95" s="625"/>
      <c r="H95" s="626"/>
      <c r="I95" s="626"/>
      <c r="J95" s="626"/>
      <c r="K95" s="618"/>
      <c r="L95" s="618"/>
      <c r="M95" s="618"/>
      <c r="N95" s="618"/>
      <c r="O95" s="618"/>
      <c r="P95" s="618"/>
      <c r="Q95" s="618"/>
      <c r="R95" s="618"/>
      <c r="S95" s="641"/>
      <c r="U95" s="641"/>
      <c r="W95" s="641"/>
    </row>
    <row r="96" spans="1:23" s="439" customFormat="1">
      <c r="A96" s="626" t="s">
        <v>1245</v>
      </c>
      <c r="B96" s="630" t="s">
        <v>655</v>
      </c>
      <c r="C96" s="614" t="s">
        <v>1254</v>
      </c>
      <c r="D96" s="615" t="str">
        <f t="shared" si="1"/>
        <v>FLYNN  (Holtsville)391Office Furniture &amp; Equipment</v>
      </c>
      <c r="E96" s="603" t="s">
        <v>1295</v>
      </c>
      <c r="F96" s="358" t="str">
        <f>CONCATENATE("WP-BC, line ",VLOOKUP(D96,'WP-BC'!$A$18:$N$341,2,FALSE))</f>
        <v>WP-BC, line 12bp</v>
      </c>
      <c r="G96" s="621">
        <v>391</v>
      </c>
      <c r="H96" s="570" t="s">
        <v>1254</v>
      </c>
      <c r="I96" s="620" t="s">
        <v>317</v>
      </c>
      <c r="J96" s="626"/>
      <c r="K96" s="617">
        <f>VLOOKUP($D96,'WP-BC'!$A$1:$N$358,7,FALSE)</f>
        <v>307067</v>
      </c>
      <c r="L96" s="617">
        <f>VLOOKUP($D96,'WP-BC'!$A$1:$N$358,8,FALSE)</f>
        <v>233629</v>
      </c>
      <c r="M96" s="618">
        <f t="shared" ref="M96:M104" si="35">+K96-L96</f>
        <v>73438</v>
      </c>
      <c r="N96" s="617">
        <f>VLOOKUP($D96,'WP-BC'!$A$1:$N$358,10,FALSE)</f>
        <v>17412</v>
      </c>
      <c r="O96" s="617">
        <f>VLOOKUP($D96,'WP-BC'!$A$1:$N$358,11,FALSE)</f>
        <v>307066.90999999997</v>
      </c>
      <c r="P96" s="617">
        <f>VLOOKUP($D96,'WP-BC'!$A$1:$N$358,12,FALSE)</f>
        <v>216216.90999999997</v>
      </c>
      <c r="Q96" s="618">
        <f t="shared" ref="Q96:Q104" si="36">+O96-P96</f>
        <v>90850</v>
      </c>
      <c r="R96" s="617">
        <f>VLOOKUP($D96,'WP-BC'!$A$1:$N$358,14,FALSE)</f>
        <v>12980</v>
      </c>
      <c r="S96" s="641">
        <v>161428</v>
      </c>
      <c r="U96" s="641">
        <v>161428</v>
      </c>
      <c r="W96" s="641">
        <f t="shared" ref="W96:W104" si="37">+S96-U96</f>
        <v>0</v>
      </c>
    </row>
    <row r="97" spans="1:23" s="439" customFormat="1">
      <c r="A97" s="626"/>
      <c r="B97" s="630"/>
      <c r="C97" s="614"/>
      <c r="D97" s="615" t="s">
        <v>1296</v>
      </c>
      <c r="E97" s="603" t="s">
        <v>1297</v>
      </c>
      <c r="F97" s="358" t="str">
        <f>CONCATENATE("WP-BC, line ",VLOOKUP(D97,'WP-BC'!$A$18:$N$341,2,FALSE))</f>
        <v>WP-BC, line 12bq</v>
      </c>
      <c r="G97" s="621">
        <v>391.3</v>
      </c>
      <c r="H97" s="570" t="s">
        <v>1254</v>
      </c>
      <c r="I97" s="620" t="s">
        <v>444</v>
      </c>
      <c r="J97" s="626"/>
      <c r="K97" s="617">
        <f>VLOOKUP($D97,'WP-BC'!$A$1:$N$358,7,FALSE)</f>
        <v>596334</v>
      </c>
      <c r="L97" s="617">
        <f>VLOOKUP($D97,'WP-BC'!$A$1:$N$358,8,FALSE)</f>
        <v>94421</v>
      </c>
      <c r="M97" s="618">
        <f t="shared" ref="M97" si="38">+K97-L97</f>
        <v>501913</v>
      </c>
      <c r="N97" s="617">
        <f>VLOOKUP($D97,'WP-BC'!$A$1:$N$358,10,FALSE)</f>
        <v>59634</v>
      </c>
      <c r="O97" s="617">
        <f>VLOOKUP($D97,'WP-BC'!$A$1:$N$358,11,FALSE)</f>
        <v>596333.92000000004</v>
      </c>
      <c r="P97" s="617">
        <f>VLOOKUP($D97,'WP-BC'!$A$1:$N$358,12,FALSE)</f>
        <v>34786.92</v>
      </c>
      <c r="Q97" s="618">
        <f t="shared" ref="Q97" si="39">+O97-P97</f>
        <v>561547</v>
      </c>
      <c r="R97" s="617">
        <f>VLOOKUP($D97,'WP-BC'!$A$1:$N$358,14,FALSE)</f>
        <v>34786.92</v>
      </c>
      <c r="S97" s="641"/>
      <c r="U97" s="641"/>
      <c r="W97" s="641"/>
    </row>
    <row r="98" spans="1:23" s="439" customFormat="1">
      <c r="A98" s="626" t="s">
        <v>1245</v>
      </c>
      <c r="B98" s="630" t="s">
        <v>655</v>
      </c>
      <c r="C98" s="614" t="s">
        <v>1254</v>
      </c>
      <c r="D98" s="615" t="str">
        <f t="shared" si="1"/>
        <v>FLYNN  (Holtsville)392Transportation Equipment</v>
      </c>
      <c r="E98" s="603" t="s">
        <v>1298</v>
      </c>
      <c r="F98" s="358" t="str">
        <f>CONCATENATE("WP-BC, line ",VLOOKUP(D98,'WP-BC'!$A$18:$N$341,2,FALSE))</f>
        <v>WP-BC, line 12br</v>
      </c>
      <c r="G98" s="621">
        <v>392</v>
      </c>
      <c r="H98" s="570" t="s">
        <v>1254</v>
      </c>
      <c r="I98" s="620" t="s">
        <v>318</v>
      </c>
      <c r="J98" s="626"/>
      <c r="K98" s="617">
        <f>VLOOKUP($D98,'WP-BC'!$A$1:$N$358,7,FALSE)</f>
        <v>170790</v>
      </c>
      <c r="L98" s="617">
        <f>VLOOKUP($D98,'WP-BC'!$A$1:$N$358,8,FALSE)</f>
        <v>131781</v>
      </c>
      <c r="M98" s="618">
        <f t="shared" si="35"/>
        <v>39009</v>
      </c>
      <c r="N98" s="617">
        <f>VLOOKUP($D98,'WP-BC'!$A$1:$N$358,10,FALSE)</f>
        <v>11654</v>
      </c>
      <c r="O98" s="617">
        <f>VLOOKUP($D98,'WP-BC'!$A$1:$N$358,11,FALSE)</f>
        <v>170789.7</v>
      </c>
      <c r="P98" s="617">
        <f>VLOOKUP($D98,'WP-BC'!$A$1:$N$358,12,FALSE)</f>
        <v>119476.59999999999</v>
      </c>
      <c r="Q98" s="618">
        <f t="shared" si="36"/>
        <v>51313.10000000002</v>
      </c>
      <c r="R98" s="617">
        <f>VLOOKUP($D98,'WP-BC'!$A$1:$N$358,14,FALSE)</f>
        <v>11653.99</v>
      </c>
      <c r="S98" s="641">
        <v>158924.22</v>
      </c>
      <c r="U98" s="641">
        <v>86730.12</v>
      </c>
      <c r="W98" s="641">
        <f t="shared" si="37"/>
        <v>72194.100000000006</v>
      </c>
    </row>
    <row r="99" spans="1:23" s="439" customFormat="1">
      <c r="A99" s="626" t="s">
        <v>1245</v>
      </c>
      <c r="B99" s="630" t="s">
        <v>655</v>
      </c>
      <c r="C99" s="614" t="s">
        <v>1254</v>
      </c>
      <c r="D99" s="615" t="str">
        <f t="shared" si="1"/>
        <v>FLYNN  (Holtsville)393Stores Equipment</v>
      </c>
      <c r="E99" s="603" t="s">
        <v>1299</v>
      </c>
      <c r="F99" s="358" t="str">
        <f>CONCATENATE("WP-BC, line ",VLOOKUP(D99,'WP-BC'!$A$18:$N$341,2,FALSE))</f>
        <v>WP-BC, line 12bs</v>
      </c>
      <c r="G99" s="621">
        <v>393</v>
      </c>
      <c r="H99" s="570" t="s">
        <v>1254</v>
      </c>
      <c r="I99" s="620" t="s">
        <v>319</v>
      </c>
      <c r="J99" s="626"/>
      <c r="K99" s="617">
        <f>VLOOKUP($D99,'WP-BC'!$A$1:$N$358,7,FALSE)</f>
        <v>0</v>
      </c>
      <c r="L99" s="617">
        <f>VLOOKUP($D99,'WP-BC'!$A$1:$N$358,8,FALSE)</f>
        <v>0</v>
      </c>
      <c r="M99" s="618">
        <f t="shared" si="35"/>
        <v>0</v>
      </c>
      <c r="N99" s="617">
        <f>VLOOKUP($D99,'WP-BC'!$A$1:$N$358,10,FALSE)</f>
        <v>0</v>
      </c>
      <c r="O99" s="617">
        <f>VLOOKUP($D99,'WP-BC'!$A$1:$N$358,11,FALSE)</f>
        <v>0</v>
      </c>
      <c r="P99" s="617">
        <f>VLOOKUP($D99,'WP-BC'!$A$1:$N$358,12,FALSE)</f>
        <v>0</v>
      </c>
      <c r="Q99" s="618">
        <f t="shared" si="36"/>
        <v>0</v>
      </c>
      <c r="R99" s="617">
        <f>VLOOKUP($D99,'WP-BC'!$A$1:$N$358,14,FALSE)</f>
        <v>0</v>
      </c>
      <c r="S99" s="641">
        <v>0</v>
      </c>
      <c r="U99" s="641">
        <v>0</v>
      </c>
      <c r="W99" s="641">
        <f t="shared" si="37"/>
        <v>0</v>
      </c>
    </row>
    <row r="100" spans="1:23" s="439" customFormat="1">
      <c r="A100" s="626" t="s">
        <v>1245</v>
      </c>
      <c r="B100" s="630" t="s">
        <v>655</v>
      </c>
      <c r="C100" s="614" t="s">
        <v>1254</v>
      </c>
      <c r="D100" s="615" t="str">
        <f t="shared" si="1"/>
        <v>FLYNN  (Holtsville)394Tools, Shop &amp; Garage Equipment</v>
      </c>
      <c r="E100" s="603" t="s">
        <v>1300</v>
      </c>
      <c r="F100" s="358" t="str">
        <f>CONCATENATE("WP-BC, line ",VLOOKUP(D100,'WP-BC'!$A$18:$N$341,2,FALSE))</f>
        <v>WP-BC, line 12bt</v>
      </c>
      <c r="G100" s="621">
        <v>394</v>
      </c>
      <c r="H100" s="570" t="s">
        <v>1254</v>
      </c>
      <c r="I100" s="620" t="s">
        <v>320</v>
      </c>
      <c r="J100" s="626"/>
      <c r="K100" s="617">
        <f>VLOOKUP($D100,'WP-BC'!$A$1:$N$358,7,FALSE)</f>
        <v>147596</v>
      </c>
      <c r="L100" s="617">
        <f>VLOOKUP($D100,'WP-BC'!$A$1:$N$358,8,FALSE)</f>
        <v>143401</v>
      </c>
      <c r="M100" s="618">
        <f t="shared" si="35"/>
        <v>4195</v>
      </c>
      <c r="N100" s="617">
        <f>VLOOKUP($D100,'WP-BC'!$A$1:$N$358,10,FALSE)</f>
        <v>2456</v>
      </c>
      <c r="O100" s="617">
        <f>VLOOKUP($D100,'WP-BC'!$A$1:$N$358,11,FALSE)</f>
        <v>147596</v>
      </c>
      <c r="P100" s="617">
        <f>VLOOKUP($D100,'WP-BC'!$A$1:$N$358,12,FALSE)</f>
        <v>140945</v>
      </c>
      <c r="Q100" s="618">
        <f t="shared" si="36"/>
        <v>6651</v>
      </c>
      <c r="R100" s="617">
        <f>VLOOKUP($D100,'WP-BC'!$A$1:$N$358,14,FALSE)</f>
        <v>1056</v>
      </c>
      <c r="S100" s="641">
        <v>143571</v>
      </c>
      <c r="U100" s="641">
        <v>102160</v>
      </c>
      <c r="W100" s="641">
        <f t="shared" si="37"/>
        <v>41411</v>
      </c>
    </row>
    <row r="101" spans="1:23" s="439" customFormat="1">
      <c r="A101" s="626" t="s">
        <v>1245</v>
      </c>
      <c r="B101" s="630" t="s">
        <v>655</v>
      </c>
      <c r="C101" s="614" t="s">
        <v>1254</v>
      </c>
      <c r="D101" s="615" t="str">
        <f t="shared" si="1"/>
        <v>FLYNN  (Holtsville)395Laboratory Equipment</v>
      </c>
      <c r="E101" s="603" t="s">
        <v>1301</v>
      </c>
      <c r="F101" s="358" t="str">
        <f>CONCATENATE("WP-BC, line ",VLOOKUP(D101,'WP-BC'!$A$18:$N$341,2,FALSE))</f>
        <v>WP-BC, line 12bu</v>
      </c>
      <c r="G101" s="621">
        <v>395</v>
      </c>
      <c r="H101" s="570" t="s">
        <v>1254</v>
      </c>
      <c r="I101" s="620" t="s">
        <v>321</v>
      </c>
      <c r="J101" s="626"/>
      <c r="K101" s="617">
        <f>VLOOKUP($D101,'WP-BC'!$A$1:$N$358,7,FALSE)</f>
        <v>49049</v>
      </c>
      <c r="L101" s="617">
        <f>VLOOKUP($D101,'WP-BC'!$A$1:$N$358,8,FALSE)</f>
        <v>58806</v>
      </c>
      <c r="M101" s="618">
        <f t="shared" si="35"/>
        <v>-9757</v>
      </c>
      <c r="N101" s="617">
        <f>VLOOKUP($D101,'WP-BC'!$A$1:$N$358,10,FALSE)</f>
        <v>0</v>
      </c>
      <c r="O101" s="617">
        <f>VLOOKUP($D101,'WP-BC'!$A$1:$N$358,11,FALSE)</f>
        <v>49048.73</v>
      </c>
      <c r="P101" s="617">
        <f>VLOOKUP($D101,'WP-BC'!$A$1:$N$358,12,FALSE)</f>
        <v>58805.729999999996</v>
      </c>
      <c r="Q101" s="618">
        <f t="shared" si="36"/>
        <v>-9756.9999999999927</v>
      </c>
      <c r="R101" s="617">
        <f>VLOOKUP($D101,'WP-BC'!$A$1:$N$358,14,FALSE)</f>
        <v>0</v>
      </c>
      <c r="S101" s="641">
        <v>49048.73</v>
      </c>
      <c r="U101" s="641">
        <v>20030.73</v>
      </c>
      <c r="W101" s="641">
        <f t="shared" si="37"/>
        <v>29018.000000000004</v>
      </c>
    </row>
    <row r="102" spans="1:23" s="439" customFormat="1">
      <c r="A102" s="626" t="s">
        <v>1245</v>
      </c>
      <c r="B102" s="630" t="s">
        <v>655</v>
      </c>
      <c r="C102" s="614" t="s">
        <v>1254</v>
      </c>
      <c r="D102" s="615" t="str">
        <f t="shared" si="1"/>
        <v>FLYNN  (Holtsville)396Power Operated Equipment</v>
      </c>
      <c r="E102" s="603" t="s">
        <v>1302</v>
      </c>
      <c r="F102" s="358" t="str">
        <f>CONCATENATE("WP-BC, line ",VLOOKUP(D102,'WP-BC'!$A$18:$N$341,2,FALSE))</f>
        <v>WP-BC, line 12bv</v>
      </c>
      <c r="G102" s="621">
        <v>396</v>
      </c>
      <c r="H102" s="570" t="s">
        <v>1254</v>
      </c>
      <c r="I102" s="620" t="s">
        <v>323</v>
      </c>
      <c r="J102" s="626"/>
      <c r="K102" s="617">
        <f>VLOOKUP($D102,'WP-BC'!$A$1:$N$358,7,FALSE)</f>
        <v>286293</v>
      </c>
      <c r="L102" s="617">
        <f>VLOOKUP($D102,'WP-BC'!$A$1:$N$358,8,FALSE)</f>
        <v>182298</v>
      </c>
      <c r="M102" s="618">
        <f t="shared" si="35"/>
        <v>103995</v>
      </c>
      <c r="N102" s="617">
        <f>VLOOKUP($D102,'WP-BC'!$A$1:$N$358,10,FALSE)</f>
        <v>25086</v>
      </c>
      <c r="O102" s="617">
        <f>VLOOKUP($D102,'WP-BC'!$A$1:$N$358,11,FALSE)</f>
        <v>286292.76</v>
      </c>
      <c r="P102" s="617">
        <f>VLOOKUP($D102,'WP-BC'!$A$1:$N$358,12,FALSE)</f>
        <v>157212.75</v>
      </c>
      <c r="Q102" s="618">
        <f t="shared" si="36"/>
        <v>129080.01000000001</v>
      </c>
      <c r="R102" s="617">
        <f>VLOOKUP($D102,'WP-BC'!$A$1:$N$358,14,FALSE)</f>
        <v>27022</v>
      </c>
      <c r="S102" s="641">
        <v>0</v>
      </c>
      <c r="U102" s="641">
        <v>0</v>
      </c>
      <c r="W102" s="641">
        <f t="shared" si="37"/>
        <v>0</v>
      </c>
    </row>
    <row r="103" spans="1:23" s="439" customFormat="1">
      <c r="A103" s="626" t="s">
        <v>1245</v>
      </c>
      <c r="B103" s="630" t="s">
        <v>655</v>
      </c>
      <c r="C103" s="614" t="s">
        <v>1254</v>
      </c>
      <c r="D103" s="615" t="str">
        <f t="shared" si="1"/>
        <v>FLYNN  (Holtsville)397Communication Equipment</v>
      </c>
      <c r="E103" s="603" t="s">
        <v>1303</v>
      </c>
      <c r="F103" s="358" t="str">
        <f>CONCATENATE("WP-BC, line ",VLOOKUP(D103,'WP-BC'!$A$18:$N$341,2,FALSE))</f>
        <v>WP-BC, line 12bw</v>
      </c>
      <c r="G103" s="621">
        <v>397</v>
      </c>
      <c r="H103" s="570" t="s">
        <v>1254</v>
      </c>
      <c r="I103" s="620" t="s">
        <v>325</v>
      </c>
      <c r="J103" s="626"/>
      <c r="K103" s="617">
        <f>VLOOKUP($D103,'WP-BC'!$A$1:$N$358,7,FALSE)</f>
        <v>349918</v>
      </c>
      <c r="L103" s="617">
        <f>VLOOKUP($D103,'WP-BC'!$A$1:$N$358,8,FALSE)</f>
        <v>358665</v>
      </c>
      <c r="M103" s="618">
        <f t="shared" si="35"/>
        <v>-8747</v>
      </c>
      <c r="N103" s="617">
        <f>VLOOKUP($D103,'WP-BC'!$A$1:$N$358,10,FALSE)</f>
        <v>8748</v>
      </c>
      <c r="O103" s="617">
        <f>VLOOKUP($D103,'WP-BC'!$A$1:$N$358,11,FALSE)</f>
        <v>349918</v>
      </c>
      <c r="P103" s="617">
        <f>VLOOKUP($D103,'WP-BC'!$A$1:$N$358,12,FALSE)</f>
        <v>349917</v>
      </c>
      <c r="Q103" s="618">
        <f t="shared" si="36"/>
        <v>1</v>
      </c>
      <c r="R103" s="617">
        <f>VLOOKUP($D103,'WP-BC'!$A$1:$N$358,14,FALSE)</f>
        <v>0</v>
      </c>
      <c r="S103" s="641">
        <v>349918</v>
      </c>
      <c r="U103" s="641">
        <v>219473</v>
      </c>
      <c r="W103" s="641">
        <f t="shared" si="37"/>
        <v>130445</v>
      </c>
    </row>
    <row r="104" spans="1:23" s="439" customFormat="1">
      <c r="A104" s="626" t="s">
        <v>1245</v>
      </c>
      <c r="B104" s="630" t="s">
        <v>655</v>
      </c>
      <c r="C104" s="614" t="s">
        <v>1254</v>
      </c>
      <c r="D104" s="615" t="str">
        <f t="shared" si="1"/>
        <v>FLYNN  (Holtsville)398Miscellaneous Equipment</v>
      </c>
      <c r="E104" s="439" t="s">
        <v>1304</v>
      </c>
      <c r="F104" s="358" t="str">
        <f>CONCATENATE("WP-BC, line ",VLOOKUP(D104,'WP-BC'!$A$18:$N$341,2,FALSE))</f>
        <v>WP-BC, line 12bx</v>
      </c>
      <c r="G104" s="621">
        <v>398</v>
      </c>
      <c r="H104" s="570" t="s">
        <v>1254</v>
      </c>
      <c r="I104" s="620" t="s">
        <v>327</v>
      </c>
      <c r="J104" s="626"/>
      <c r="K104" s="617">
        <f>VLOOKUP($D104,'WP-BC'!$A$1:$N$358,7,FALSE)</f>
        <v>919250</v>
      </c>
      <c r="L104" s="617">
        <f>VLOOKUP($D104,'WP-BC'!$A$1:$N$358,8,FALSE)</f>
        <v>426127</v>
      </c>
      <c r="M104" s="618">
        <f t="shared" si="35"/>
        <v>493123</v>
      </c>
      <c r="N104" s="617">
        <f>VLOOKUP($D104,'WP-BC'!$A$1:$N$358,10,FALSE)</f>
        <v>31170</v>
      </c>
      <c r="O104" s="617">
        <f>VLOOKUP($D104,'WP-BC'!$A$1:$N$358,11,FALSE)</f>
        <v>882659.5</v>
      </c>
      <c r="P104" s="617">
        <f>VLOOKUP($D104,'WP-BC'!$A$1:$N$358,12,FALSE)</f>
        <v>394957.08</v>
      </c>
      <c r="Q104" s="618">
        <f t="shared" si="36"/>
        <v>487702.42</v>
      </c>
      <c r="R104" s="617">
        <f>VLOOKUP($D104,'WP-BC'!$A$1:$N$358,14,FALSE)</f>
        <v>28839</v>
      </c>
      <c r="S104" s="1195">
        <v>94603.150000000009</v>
      </c>
      <c r="T104" s="1196"/>
      <c r="U104" s="1195">
        <v>24313.730000000003</v>
      </c>
      <c r="V104" s="1196"/>
      <c r="W104" s="1195">
        <f t="shared" si="37"/>
        <v>70289.420000000013</v>
      </c>
    </row>
    <row r="105" spans="1:23" s="439" customFormat="1">
      <c r="A105" s="626"/>
      <c r="B105" s="630"/>
      <c r="C105" s="614"/>
      <c r="D105" s="615"/>
      <c r="E105" s="1163" t="s">
        <v>146</v>
      </c>
      <c r="F105" s="620"/>
      <c r="G105" s="621"/>
      <c r="H105" s="622"/>
      <c r="I105" s="620"/>
      <c r="J105" s="626"/>
      <c r="K105" s="623" t="s">
        <v>768</v>
      </c>
      <c r="L105" s="623" t="s">
        <v>768</v>
      </c>
      <c r="M105" s="623" t="s">
        <v>768</v>
      </c>
      <c r="N105" s="623" t="s">
        <v>768</v>
      </c>
      <c r="O105" s="623" t="s">
        <v>768</v>
      </c>
      <c r="P105" s="623" t="s">
        <v>768</v>
      </c>
      <c r="Q105" s="623" t="s">
        <v>768</v>
      </c>
      <c r="R105" s="623" t="s">
        <v>768</v>
      </c>
      <c r="S105" s="641"/>
      <c r="U105" s="641"/>
      <c r="W105" s="641"/>
    </row>
    <row r="106" spans="1:23" s="439" customFormat="1">
      <c r="A106" s="626"/>
      <c r="B106" s="630"/>
      <c r="C106" s="614"/>
      <c r="D106" s="615"/>
      <c r="E106" s="603"/>
      <c r="F106" s="1321"/>
      <c r="G106" s="625"/>
      <c r="H106" s="626"/>
      <c r="I106" s="626"/>
      <c r="J106" s="626"/>
      <c r="K106" s="617"/>
      <c r="L106" s="617"/>
      <c r="M106" s="617"/>
      <c r="N106" s="617"/>
      <c r="O106" s="617"/>
      <c r="P106" s="617"/>
      <c r="Q106" s="617"/>
      <c r="R106" s="617"/>
      <c r="S106" s="641"/>
      <c r="U106" s="641"/>
      <c r="W106" s="641"/>
    </row>
    <row r="107" spans="1:23" s="439" customFormat="1">
      <c r="A107" s="626"/>
      <c r="B107" s="626"/>
      <c r="C107" s="615"/>
      <c r="D107" s="615" t="str">
        <f t="shared" si="1"/>
        <v>SUBTOTAL Flynn</v>
      </c>
      <c r="E107" s="643">
        <v>19</v>
      </c>
      <c r="F107" s="624"/>
      <c r="G107" s="629" t="s">
        <v>1305</v>
      </c>
      <c r="H107" s="626"/>
      <c r="I107" s="626"/>
      <c r="J107" s="626"/>
      <c r="K107" s="628">
        <f>SUM(K96:K105)</f>
        <v>2826297</v>
      </c>
      <c r="L107" s="628">
        <f t="shared" ref="L107:R107" si="40">SUM(L96:L105)</f>
        <v>1629128</v>
      </c>
      <c r="M107" s="628">
        <f t="shared" si="40"/>
        <v>1197169</v>
      </c>
      <c r="N107" s="628">
        <f t="shared" si="40"/>
        <v>156160</v>
      </c>
      <c r="O107" s="628">
        <f t="shared" si="40"/>
        <v>2789705.52</v>
      </c>
      <c r="P107" s="628">
        <f t="shared" si="40"/>
        <v>1472317.99</v>
      </c>
      <c r="Q107" s="628">
        <f t="shared" si="40"/>
        <v>1317387.53</v>
      </c>
      <c r="R107" s="628">
        <f t="shared" si="40"/>
        <v>116337.91</v>
      </c>
      <c r="S107" s="639">
        <f t="shared" ref="S107" si="41">SUM(S96:S104)</f>
        <v>957493.1</v>
      </c>
      <c r="U107" s="639">
        <f>SUM(U96:U104)</f>
        <v>614135.57999999996</v>
      </c>
      <c r="W107" s="639">
        <f>SUM(W96:W104)</f>
        <v>343357.52</v>
      </c>
    </row>
    <row r="108" spans="1:23" s="439" customFormat="1" ht="20.25" customHeight="1">
      <c r="A108" s="626"/>
      <c r="B108" s="626"/>
      <c r="C108" s="615"/>
      <c r="D108" s="615" t="str">
        <f t="shared" si="1"/>
        <v/>
      </c>
      <c r="E108" s="643">
        <v>20</v>
      </c>
      <c r="F108" s="1321"/>
      <c r="G108" s="625"/>
      <c r="H108" s="626"/>
      <c r="I108" s="626"/>
      <c r="J108" s="626"/>
      <c r="K108" s="618"/>
      <c r="L108" s="618"/>
      <c r="M108" s="618"/>
      <c r="N108" s="618"/>
      <c r="O108" s="618"/>
      <c r="P108" s="618"/>
      <c r="Q108" s="618"/>
      <c r="R108" s="618"/>
      <c r="S108" s="641"/>
      <c r="U108" s="641"/>
      <c r="W108" s="641"/>
    </row>
    <row r="109" spans="1:23" s="439" customFormat="1">
      <c r="A109" s="626" t="s">
        <v>1245</v>
      </c>
      <c r="B109" s="630" t="s">
        <v>655</v>
      </c>
      <c r="C109" s="614" t="s">
        <v>1256</v>
      </c>
      <c r="D109" s="615" t="str">
        <f t="shared" si="1"/>
        <v>POLETTI  (Astoria)389Land &amp; Land Rights</v>
      </c>
      <c r="E109" s="603" t="s">
        <v>1306</v>
      </c>
      <c r="F109" s="358" t="str">
        <f>CONCATENATE("WP-BC, line ",VLOOKUP(D109,'WP-BC'!$A$18:$N$341,2,FALSE))</f>
        <v>WP-BC, line 1m</v>
      </c>
      <c r="G109" s="621">
        <v>389</v>
      </c>
      <c r="H109" s="570" t="s">
        <v>1256</v>
      </c>
      <c r="I109" s="620" t="s">
        <v>1251</v>
      </c>
      <c r="J109" s="626"/>
      <c r="K109" s="617">
        <f>VLOOKUP($D109,'WP-BC'!$A$1:$N$358,7,FALSE)</f>
        <v>13816</v>
      </c>
      <c r="L109" s="617">
        <f>VLOOKUP($D109,'WP-BC'!$A$1:$N$358,8,FALSE)</f>
        <v>0</v>
      </c>
      <c r="M109" s="618">
        <f t="shared" ref="M109:M119" si="42">+K109-L109</f>
        <v>13816</v>
      </c>
      <c r="N109" s="617">
        <f>VLOOKUP($D109,'WP-BC'!$A$1:$N$358,10,FALSE)</f>
        <v>0</v>
      </c>
      <c r="O109" s="617">
        <f>VLOOKUP($D109,'WP-BC'!$A$1:$N$358,11,FALSE)</f>
        <v>13816</v>
      </c>
      <c r="P109" s="617">
        <f>VLOOKUP($D109,'WP-BC'!$A$1:$N$358,12,FALSE)</f>
        <v>0</v>
      </c>
      <c r="Q109" s="618">
        <f t="shared" ref="Q109:Q119" si="43">+O109-P109</f>
        <v>13816</v>
      </c>
      <c r="R109" s="617">
        <f>VLOOKUP($D109,'WP-BC'!$A$1:$N$358,14,FALSE)</f>
        <v>0</v>
      </c>
      <c r="S109" s="641">
        <v>13816</v>
      </c>
      <c r="U109" s="641">
        <v>0</v>
      </c>
      <c r="W109" s="641">
        <f t="shared" ref="W109:W119" si="44">+S109-U109</f>
        <v>13816</v>
      </c>
    </row>
    <row r="110" spans="1:23" s="439" customFormat="1">
      <c r="A110" s="626" t="s">
        <v>1245</v>
      </c>
      <c r="B110" s="630" t="s">
        <v>655</v>
      </c>
      <c r="C110" s="614" t="s">
        <v>1256</v>
      </c>
      <c r="D110" s="615" t="str">
        <f t="shared" si="1"/>
        <v>POLETTI  (Astoria)390Structures &amp; Improvements</v>
      </c>
      <c r="E110" s="603" t="s">
        <v>1307</v>
      </c>
      <c r="F110" s="358" t="str">
        <f>CONCATENATE("WP-BC, line ",VLOOKUP(D110,'WP-BC'!$A$18:$N$341,2,FALSE))</f>
        <v>WP-BC, line 12ci</v>
      </c>
      <c r="G110" s="621">
        <v>390</v>
      </c>
      <c r="H110" s="570" t="s">
        <v>1256</v>
      </c>
      <c r="I110" s="620" t="s">
        <v>308</v>
      </c>
      <c r="J110" s="626"/>
      <c r="K110" s="617">
        <f>VLOOKUP($D110,'WP-BC'!$A$1:$N$358,7,FALSE)</f>
        <v>3656292</v>
      </c>
      <c r="L110" s="617">
        <f>VLOOKUP($D110,'WP-BC'!$A$1:$N$358,8,FALSE)</f>
        <v>1518572</v>
      </c>
      <c r="M110" s="618">
        <f t="shared" si="42"/>
        <v>2137720</v>
      </c>
      <c r="N110" s="617">
        <f>VLOOKUP($D110,'WP-BC'!$A$1:$N$358,10,FALSE)</f>
        <v>71255</v>
      </c>
      <c r="O110" s="617">
        <f>VLOOKUP($D110,'WP-BC'!$A$1:$N$358,11,FALSE)</f>
        <v>3656291.83</v>
      </c>
      <c r="P110" s="617">
        <f>VLOOKUP($D110,'WP-BC'!$A$1:$N$358,12,FALSE)</f>
        <v>1447317.4400000002</v>
      </c>
      <c r="Q110" s="618">
        <f t="shared" si="43"/>
        <v>2208974.3899999997</v>
      </c>
      <c r="R110" s="617">
        <f>VLOOKUP($D110,'WP-BC'!$A$1:$N$358,14,FALSE)</f>
        <v>79627</v>
      </c>
      <c r="S110" s="641">
        <v>1083781</v>
      </c>
      <c r="U110" s="641">
        <v>954097</v>
      </c>
      <c r="W110" s="641">
        <f t="shared" si="44"/>
        <v>129684</v>
      </c>
    </row>
    <row r="111" spans="1:23" s="439" customFormat="1">
      <c r="A111" s="626" t="s">
        <v>1245</v>
      </c>
      <c r="B111" s="630" t="s">
        <v>655</v>
      </c>
      <c r="C111" s="614" t="s">
        <v>1256</v>
      </c>
      <c r="D111" s="615" t="str">
        <f t="shared" si="1"/>
        <v>POLETTI  (Astoria)391Office Furniture &amp; Equipment</v>
      </c>
      <c r="E111" s="603" t="s">
        <v>1308</v>
      </c>
      <c r="F111" s="358" t="str">
        <f>CONCATENATE("WP-BC, line ",VLOOKUP(D111,'WP-BC'!$A$18:$N$341,2,FALSE))</f>
        <v>WP-BC, line 12cj</v>
      </c>
      <c r="G111" s="621">
        <v>391</v>
      </c>
      <c r="H111" s="570" t="s">
        <v>1256</v>
      </c>
      <c r="I111" s="620" t="s">
        <v>317</v>
      </c>
      <c r="J111" s="626"/>
      <c r="K111" s="617">
        <f>VLOOKUP($D111,'WP-BC'!$A$1:$N$358,7,FALSE)</f>
        <v>833108</v>
      </c>
      <c r="L111" s="617">
        <f>VLOOKUP($D111,'WP-BC'!$A$1:$N$358,8,FALSE)</f>
        <v>853936</v>
      </c>
      <c r="M111" s="618">
        <f t="shared" si="42"/>
        <v>-20828</v>
      </c>
      <c r="N111" s="617">
        <f>VLOOKUP($D111,'WP-BC'!$A$1:$N$358,10,FALSE)</f>
        <v>20828</v>
      </c>
      <c r="O111" s="617">
        <f>VLOOKUP($D111,'WP-BC'!$A$1:$N$358,11,FALSE)</f>
        <v>833108.47999999998</v>
      </c>
      <c r="P111" s="617">
        <f>VLOOKUP($D111,'WP-BC'!$A$1:$N$358,12,FALSE)</f>
        <v>833108.47999999998</v>
      </c>
      <c r="Q111" s="618">
        <f t="shared" si="43"/>
        <v>0</v>
      </c>
      <c r="R111" s="617">
        <f>VLOOKUP($D111,'WP-BC'!$A$1:$N$358,14,FALSE)</f>
        <v>0</v>
      </c>
      <c r="S111" s="641">
        <v>837882</v>
      </c>
      <c r="U111" s="641">
        <v>999305</v>
      </c>
      <c r="W111" s="641">
        <f t="shared" si="44"/>
        <v>-161423</v>
      </c>
    </row>
    <row r="112" spans="1:23" s="439" customFormat="1">
      <c r="A112" s="626" t="s">
        <v>1245</v>
      </c>
      <c r="B112" s="630" t="s">
        <v>655</v>
      </c>
      <c r="C112" s="614" t="s">
        <v>1256</v>
      </c>
      <c r="D112" s="615" t="str">
        <f t="shared" si="1"/>
        <v>POLETTI  (Astoria)392Transportation Equipment</v>
      </c>
      <c r="E112" s="603" t="s">
        <v>1309</v>
      </c>
      <c r="F112" s="358" t="str">
        <f>CONCATENATE("WP-BC, line ",VLOOKUP(D112,'WP-BC'!$A$18:$N$341,2,FALSE))</f>
        <v>WP-BC, line 12ck</v>
      </c>
      <c r="G112" s="621">
        <v>392</v>
      </c>
      <c r="H112" s="570" t="s">
        <v>1256</v>
      </c>
      <c r="I112" s="620" t="s">
        <v>318</v>
      </c>
      <c r="J112" s="626"/>
      <c r="K112" s="617">
        <f>VLOOKUP($D112,'WP-BC'!$A$1:$N$358,7,FALSE)</f>
        <v>64371</v>
      </c>
      <c r="L112" s="617">
        <f>VLOOKUP($D112,'WP-BC'!$A$1:$N$358,8,FALSE)</f>
        <v>58180</v>
      </c>
      <c r="M112" s="618">
        <f t="shared" si="42"/>
        <v>6191</v>
      </c>
      <c r="N112" s="617">
        <f>VLOOKUP($D112,'WP-BC'!$A$1:$N$358,10,FALSE)</f>
        <v>722</v>
      </c>
      <c r="O112" s="617">
        <f>VLOOKUP($D112,'WP-BC'!$A$1:$N$358,11,FALSE)</f>
        <v>64371.34</v>
      </c>
      <c r="P112" s="617">
        <f>VLOOKUP($D112,'WP-BC'!$A$1:$N$358,12,FALSE)</f>
        <v>57457.629999999976</v>
      </c>
      <c r="Q112" s="618">
        <f t="shared" si="43"/>
        <v>6913.710000000021</v>
      </c>
      <c r="R112" s="617">
        <f>VLOOKUP($D112,'WP-BC'!$A$1:$N$358,14,FALSE)</f>
        <v>301</v>
      </c>
      <c r="S112" s="641">
        <v>541246.62</v>
      </c>
      <c r="U112" s="641">
        <v>429233.08</v>
      </c>
      <c r="W112" s="641">
        <f t="shared" si="44"/>
        <v>112013.53999999998</v>
      </c>
    </row>
    <row r="113" spans="1:23" s="439" customFormat="1">
      <c r="A113" s="626" t="s">
        <v>1245</v>
      </c>
      <c r="B113" s="630" t="s">
        <v>655</v>
      </c>
      <c r="C113" s="614" t="s">
        <v>1256</v>
      </c>
      <c r="D113" s="615" t="str">
        <f t="shared" si="1"/>
        <v>POLETTI  (Astoria)393Stores Equipment</v>
      </c>
      <c r="E113" s="603" t="s">
        <v>1310</v>
      </c>
      <c r="F113" s="358" t="str">
        <f>CONCATENATE("WP-BC, line ",VLOOKUP(D113,'WP-BC'!$A$18:$N$341,2,FALSE))</f>
        <v>WP-BC, line 12cl</v>
      </c>
      <c r="G113" s="621">
        <v>393</v>
      </c>
      <c r="H113" s="570" t="s">
        <v>1256</v>
      </c>
      <c r="I113" s="620" t="s">
        <v>319</v>
      </c>
      <c r="J113" s="626"/>
      <c r="K113" s="617">
        <f>VLOOKUP($D113,'WP-BC'!$A$1:$N$358,7,FALSE)</f>
        <v>108838</v>
      </c>
      <c r="L113" s="617">
        <f>VLOOKUP($D113,'WP-BC'!$A$1:$N$358,8,FALSE)</f>
        <v>104191</v>
      </c>
      <c r="M113" s="618">
        <f t="shared" si="42"/>
        <v>4647</v>
      </c>
      <c r="N113" s="617">
        <f>VLOOKUP($D113,'WP-BC'!$A$1:$N$358,10,FALSE)</f>
        <v>816</v>
      </c>
      <c r="O113" s="617">
        <f>VLOOKUP($D113,'WP-BC'!$A$1:$N$358,11,FALSE)</f>
        <v>108837.62</v>
      </c>
      <c r="P113" s="617">
        <f>VLOOKUP($D113,'WP-BC'!$A$1:$N$358,12,FALSE)</f>
        <v>103374.62</v>
      </c>
      <c r="Q113" s="618">
        <f t="shared" si="43"/>
        <v>5463</v>
      </c>
      <c r="R113" s="617">
        <f>VLOOKUP($D113,'WP-BC'!$A$1:$N$358,14,FALSE)</f>
        <v>825</v>
      </c>
      <c r="S113" s="641">
        <v>108837.62</v>
      </c>
      <c r="U113" s="641">
        <v>94091.62</v>
      </c>
      <c r="W113" s="641">
        <f t="shared" si="44"/>
        <v>14746</v>
      </c>
    </row>
    <row r="114" spans="1:23" s="439" customFormat="1">
      <c r="A114" s="626" t="s">
        <v>1245</v>
      </c>
      <c r="B114" s="630" t="s">
        <v>655</v>
      </c>
      <c r="C114" s="614" t="s">
        <v>1256</v>
      </c>
      <c r="D114" s="615" t="str">
        <f t="shared" ref="D114:D139" si="45">CONCATENATE(H114,G114,I114)</f>
        <v>POLETTI  (Astoria)394Tools, Shop &amp; Garage Equipment</v>
      </c>
      <c r="E114" s="603" t="s">
        <v>1311</v>
      </c>
      <c r="F114" s="358" t="str">
        <f>CONCATENATE("WP-BC, line ",VLOOKUP(D114,'WP-BC'!$A$18:$N$341,2,FALSE))</f>
        <v>WP-BC, line 12cm</v>
      </c>
      <c r="G114" s="621">
        <v>394</v>
      </c>
      <c r="H114" s="570" t="s">
        <v>1256</v>
      </c>
      <c r="I114" s="620" t="s">
        <v>320</v>
      </c>
      <c r="J114" s="626"/>
      <c r="K114" s="617">
        <f>VLOOKUP($D114,'WP-BC'!$A$1:$N$358,7,FALSE)</f>
        <v>456566</v>
      </c>
      <c r="L114" s="617">
        <f>VLOOKUP($D114,'WP-BC'!$A$1:$N$358,8,FALSE)</f>
        <v>190420</v>
      </c>
      <c r="M114" s="618">
        <f t="shared" si="42"/>
        <v>266146</v>
      </c>
      <c r="N114" s="617">
        <f>VLOOKUP($D114,'WP-BC'!$A$1:$N$358,10,FALSE)</f>
        <v>22362</v>
      </c>
      <c r="O114" s="617">
        <f>VLOOKUP($D114,'WP-BC'!$A$1:$N$358,11,FALSE)</f>
        <v>456566.00999999995</v>
      </c>
      <c r="P114" s="617">
        <f>VLOOKUP($D114,'WP-BC'!$A$1:$N$358,12,FALSE)</f>
        <v>168057.56999999998</v>
      </c>
      <c r="Q114" s="618">
        <f t="shared" si="43"/>
        <v>288508.43999999994</v>
      </c>
      <c r="R114" s="617">
        <f>VLOOKUP($D114,'WP-BC'!$A$1:$N$358,14,FALSE)</f>
        <v>22521</v>
      </c>
      <c r="S114" s="641">
        <v>6400</v>
      </c>
      <c r="U114" s="641">
        <v>3191</v>
      </c>
      <c r="W114" s="641">
        <f t="shared" si="44"/>
        <v>3209</v>
      </c>
    </row>
    <row r="115" spans="1:23" s="439" customFormat="1">
      <c r="A115" s="626" t="s">
        <v>1245</v>
      </c>
      <c r="B115" s="630" t="s">
        <v>655</v>
      </c>
      <c r="C115" s="614" t="s">
        <v>1256</v>
      </c>
      <c r="D115" s="615" t="str">
        <f t="shared" si="45"/>
        <v>POLETTI  (Astoria)395Laboratory Equipment</v>
      </c>
      <c r="E115" s="603" t="s">
        <v>1312</v>
      </c>
      <c r="F115" s="358" t="str">
        <f>CONCATENATE("WP-BC, line ",VLOOKUP(D115,'WP-BC'!$A$18:$N$341,2,FALSE))</f>
        <v>WP-BC, line 12cn</v>
      </c>
      <c r="G115" s="621">
        <v>395</v>
      </c>
      <c r="H115" s="570" t="s">
        <v>1256</v>
      </c>
      <c r="I115" s="620" t="s">
        <v>321</v>
      </c>
      <c r="J115" s="626"/>
      <c r="K115" s="617">
        <f>VLOOKUP($D115,'WP-BC'!$A$1:$N$358,7,FALSE)</f>
        <v>2134341</v>
      </c>
      <c r="L115" s="617">
        <f>VLOOKUP($D115,'WP-BC'!$A$1:$N$358,8,FALSE)</f>
        <v>1670985</v>
      </c>
      <c r="M115" s="618">
        <f t="shared" si="42"/>
        <v>463356</v>
      </c>
      <c r="N115" s="617">
        <f>VLOOKUP($D115,'WP-BC'!$A$1:$N$358,10,FALSE)</f>
        <v>22446</v>
      </c>
      <c r="O115" s="617">
        <f>VLOOKUP($D115,'WP-BC'!$A$1:$N$358,11,FALSE)</f>
        <v>1622974.9100000001</v>
      </c>
      <c r="P115" s="617">
        <f>VLOOKUP($D115,'WP-BC'!$A$1:$N$358,12,FALSE)</f>
        <v>1648539.9300000002</v>
      </c>
      <c r="Q115" s="618">
        <f t="shared" si="43"/>
        <v>-25565.020000000019</v>
      </c>
      <c r="R115" s="617">
        <f>VLOOKUP($D115,'WP-BC'!$A$1:$N$358,14,FALSE)</f>
        <v>1991</v>
      </c>
      <c r="S115" s="641">
        <v>1394339.57</v>
      </c>
      <c r="U115" s="641">
        <v>1342713.59</v>
      </c>
      <c r="W115" s="641">
        <f t="shared" si="44"/>
        <v>51625.979999999981</v>
      </c>
    </row>
    <row r="116" spans="1:23" s="439" customFormat="1">
      <c r="A116" s="626" t="s">
        <v>1245</v>
      </c>
      <c r="B116" s="630" t="s">
        <v>655</v>
      </c>
      <c r="C116" s="614" t="s">
        <v>1256</v>
      </c>
      <c r="D116" s="615" t="str">
        <f t="shared" si="45"/>
        <v>POLETTI  (Astoria)396Power Operated Equipment</v>
      </c>
      <c r="E116" s="603" t="s">
        <v>1313</v>
      </c>
      <c r="F116" s="358" t="str">
        <f>CONCATENATE("WP-BC, line ",VLOOKUP(D116,'WP-BC'!$A$18:$N$341,2,FALSE))</f>
        <v>WP-BC, line 12co</v>
      </c>
      <c r="G116" s="621">
        <v>396</v>
      </c>
      <c r="H116" s="570" t="s">
        <v>1256</v>
      </c>
      <c r="I116" s="620" t="s">
        <v>323</v>
      </c>
      <c r="J116" s="626"/>
      <c r="K116" s="617">
        <f>VLOOKUP($D116,'WP-BC'!$A$1:$N$358,7,FALSE)</f>
        <v>163078</v>
      </c>
      <c r="L116" s="617">
        <f>VLOOKUP($D116,'WP-BC'!$A$1:$N$358,8,FALSE)</f>
        <v>155203</v>
      </c>
      <c r="M116" s="618">
        <f t="shared" si="42"/>
        <v>7875</v>
      </c>
      <c r="N116" s="617">
        <f>VLOOKUP($D116,'WP-BC'!$A$1:$N$358,10,FALSE)</f>
        <v>3332</v>
      </c>
      <c r="O116" s="617">
        <f>VLOOKUP($D116,'WP-BC'!$A$1:$N$358,11,FALSE)</f>
        <v>163077.91999999998</v>
      </c>
      <c r="P116" s="617">
        <f>VLOOKUP($D116,'WP-BC'!$A$1:$N$358,12,FALSE)</f>
        <v>151870.90999999997</v>
      </c>
      <c r="Q116" s="618">
        <f t="shared" si="43"/>
        <v>11207.010000000009</v>
      </c>
      <c r="R116" s="617">
        <f>VLOOKUP($D116,'WP-BC'!$A$1:$N$358,14,FALSE)</f>
        <v>0</v>
      </c>
      <c r="S116" s="641">
        <v>198592</v>
      </c>
      <c r="U116" s="641">
        <v>167153</v>
      </c>
      <c r="W116" s="641">
        <f t="shared" si="44"/>
        <v>31439</v>
      </c>
    </row>
    <row r="117" spans="1:23" s="439" customFormat="1">
      <c r="A117" s="626" t="s">
        <v>1245</v>
      </c>
      <c r="B117" s="630" t="s">
        <v>655</v>
      </c>
      <c r="C117" s="614" t="s">
        <v>1256</v>
      </c>
      <c r="D117" s="615" t="str">
        <f t="shared" si="45"/>
        <v>POLETTI  (Astoria)397Communication Equipment</v>
      </c>
      <c r="E117" s="603" t="s">
        <v>1314</v>
      </c>
      <c r="F117" s="358" t="str">
        <f>CONCATENATE("WP-BC, line ",VLOOKUP(D117,'WP-BC'!$A$18:$N$341,2,FALSE))</f>
        <v>WP-BC, line 12cp</v>
      </c>
      <c r="G117" s="621">
        <v>397</v>
      </c>
      <c r="H117" s="570" t="s">
        <v>1256</v>
      </c>
      <c r="I117" s="620" t="s">
        <v>325</v>
      </c>
      <c r="J117" s="626"/>
      <c r="K117" s="617">
        <f>VLOOKUP($D117,'WP-BC'!$A$1:$N$358,7,FALSE)</f>
        <v>443045</v>
      </c>
      <c r="L117" s="617">
        <f>VLOOKUP($D117,'WP-BC'!$A$1:$N$358,8,FALSE)</f>
        <v>438461</v>
      </c>
      <c r="M117" s="618">
        <f t="shared" si="42"/>
        <v>4584</v>
      </c>
      <c r="N117" s="617">
        <f>VLOOKUP($D117,'WP-BC'!$A$1:$N$358,10,FALSE)</f>
        <v>11076</v>
      </c>
      <c r="O117" s="617">
        <f>VLOOKUP($D117,'WP-BC'!$A$1:$N$358,11,FALSE)</f>
        <v>443045</v>
      </c>
      <c r="P117" s="617">
        <f>VLOOKUP($D117,'WP-BC'!$A$1:$N$358,12,FALSE)</f>
        <v>427385</v>
      </c>
      <c r="Q117" s="618">
        <f t="shared" si="43"/>
        <v>15660</v>
      </c>
      <c r="R117" s="617">
        <f>VLOOKUP($D117,'WP-BC'!$A$1:$N$358,14,FALSE)</f>
        <v>0</v>
      </c>
      <c r="S117" s="641">
        <v>443045</v>
      </c>
      <c r="U117" s="641">
        <v>254870</v>
      </c>
      <c r="W117" s="641">
        <f t="shared" si="44"/>
        <v>188175</v>
      </c>
    </row>
    <row r="118" spans="1:23" s="439" customFormat="1">
      <c r="A118" s="626" t="s">
        <v>1245</v>
      </c>
      <c r="B118" s="630" t="s">
        <v>655</v>
      </c>
      <c r="C118" s="614" t="s">
        <v>1256</v>
      </c>
      <c r="D118" s="615" t="str">
        <f t="shared" si="45"/>
        <v>POLETTI  (Astoria)398Miscellaneous Equipment</v>
      </c>
      <c r="E118" s="603" t="s">
        <v>1315</v>
      </c>
      <c r="F118" s="358" t="str">
        <f>CONCATENATE("WP-BC, line ",VLOOKUP(D118,'WP-BC'!$A$18:$N$341,2,FALSE))</f>
        <v>WP-BC, line 12cq</v>
      </c>
      <c r="G118" s="621">
        <v>398</v>
      </c>
      <c r="H118" s="570" t="s">
        <v>1256</v>
      </c>
      <c r="I118" s="620" t="s">
        <v>327</v>
      </c>
      <c r="J118" s="626"/>
      <c r="K118" s="617">
        <f>VLOOKUP($D118,'WP-BC'!$A$1:$N$358,7,FALSE)</f>
        <v>2960626</v>
      </c>
      <c r="L118" s="617">
        <f>VLOOKUP($D118,'WP-BC'!$A$1:$N$358,8,FALSE)</f>
        <v>2965290</v>
      </c>
      <c r="M118" s="618">
        <f t="shared" si="42"/>
        <v>-4664</v>
      </c>
      <c r="N118" s="617">
        <f>VLOOKUP($D118,'WP-BC'!$A$1:$N$358,10,FALSE)</f>
        <v>394</v>
      </c>
      <c r="O118" s="617">
        <f>VLOOKUP($D118,'WP-BC'!$A$1:$N$358,11,FALSE)</f>
        <v>2960625.65</v>
      </c>
      <c r="P118" s="617">
        <f>VLOOKUP($D118,'WP-BC'!$A$1:$N$358,12,FALSE)</f>
        <v>2964895.93</v>
      </c>
      <c r="Q118" s="618">
        <f t="shared" si="43"/>
        <v>-4270.2800000002608</v>
      </c>
      <c r="R118" s="617">
        <f>VLOOKUP($D118,'WP-BC'!$A$1:$N$358,14,FALSE)</f>
        <v>394</v>
      </c>
      <c r="S118" s="641">
        <v>3131817.34</v>
      </c>
      <c r="U118" s="641">
        <v>3047113.62</v>
      </c>
      <c r="W118" s="641">
        <f t="shared" si="44"/>
        <v>84703.719999999739</v>
      </c>
    </row>
    <row r="119" spans="1:23" s="439" customFormat="1">
      <c r="A119" s="626" t="s">
        <v>1245</v>
      </c>
      <c r="B119" s="630" t="s">
        <v>655</v>
      </c>
      <c r="C119" s="614" t="s">
        <v>1256</v>
      </c>
      <c r="D119" s="615" t="str">
        <f t="shared" si="45"/>
        <v>POLETTI  (Astoria)399Other Tangible Property</v>
      </c>
      <c r="E119" s="603" t="s">
        <v>1316</v>
      </c>
      <c r="F119" s="358" t="str">
        <f>CONCATENATE("WP-BC, line ",VLOOKUP(D119,'WP-BC'!$A$18:$N$341,2,FALSE))</f>
        <v>WP-BC, line 12cr</v>
      </c>
      <c r="G119" s="621">
        <v>399</v>
      </c>
      <c r="H119" s="570" t="s">
        <v>1256</v>
      </c>
      <c r="I119" s="620" t="s">
        <v>329</v>
      </c>
      <c r="J119" s="626"/>
      <c r="K119" s="617">
        <f>VLOOKUP($D119,'WP-BC'!$A$1:$N$358,7,FALSE)</f>
        <v>322930</v>
      </c>
      <c r="L119" s="617">
        <f>VLOOKUP($D119,'WP-BC'!$A$1:$N$358,8,FALSE)</f>
        <v>328312</v>
      </c>
      <c r="M119" s="618">
        <f t="shared" si="42"/>
        <v>-5382</v>
      </c>
      <c r="N119" s="617">
        <f>VLOOKUP($D119,'WP-BC'!$A$1:$N$358,10,FALSE)</f>
        <v>5382</v>
      </c>
      <c r="O119" s="617">
        <f>VLOOKUP($D119,'WP-BC'!$A$1:$N$358,11,FALSE)</f>
        <v>322930</v>
      </c>
      <c r="P119" s="617">
        <f>VLOOKUP($D119,'WP-BC'!$A$1:$N$358,12,FALSE)</f>
        <v>322930</v>
      </c>
      <c r="Q119" s="618">
        <f t="shared" si="43"/>
        <v>0</v>
      </c>
      <c r="R119" s="617">
        <f>VLOOKUP($D119,'WP-BC'!$A$1:$N$358,14,FALSE)</f>
        <v>0</v>
      </c>
      <c r="S119" s="1195">
        <v>322930</v>
      </c>
      <c r="T119" s="1196"/>
      <c r="U119" s="1195">
        <v>322930</v>
      </c>
      <c r="V119" s="1196"/>
      <c r="W119" s="1195">
        <f t="shared" si="44"/>
        <v>0</v>
      </c>
    </row>
    <row r="120" spans="1:23" s="439" customFormat="1">
      <c r="A120" s="626"/>
      <c r="B120" s="630"/>
      <c r="C120" s="614"/>
      <c r="D120" s="615"/>
      <c r="E120" s="1163" t="s">
        <v>146</v>
      </c>
      <c r="F120" s="620"/>
      <c r="G120" s="621"/>
      <c r="H120" s="622"/>
      <c r="I120" s="620"/>
      <c r="J120" s="626"/>
      <c r="K120" s="623" t="s">
        <v>768</v>
      </c>
      <c r="L120" s="623" t="s">
        <v>768</v>
      </c>
      <c r="M120" s="623" t="s">
        <v>768</v>
      </c>
      <c r="N120" s="623" t="s">
        <v>768</v>
      </c>
      <c r="O120" s="623" t="s">
        <v>768</v>
      </c>
      <c r="P120" s="623" t="s">
        <v>768</v>
      </c>
      <c r="Q120" s="623" t="s">
        <v>768</v>
      </c>
      <c r="R120" s="623" t="s">
        <v>768</v>
      </c>
      <c r="S120" s="641"/>
      <c r="U120" s="641"/>
      <c r="W120" s="641"/>
    </row>
    <row r="121" spans="1:23" s="439" customFormat="1">
      <c r="A121" s="626"/>
      <c r="B121" s="630"/>
      <c r="C121" s="614"/>
      <c r="D121" s="615"/>
      <c r="E121" s="603"/>
      <c r="F121" s="1321"/>
      <c r="G121" s="625"/>
      <c r="H121" s="626"/>
      <c r="I121" s="626"/>
      <c r="J121" s="626"/>
      <c r="K121" s="617"/>
      <c r="L121" s="617"/>
      <c r="M121" s="617"/>
      <c r="N121" s="617"/>
      <c r="O121" s="617"/>
      <c r="P121" s="617"/>
      <c r="Q121" s="617"/>
      <c r="R121" s="617"/>
      <c r="S121" s="641"/>
      <c r="U121" s="641"/>
      <c r="W121" s="641"/>
    </row>
    <row r="122" spans="1:23" s="439" customFormat="1">
      <c r="A122" s="626"/>
      <c r="B122" s="626"/>
      <c r="C122" s="615"/>
      <c r="D122" s="615" t="str">
        <f t="shared" si="45"/>
        <v>SUBTOTAL Poletti</v>
      </c>
      <c r="E122" s="643">
        <v>21</v>
      </c>
      <c r="F122" s="624"/>
      <c r="G122" s="629" t="s">
        <v>1262</v>
      </c>
      <c r="H122" s="626"/>
      <c r="I122" s="626"/>
      <c r="J122" s="626"/>
      <c r="K122" s="628">
        <f>SUM(K109:K120)</f>
        <v>11157011</v>
      </c>
      <c r="L122" s="628">
        <f t="shared" ref="L122:R122" si="46">SUM(L109:L120)</f>
        <v>8283550</v>
      </c>
      <c r="M122" s="628">
        <f t="shared" si="46"/>
        <v>2873461</v>
      </c>
      <c r="N122" s="628">
        <f t="shared" si="46"/>
        <v>158613</v>
      </c>
      <c r="O122" s="628">
        <f t="shared" si="46"/>
        <v>10645644.76</v>
      </c>
      <c r="P122" s="628">
        <f t="shared" si="46"/>
        <v>8124937.5099999998</v>
      </c>
      <c r="Q122" s="628">
        <f t="shared" si="46"/>
        <v>2520707.2499999991</v>
      </c>
      <c r="R122" s="628">
        <f t="shared" si="46"/>
        <v>105659</v>
      </c>
      <c r="S122" s="639">
        <f t="shared" ref="S122" si="47">SUM(S109:S119)</f>
        <v>8082687.1500000004</v>
      </c>
      <c r="U122" s="639">
        <f>SUM(U109:U119)</f>
        <v>7614697.9100000001</v>
      </c>
      <c r="W122" s="639">
        <f>SUM(W109:W119)</f>
        <v>467989.2399999997</v>
      </c>
    </row>
    <row r="123" spans="1:23" s="610" customFormat="1" ht="24.75" customHeight="1">
      <c r="A123" s="603"/>
      <c r="B123" s="603"/>
      <c r="C123" s="605"/>
      <c r="D123" s="615" t="str">
        <f t="shared" si="45"/>
        <v/>
      </c>
      <c r="E123" s="643">
        <v>22</v>
      </c>
      <c r="F123" s="1321"/>
      <c r="G123" s="612"/>
      <c r="H123" s="603"/>
      <c r="I123" s="603"/>
      <c r="J123" s="603"/>
      <c r="K123" s="642"/>
      <c r="L123" s="642"/>
      <c r="M123" s="642"/>
      <c r="N123" s="642"/>
      <c r="O123" s="642"/>
      <c r="P123" s="642"/>
      <c r="Q123" s="642"/>
      <c r="R123" s="642"/>
      <c r="S123" s="609"/>
      <c r="U123" s="609"/>
      <c r="W123" s="609"/>
    </row>
    <row r="124" spans="1:23" s="439" customFormat="1">
      <c r="A124" s="626" t="s">
        <v>1245</v>
      </c>
      <c r="B124" s="630" t="s">
        <v>655</v>
      </c>
      <c r="C124" s="614" t="s">
        <v>1263</v>
      </c>
      <c r="D124" s="615" t="str">
        <f t="shared" si="45"/>
        <v>BRENTWOOD  (Long Island)398Miscellaneous Equipment</v>
      </c>
      <c r="E124" s="603" t="s">
        <v>1182</v>
      </c>
      <c r="F124" s="358" t="str">
        <f>CONCATENATE("WP-BC, line ",VLOOKUP(D124,'WP-BC'!$A$18:$N$341,2,FALSE))</f>
        <v>WP-BC, line 12bn</v>
      </c>
      <c r="G124" s="621">
        <v>398</v>
      </c>
      <c r="H124" s="570" t="s">
        <v>1263</v>
      </c>
      <c r="I124" s="620" t="s">
        <v>327</v>
      </c>
      <c r="J124" s="626"/>
      <c r="K124" s="617">
        <f>VLOOKUP($D124,'WP-BC'!$A$1:$N$358,7,FALSE)</f>
        <v>199632</v>
      </c>
      <c r="L124" s="617">
        <f>VLOOKUP($D124,'WP-BC'!$A$1:$N$358,8,FALSE)</f>
        <v>183168</v>
      </c>
      <c r="M124" s="618">
        <f t="shared" ref="M124:M136" si="48">+K124-L124</f>
        <v>16464</v>
      </c>
      <c r="N124" s="617">
        <f>VLOOKUP($D124,'WP-BC'!$A$1:$N$358,10,FALSE)</f>
        <v>1830</v>
      </c>
      <c r="O124" s="617">
        <f>VLOOKUP($D124,'WP-BC'!$A$1:$N$358,11,FALSE)</f>
        <v>181336.84</v>
      </c>
      <c r="P124" s="617">
        <f>VLOOKUP($D124,'WP-BC'!$A$1:$N$358,12,FALSE)</f>
        <v>181337.84</v>
      </c>
      <c r="Q124" s="618">
        <f t="shared" ref="Q124:Q136" si="49">+O124-P124</f>
        <v>-1</v>
      </c>
      <c r="R124" s="617">
        <f>VLOOKUP($D124,'WP-BC'!$A$1:$N$358,14,FALSE)</f>
        <v>0</v>
      </c>
      <c r="S124" s="641">
        <v>181336.84</v>
      </c>
      <c r="U124" s="641">
        <v>147903.84</v>
      </c>
      <c r="W124" s="641">
        <f t="shared" ref="W124:W136" si="50">+S124-U124</f>
        <v>33433</v>
      </c>
    </row>
    <row r="125" spans="1:23" s="439" customFormat="1">
      <c r="A125" s="626" t="s">
        <v>1245</v>
      </c>
      <c r="B125" s="630" t="s">
        <v>655</v>
      </c>
      <c r="C125" s="614" t="s">
        <v>1265</v>
      </c>
      <c r="D125" s="615" t="str">
        <f t="shared" si="45"/>
        <v>GOWANUS  (Brooklyn)396Power Operated Equipment</v>
      </c>
      <c r="E125" s="603" t="s">
        <v>1183</v>
      </c>
      <c r="F125" s="358" t="str">
        <f>CONCATENATE("WP-BC, line ",VLOOKUP(D125,'WP-BC'!$A$18:$N$341,2,FALSE))</f>
        <v>WP-BC, line 12by</v>
      </c>
      <c r="G125" s="621">
        <v>396</v>
      </c>
      <c r="H125" s="570" t="s">
        <v>1265</v>
      </c>
      <c r="I125" s="620" t="s">
        <v>323</v>
      </c>
      <c r="J125" s="626"/>
      <c r="K125" s="617">
        <f>VLOOKUP($D125,'WP-BC'!$A$1:$N$358,7,FALSE)</f>
        <v>28597</v>
      </c>
      <c r="L125" s="617">
        <f>VLOOKUP($D125,'WP-BC'!$A$1:$N$358,8,FALSE)</f>
        <v>5121</v>
      </c>
      <c r="M125" s="618">
        <f t="shared" si="48"/>
        <v>23476</v>
      </c>
      <c r="N125" s="617">
        <f>VLOOKUP($D125,'WP-BC'!$A$1:$N$358,10,FALSE)</f>
        <v>809</v>
      </c>
      <c r="O125" s="617">
        <f>VLOOKUP($D125,'WP-BC'!$A$1:$N$358,11,FALSE)</f>
        <v>28597</v>
      </c>
      <c r="P125" s="617">
        <f>VLOOKUP($D125,'WP-BC'!$A$1:$N$358,12,FALSE)</f>
        <v>26194</v>
      </c>
      <c r="Q125" s="618">
        <f t="shared" si="49"/>
        <v>2403</v>
      </c>
      <c r="R125" s="617">
        <f>VLOOKUP($D125,'WP-BC'!$A$1:$N$358,14,FALSE)</f>
        <v>672</v>
      </c>
      <c r="S125" s="641">
        <v>21882</v>
      </c>
      <c r="U125" s="641">
        <v>11675</v>
      </c>
      <c r="W125" s="641">
        <f t="shared" si="50"/>
        <v>10207</v>
      </c>
    </row>
    <row r="126" spans="1:23" s="439" customFormat="1">
      <c r="A126" s="626" t="s">
        <v>1245</v>
      </c>
      <c r="B126" s="630" t="s">
        <v>655</v>
      </c>
      <c r="C126" s="614" t="s">
        <v>1265</v>
      </c>
      <c r="D126" s="615" t="str">
        <f t="shared" si="45"/>
        <v>GOWANUS  (Brooklyn)398Miscellaneous Equipment</v>
      </c>
      <c r="E126" s="603" t="s">
        <v>1185</v>
      </c>
      <c r="F126" s="358" t="str">
        <f>CONCATENATE("WP-BC, line ",VLOOKUP(D126,'WP-BC'!$A$18:$N$341,2,FALSE))</f>
        <v>WP-BC, line 12bz</v>
      </c>
      <c r="G126" s="621">
        <v>398</v>
      </c>
      <c r="H126" s="570" t="s">
        <v>1265</v>
      </c>
      <c r="I126" s="620" t="s">
        <v>327</v>
      </c>
      <c r="J126" s="626"/>
      <c r="K126" s="617">
        <f>VLOOKUP($D126,'WP-BC'!$A$1:$N$358,7,FALSE)</f>
        <v>427955</v>
      </c>
      <c r="L126" s="617">
        <f>VLOOKUP($D126,'WP-BC'!$A$1:$N$358,8,FALSE)</f>
        <v>427955</v>
      </c>
      <c r="M126" s="618">
        <f t="shared" si="48"/>
        <v>0</v>
      </c>
      <c r="N126" s="617">
        <f>VLOOKUP($D126,'WP-BC'!$A$1:$N$358,10,FALSE)</f>
        <v>0</v>
      </c>
      <c r="O126" s="617">
        <f>VLOOKUP($D126,'WP-BC'!$A$1:$N$358,11,FALSE)</f>
        <v>427955.33999999997</v>
      </c>
      <c r="P126" s="617">
        <f>VLOOKUP($D126,'WP-BC'!$A$1:$N$358,12,FALSE)</f>
        <v>427955.33999999997</v>
      </c>
      <c r="Q126" s="618">
        <f t="shared" si="49"/>
        <v>0</v>
      </c>
      <c r="R126" s="617">
        <f>VLOOKUP($D126,'WP-BC'!$A$1:$N$358,14,FALSE)</f>
        <v>0</v>
      </c>
      <c r="S126" s="641">
        <v>427955.33999999997</v>
      </c>
      <c r="U126" s="641">
        <v>373839.33999999997</v>
      </c>
      <c r="W126" s="641">
        <f t="shared" si="50"/>
        <v>54116</v>
      </c>
    </row>
    <row r="127" spans="1:23" s="439" customFormat="1">
      <c r="A127" s="626" t="s">
        <v>1245</v>
      </c>
      <c r="B127" s="630" t="s">
        <v>655</v>
      </c>
      <c r="C127" s="614" t="s">
        <v>1267</v>
      </c>
      <c r="D127" s="615" t="str">
        <f t="shared" si="45"/>
        <v>HARLEM RIVER YARDS  (Bronx)396Power Operated Equipment</v>
      </c>
      <c r="E127" s="603" t="s">
        <v>1186</v>
      </c>
      <c r="F127" s="358" t="str">
        <f>CONCATENATE("WP-BC, line ",VLOOKUP(D127,'WP-BC'!$A$18:$N$341,2,FALSE))</f>
        <v>WP-BC, line 12ca</v>
      </c>
      <c r="G127" s="621">
        <v>396</v>
      </c>
      <c r="H127" s="570" t="s">
        <v>1267</v>
      </c>
      <c r="I127" s="620" t="s">
        <v>323</v>
      </c>
      <c r="J127" s="626"/>
      <c r="K127" s="617">
        <f>VLOOKUP($D127,'WP-BC'!$A$1:$N$358,7,FALSE)</f>
        <v>21882</v>
      </c>
      <c r="L127" s="617">
        <f>VLOOKUP($D127,'WP-BC'!$A$1:$N$358,8,FALSE)</f>
        <v>0</v>
      </c>
      <c r="M127" s="618">
        <f t="shared" si="48"/>
        <v>21882</v>
      </c>
      <c r="N127" s="617">
        <f>VLOOKUP($D127,'WP-BC'!$A$1:$N$358,10,FALSE)</f>
        <v>0</v>
      </c>
      <c r="O127" s="617">
        <f>VLOOKUP($D127,'WP-BC'!$A$1:$N$358,11,FALSE)</f>
        <v>21882</v>
      </c>
      <c r="P127" s="617">
        <f>VLOOKUP($D127,'WP-BC'!$A$1:$N$358,12,FALSE)</f>
        <v>21882</v>
      </c>
      <c r="Q127" s="618">
        <f t="shared" si="49"/>
        <v>0</v>
      </c>
      <c r="R127" s="617">
        <f>VLOOKUP($D127,'WP-BC'!$A$1:$N$358,14,FALSE)</f>
        <v>0</v>
      </c>
      <c r="S127" s="641">
        <v>21882</v>
      </c>
      <c r="U127" s="641">
        <v>11675</v>
      </c>
      <c r="W127" s="641">
        <f t="shared" si="50"/>
        <v>10207</v>
      </c>
    </row>
    <row r="128" spans="1:23" s="439" customFormat="1">
      <c r="A128" s="626" t="s">
        <v>1245</v>
      </c>
      <c r="B128" s="630" t="s">
        <v>655</v>
      </c>
      <c r="C128" s="614" t="s">
        <v>1267</v>
      </c>
      <c r="D128" s="615" t="str">
        <f t="shared" si="45"/>
        <v>HARLEM RIVER YARDS  (Bronx)398Miscellaneous Equipment</v>
      </c>
      <c r="E128" s="603" t="s">
        <v>1187</v>
      </c>
      <c r="F128" s="358" t="str">
        <f>CONCATENATE("WP-BC, line ",VLOOKUP(D128,'WP-BC'!$A$18:$N$341,2,FALSE))</f>
        <v>WP-BC, line 12cb</v>
      </c>
      <c r="G128" s="621">
        <v>398</v>
      </c>
      <c r="H128" s="570" t="s">
        <v>1267</v>
      </c>
      <c r="I128" s="620" t="s">
        <v>327</v>
      </c>
      <c r="J128" s="626"/>
      <c r="K128" s="617">
        <f>VLOOKUP($D128,'WP-BC'!$A$1:$N$358,7,FALSE)</f>
        <v>1166180</v>
      </c>
      <c r="L128" s="617">
        <f>VLOOKUP($D128,'WP-BC'!$A$1:$N$358,8,FALSE)</f>
        <v>1166180</v>
      </c>
      <c r="M128" s="618">
        <f t="shared" si="48"/>
        <v>0</v>
      </c>
      <c r="N128" s="617">
        <f>VLOOKUP($D128,'WP-BC'!$A$1:$N$358,10,FALSE)</f>
        <v>0</v>
      </c>
      <c r="O128" s="617">
        <f>VLOOKUP($D128,'WP-BC'!$A$1:$N$358,11,FALSE)</f>
        <v>1166179.73</v>
      </c>
      <c r="P128" s="617">
        <f>VLOOKUP($D128,'WP-BC'!$A$1:$N$358,12,FALSE)</f>
        <v>1166179.73</v>
      </c>
      <c r="Q128" s="618">
        <f t="shared" si="49"/>
        <v>0</v>
      </c>
      <c r="R128" s="617">
        <f>VLOOKUP($D128,'WP-BC'!$A$1:$N$358,14,FALSE)</f>
        <v>0</v>
      </c>
      <c r="S128" s="641">
        <v>860179.7300000001</v>
      </c>
      <c r="U128" s="641">
        <v>503709.73</v>
      </c>
      <c r="W128" s="641">
        <f t="shared" si="50"/>
        <v>356470.00000000012</v>
      </c>
    </row>
    <row r="129" spans="1:25" s="439" customFormat="1">
      <c r="A129" s="626" t="s">
        <v>1245</v>
      </c>
      <c r="B129" s="630" t="s">
        <v>655</v>
      </c>
      <c r="C129" s="614" t="s">
        <v>1269</v>
      </c>
      <c r="D129" s="615" t="str">
        <f t="shared" si="45"/>
        <v>HELLGATE  (Bronx)396Power Operated Equipment</v>
      </c>
      <c r="E129" s="603" t="s">
        <v>1188</v>
      </c>
      <c r="F129" s="358" t="str">
        <f>CONCATENATE("WP-BC, line ",VLOOKUP(D129,'WP-BC'!$A$18:$N$341,2,FALSE))</f>
        <v>WP-BC, line 12cc</v>
      </c>
      <c r="G129" s="621">
        <v>396</v>
      </c>
      <c r="H129" s="570" t="s">
        <v>1269</v>
      </c>
      <c r="I129" s="620" t="s">
        <v>323</v>
      </c>
      <c r="J129" s="626"/>
      <c r="K129" s="617">
        <f>VLOOKUP($D129,'WP-BC'!$A$1:$N$358,7,FALSE)</f>
        <v>22076</v>
      </c>
      <c r="L129" s="617">
        <f>VLOOKUP($D129,'WP-BC'!$A$1:$N$358,8,FALSE)</f>
        <v>0</v>
      </c>
      <c r="M129" s="618">
        <f t="shared" si="48"/>
        <v>22076</v>
      </c>
      <c r="N129" s="617">
        <f>VLOOKUP($D129,'WP-BC'!$A$1:$N$358,10,FALSE)</f>
        <v>0</v>
      </c>
      <c r="O129" s="617">
        <f>VLOOKUP($D129,'WP-BC'!$A$1:$N$358,11,FALSE)</f>
        <v>22076</v>
      </c>
      <c r="P129" s="617">
        <f>VLOOKUP($D129,'WP-BC'!$A$1:$N$358,12,FALSE)</f>
        <v>22076</v>
      </c>
      <c r="Q129" s="618">
        <f t="shared" si="49"/>
        <v>0</v>
      </c>
      <c r="R129" s="617">
        <f>VLOOKUP($D129,'WP-BC'!$A$1:$N$358,14,FALSE)</f>
        <v>0</v>
      </c>
      <c r="S129" s="641">
        <v>22076</v>
      </c>
      <c r="U129" s="641">
        <v>11776</v>
      </c>
      <c r="W129" s="641">
        <f t="shared" si="50"/>
        <v>10300</v>
      </c>
    </row>
    <row r="130" spans="1:25" s="439" customFormat="1">
      <c r="A130" s="626" t="s">
        <v>1245</v>
      </c>
      <c r="B130" s="630" t="s">
        <v>655</v>
      </c>
      <c r="C130" s="614" t="s">
        <v>1269</v>
      </c>
      <c r="D130" s="615" t="str">
        <f t="shared" si="45"/>
        <v>HELLGATE  (Bronx)398Miscellaneous Equipment</v>
      </c>
      <c r="E130" s="603" t="s">
        <v>1189</v>
      </c>
      <c r="F130" s="358" t="str">
        <f>CONCATENATE("WP-BC, line ",VLOOKUP(D130,'WP-BC'!$A$18:$N$341,2,FALSE))</f>
        <v>WP-BC, line 12cd</v>
      </c>
      <c r="G130" s="621">
        <v>398</v>
      </c>
      <c r="H130" s="570" t="s">
        <v>1269</v>
      </c>
      <c r="I130" s="620" t="s">
        <v>327</v>
      </c>
      <c r="J130" s="626"/>
      <c r="K130" s="617">
        <f>VLOOKUP($D130,'WP-BC'!$A$1:$N$358,7,FALSE)</f>
        <v>1272183</v>
      </c>
      <c r="L130" s="617">
        <f>VLOOKUP($D130,'WP-BC'!$A$1:$N$358,8,FALSE)</f>
        <v>1272387</v>
      </c>
      <c r="M130" s="618">
        <f t="shared" si="48"/>
        <v>-204</v>
      </c>
      <c r="N130" s="617">
        <f>VLOOKUP($D130,'WP-BC'!$A$1:$N$358,10,FALSE)</f>
        <v>203</v>
      </c>
      <c r="O130" s="617">
        <f>VLOOKUP($D130,'WP-BC'!$A$1:$N$358,11,FALSE)</f>
        <v>1272183.1099999999</v>
      </c>
      <c r="P130" s="617">
        <f>VLOOKUP($D130,'WP-BC'!$A$1:$N$358,12,FALSE)</f>
        <v>1272183.5899999999</v>
      </c>
      <c r="Q130" s="618">
        <f t="shared" si="49"/>
        <v>-0.47999999998137355</v>
      </c>
      <c r="R130" s="617">
        <f>VLOOKUP($D130,'WP-BC'!$A$1:$N$358,14,FALSE)</f>
        <v>2489</v>
      </c>
      <c r="S130" s="641">
        <v>1238891.6099999999</v>
      </c>
      <c r="U130" s="641">
        <v>554089.09</v>
      </c>
      <c r="W130" s="641">
        <f t="shared" si="50"/>
        <v>684802.5199999999</v>
      </c>
    </row>
    <row r="131" spans="1:25" s="439" customFormat="1">
      <c r="A131" s="626" t="s">
        <v>1245</v>
      </c>
      <c r="B131" s="630" t="s">
        <v>655</v>
      </c>
      <c r="C131" s="614" t="s">
        <v>1271</v>
      </c>
      <c r="D131" s="615" t="str">
        <f t="shared" si="45"/>
        <v>KENT  (Brooklyn)396Power Operated Equipment</v>
      </c>
      <c r="E131" s="603" t="s">
        <v>1317</v>
      </c>
      <c r="F131" s="358" t="str">
        <f>CONCATENATE("WP-BC, line ",VLOOKUP(D131,'WP-BC'!$A$18:$N$341,2,FALSE))</f>
        <v>WP-BC, line 12cf</v>
      </c>
      <c r="G131" s="621">
        <v>396</v>
      </c>
      <c r="H131" s="570" t="s">
        <v>1271</v>
      </c>
      <c r="I131" s="620" t="s">
        <v>323</v>
      </c>
      <c r="J131" s="626"/>
      <c r="K131" s="617">
        <f>VLOOKUP($D131,'WP-BC'!$A$1:$N$358,7,FALSE)</f>
        <v>22076</v>
      </c>
      <c r="L131" s="617">
        <f>VLOOKUP($D131,'WP-BC'!$A$1:$N$358,8,FALSE)</f>
        <v>0</v>
      </c>
      <c r="M131" s="618">
        <f t="shared" si="48"/>
        <v>22076</v>
      </c>
      <c r="N131" s="617">
        <f>VLOOKUP($D131,'WP-BC'!$A$1:$N$358,10,FALSE)</f>
        <v>0</v>
      </c>
      <c r="O131" s="617">
        <f>VLOOKUP($D131,'WP-BC'!$A$1:$N$358,11,FALSE)</f>
        <v>22076</v>
      </c>
      <c r="P131" s="617">
        <f>VLOOKUP($D131,'WP-BC'!$A$1:$N$358,12,FALSE)</f>
        <v>22076</v>
      </c>
      <c r="Q131" s="618">
        <f t="shared" si="49"/>
        <v>0</v>
      </c>
      <c r="R131" s="617">
        <f>VLOOKUP($D131,'WP-BC'!$A$1:$N$358,14,FALSE)</f>
        <v>0</v>
      </c>
      <c r="S131" s="641">
        <v>22076</v>
      </c>
      <c r="U131" s="641">
        <v>11776</v>
      </c>
      <c r="W131" s="641">
        <f t="shared" si="50"/>
        <v>10300</v>
      </c>
    </row>
    <row r="132" spans="1:25" s="439" customFormat="1">
      <c r="A132" s="626" t="s">
        <v>1245</v>
      </c>
      <c r="B132" s="630" t="s">
        <v>655</v>
      </c>
      <c r="C132" s="614" t="s">
        <v>1271</v>
      </c>
      <c r="D132" s="615" t="str">
        <f t="shared" si="45"/>
        <v>KENT  (Brooklyn)398Miscellaneous Equipment</v>
      </c>
      <c r="E132" s="603" t="s">
        <v>1318</v>
      </c>
      <c r="F132" s="358" t="str">
        <f>CONCATENATE("WP-BC, line ",VLOOKUP(D132,'WP-BC'!$A$18:$N$341,2,FALSE))</f>
        <v>WP-BC, line 12cg</v>
      </c>
      <c r="G132" s="621">
        <v>398</v>
      </c>
      <c r="H132" s="570" t="s">
        <v>1271</v>
      </c>
      <c r="I132" s="620" t="s">
        <v>327</v>
      </c>
      <c r="J132" s="626"/>
      <c r="K132" s="617">
        <f>VLOOKUP($D132,'WP-BC'!$A$1:$N$358,7,FALSE)</f>
        <v>228133</v>
      </c>
      <c r="L132" s="617">
        <f>VLOOKUP($D132,'WP-BC'!$A$1:$N$358,8,FALSE)</f>
        <v>228133</v>
      </c>
      <c r="M132" s="618">
        <f t="shared" si="48"/>
        <v>0</v>
      </c>
      <c r="N132" s="617">
        <f>VLOOKUP($D132,'WP-BC'!$A$1:$N$358,10,FALSE)</f>
        <v>0</v>
      </c>
      <c r="O132" s="617">
        <f>VLOOKUP($D132,'WP-BC'!$A$1:$N$358,11,FALSE)</f>
        <v>228133.34</v>
      </c>
      <c r="P132" s="617">
        <f>VLOOKUP($D132,'WP-BC'!$A$1:$N$358,12,FALSE)</f>
        <v>228133.34</v>
      </c>
      <c r="Q132" s="618">
        <f t="shared" si="49"/>
        <v>0</v>
      </c>
      <c r="R132" s="617">
        <f>VLOOKUP($D132,'WP-BC'!$A$1:$N$358,14,FALSE)</f>
        <v>0</v>
      </c>
      <c r="S132" s="641">
        <v>228133.34</v>
      </c>
      <c r="U132" s="641">
        <v>196578.34</v>
      </c>
      <c r="W132" s="641">
        <f t="shared" si="50"/>
        <v>31555</v>
      </c>
    </row>
    <row r="133" spans="1:25" s="439" customFormat="1">
      <c r="A133" s="626" t="s">
        <v>1245</v>
      </c>
      <c r="B133" s="630" t="s">
        <v>655</v>
      </c>
      <c r="C133" s="614" t="s">
        <v>1273</v>
      </c>
      <c r="D133" s="615" t="str">
        <f t="shared" si="45"/>
        <v>POUCH TERMINAL  (Richmond)396Power Operated Equipment</v>
      </c>
      <c r="E133" s="603" t="s">
        <v>1319</v>
      </c>
      <c r="F133" s="358" t="str">
        <f>CONCATENATE("WP-BC, line ",VLOOKUP(D133,'WP-BC'!$A$18:$N$347,2,FALSE))</f>
        <v>WP-BC, line 12cs</v>
      </c>
      <c r="G133" s="621">
        <v>396</v>
      </c>
      <c r="H133" s="570" t="s">
        <v>1273</v>
      </c>
      <c r="I133" s="620" t="s">
        <v>323</v>
      </c>
      <c r="J133" s="626"/>
      <c r="K133" s="617">
        <f>VLOOKUP($D133,'WP-BC'!$A$1:$N$358,7,FALSE)</f>
        <v>22076</v>
      </c>
      <c r="L133" s="617">
        <f>VLOOKUP($D133,'WP-BC'!$A$1:$N$358,8,FALSE)</f>
        <v>0</v>
      </c>
      <c r="M133" s="618">
        <f t="shared" si="48"/>
        <v>22076</v>
      </c>
      <c r="N133" s="617">
        <f>VLOOKUP($D133,'WP-BC'!$A$1:$N$358,10,FALSE)</f>
        <v>0</v>
      </c>
      <c r="O133" s="617">
        <f>VLOOKUP($D133,'WP-BC'!$A$1:$N$358,11,FALSE)</f>
        <v>22076</v>
      </c>
      <c r="P133" s="617">
        <f>VLOOKUP($D133,'WP-BC'!$A$1:$N$358,12,FALSE)</f>
        <v>22076</v>
      </c>
      <c r="Q133" s="618">
        <f t="shared" si="49"/>
        <v>0</v>
      </c>
      <c r="R133" s="617">
        <f>VLOOKUP($D133,'WP-BC'!$A$1:$N$358,14,FALSE)</f>
        <v>0</v>
      </c>
      <c r="S133" s="641">
        <v>22076</v>
      </c>
      <c r="U133" s="641">
        <v>11776</v>
      </c>
      <c r="W133" s="641">
        <f t="shared" si="50"/>
        <v>10300</v>
      </c>
    </row>
    <row r="134" spans="1:25" s="439" customFormat="1">
      <c r="A134" s="626" t="s">
        <v>1245</v>
      </c>
      <c r="B134" s="630" t="s">
        <v>655</v>
      </c>
      <c r="C134" s="614" t="s">
        <v>1273</v>
      </c>
      <c r="D134" s="615" t="str">
        <f t="shared" si="45"/>
        <v>POUCH TERMINAL  (Richmond)398Miscellaneous Equipment</v>
      </c>
      <c r="E134" s="603" t="s">
        <v>1320</v>
      </c>
      <c r="F134" s="358" t="str">
        <f>CONCATENATE("WP-BC, line ",VLOOKUP(D134,'WP-BC'!$A$18:$N$347,2,FALSE))</f>
        <v>WP-BC, line 12ct</v>
      </c>
      <c r="G134" s="621">
        <v>398</v>
      </c>
      <c r="H134" s="570" t="s">
        <v>1273</v>
      </c>
      <c r="I134" s="620" t="s">
        <v>327</v>
      </c>
      <c r="J134" s="626"/>
      <c r="K134" s="617">
        <f>VLOOKUP($D134,'WP-BC'!$A$1:$N$358,7,FALSE)</f>
        <v>313431</v>
      </c>
      <c r="L134" s="617">
        <f>VLOOKUP($D134,'WP-BC'!$A$1:$N$358,8,FALSE)</f>
        <v>177620</v>
      </c>
      <c r="M134" s="618">
        <f t="shared" si="48"/>
        <v>135811</v>
      </c>
      <c r="N134" s="617">
        <f>VLOOKUP($D134,'WP-BC'!$A$1:$N$358,10,FALSE)</f>
        <v>6467</v>
      </c>
      <c r="O134" s="617">
        <f>VLOOKUP($D134,'WP-BC'!$A$1:$N$358,11,FALSE)</f>
        <v>313431</v>
      </c>
      <c r="P134" s="617">
        <f>VLOOKUP($D134,'WP-BC'!$A$1:$N$358,12,FALSE)</f>
        <v>171153</v>
      </c>
      <c r="Q134" s="618">
        <f t="shared" si="49"/>
        <v>142278</v>
      </c>
      <c r="R134" s="617">
        <f>VLOOKUP($D134,'WP-BC'!$A$1:$N$358,14,FALSE)</f>
        <v>0</v>
      </c>
      <c r="S134" s="641">
        <v>171154</v>
      </c>
      <c r="U134" s="641">
        <v>151602</v>
      </c>
      <c r="W134" s="641">
        <f t="shared" si="50"/>
        <v>19552</v>
      </c>
    </row>
    <row r="135" spans="1:25" s="439" customFormat="1">
      <c r="A135" s="626" t="s">
        <v>1245</v>
      </c>
      <c r="B135" s="630" t="s">
        <v>655</v>
      </c>
      <c r="C135" s="614" t="s">
        <v>1275</v>
      </c>
      <c r="D135" s="615" t="str">
        <f t="shared" si="45"/>
        <v>VERNON BOULEVARD  (Queens)396Power Operated Equipment</v>
      </c>
      <c r="E135" s="603" t="s">
        <v>1321</v>
      </c>
      <c r="F135" s="358" t="str">
        <f>CONCATENATE("WP-BC, line ",VLOOKUP(D135,'WP-BC'!$A$18:$N$347,2,FALSE))</f>
        <v>WP-BC, line 12cu</v>
      </c>
      <c r="G135" s="621">
        <v>396</v>
      </c>
      <c r="H135" s="570" t="s">
        <v>1275</v>
      </c>
      <c r="I135" s="620" t="s">
        <v>323</v>
      </c>
      <c r="J135" s="626"/>
      <c r="K135" s="617">
        <f>VLOOKUP($D135,'WP-BC'!$A$1:$N$358,7,FALSE)</f>
        <v>22076</v>
      </c>
      <c r="L135" s="617">
        <f>VLOOKUP($D135,'WP-BC'!$A$1:$N$358,8,FALSE)</f>
        <v>-10479</v>
      </c>
      <c r="M135" s="618">
        <f t="shared" si="48"/>
        <v>32555</v>
      </c>
      <c r="N135" s="617">
        <f>VLOOKUP($D135,'WP-BC'!$A$1:$N$358,10,FALSE)</f>
        <v>568</v>
      </c>
      <c r="O135" s="617">
        <f>VLOOKUP($D135,'WP-BC'!$A$1:$N$358,11,FALSE)</f>
        <v>22076</v>
      </c>
      <c r="P135" s="617">
        <f>VLOOKUP($D135,'WP-BC'!$A$1:$N$358,12,FALSE)</f>
        <v>11029</v>
      </c>
      <c r="Q135" s="618">
        <f t="shared" si="49"/>
        <v>11047</v>
      </c>
      <c r="R135" s="617">
        <f>VLOOKUP($D135,'WP-BC'!$A$1:$N$358,14,FALSE)</f>
        <v>0</v>
      </c>
      <c r="S135" s="641">
        <v>22076</v>
      </c>
      <c r="U135" s="641">
        <v>5152</v>
      </c>
      <c r="W135" s="641">
        <f t="shared" si="50"/>
        <v>16924</v>
      </c>
    </row>
    <row r="136" spans="1:25" s="439" customFormat="1">
      <c r="A136" s="626" t="s">
        <v>1245</v>
      </c>
      <c r="B136" s="630" t="s">
        <v>655</v>
      </c>
      <c r="C136" s="614" t="s">
        <v>1275</v>
      </c>
      <c r="D136" s="615" t="str">
        <f t="shared" si="45"/>
        <v>VERNON BOULEVARD  (Queens)398Miscellaneous Equipment</v>
      </c>
      <c r="E136" s="603" t="s">
        <v>1322</v>
      </c>
      <c r="F136" s="358" t="str">
        <f>CONCATENATE("WP-BC, line ",VLOOKUP(D136,'WP-BC'!$A$18:$N$347,2,FALSE))</f>
        <v>WP-BC, line 12cv</v>
      </c>
      <c r="G136" s="621">
        <v>398</v>
      </c>
      <c r="H136" s="570" t="s">
        <v>1275</v>
      </c>
      <c r="I136" s="620" t="s">
        <v>327</v>
      </c>
      <c r="J136" s="626"/>
      <c r="K136" s="617">
        <f>VLOOKUP($D136,'WP-BC'!$A$1:$N$358,7,FALSE)</f>
        <v>245850</v>
      </c>
      <c r="L136" s="617">
        <f>VLOOKUP($D136,'WP-BC'!$A$1:$N$358,8,FALSE)</f>
        <v>100831</v>
      </c>
      <c r="M136" s="618">
        <f t="shared" si="48"/>
        <v>145019</v>
      </c>
      <c r="N136" s="617">
        <f>VLOOKUP($D136,'WP-BC'!$A$1:$N$358,10,FALSE)</f>
        <v>0</v>
      </c>
      <c r="O136" s="617">
        <f>VLOOKUP($D136,'WP-BC'!$A$1:$N$358,11,FALSE)</f>
        <v>245850</v>
      </c>
      <c r="P136" s="617">
        <f>VLOOKUP($D136,'WP-BC'!$A$1:$N$358,12,FALSE)</f>
        <v>100831</v>
      </c>
      <c r="Q136" s="618">
        <f t="shared" si="49"/>
        <v>145019</v>
      </c>
      <c r="R136" s="617">
        <f>VLOOKUP($D136,'WP-BC'!$A$1:$N$358,14,FALSE)</f>
        <v>0</v>
      </c>
      <c r="S136" s="1195">
        <v>245850</v>
      </c>
      <c r="T136" s="1196"/>
      <c r="U136" s="1195">
        <v>83052</v>
      </c>
      <c r="V136" s="1196"/>
      <c r="W136" s="1195">
        <f t="shared" si="50"/>
        <v>162798</v>
      </c>
    </row>
    <row r="137" spans="1:25" s="439" customFormat="1">
      <c r="A137" s="626"/>
      <c r="B137" s="630"/>
      <c r="C137" s="614"/>
      <c r="D137" s="615"/>
      <c r="E137" s="1163" t="s">
        <v>146</v>
      </c>
      <c r="F137" s="620"/>
      <c r="G137" s="621"/>
      <c r="H137" s="622"/>
      <c r="I137" s="620"/>
      <c r="J137" s="626"/>
      <c r="K137" s="623" t="s">
        <v>768</v>
      </c>
      <c r="L137" s="623" t="s">
        <v>768</v>
      </c>
      <c r="M137" s="623" t="s">
        <v>768</v>
      </c>
      <c r="N137" s="623" t="s">
        <v>768</v>
      </c>
      <c r="O137" s="623" t="s">
        <v>768</v>
      </c>
      <c r="P137" s="623" t="s">
        <v>768</v>
      </c>
      <c r="Q137" s="623" t="s">
        <v>768</v>
      </c>
      <c r="R137" s="623" t="s">
        <v>768</v>
      </c>
      <c r="S137" s="641"/>
      <c r="U137" s="641"/>
      <c r="W137" s="641"/>
    </row>
    <row r="138" spans="1:25" s="439" customFormat="1">
      <c r="A138" s="626"/>
      <c r="B138" s="630"/>
      <c r="C138" s="614"/>
      <c r="D138" s="615"/>
      <c r="E138" s="603"/>
      <c r="F138" s="1321"/>
      <c r="G138" s="625"/>
      <c r="H138" s="626"/>
      <c r="I138" s="626"/>
      <c r="J138" s="626"/>
      <c r="K138" s="617"/>
      <c r="L138" s="617"/>
      <c r="M138" s="617"/>
      <c r="N138" s="617"/>
      <c r="O138" s="617"/>
      <c r="P138" s="617"/>
      <c r="Q138" s="617"/>
      <c r="R138" s="617"/>
      <c r="S138" s="641"/>
      <c r="U138" s="641"/>
      <c r="W138" s="641"/>
    </row>
    <row r="139" spans="1:25" s="610" customFormat="1">
      <c r="A139" s="603"/>
      <c r="B139" s="603"/>
      <c r="C139" s="605"/>
      <c r="D139" s="615" t="str">
        <f t="shared" si="45"/>
        <v>SUBTOTAL SCPP</v>
      </c>
      <c r="E139" s="643">
        <v>23</v>
      </c>
      <c r="F139" s="624"/>
      <c r="G139" s="643" t="s">
        <v>1277</v>
      </c>
      <c r="H139" s="603"/>
      <c r="I139" s="603"/>
      <c r="J139" s="603"/>
      <c r="K139" s="644">
        <f>SUM(K124:K137)</f>
        <v>3992147</v>
      </c>
      <c r="L139" s="644">
        <f t="shared" ref="L139:R139" si="51">SUM(L124:L137)</f>
        <v>3550916</v>
      </c>
      <c r="M139" s="644">
        <f t="shared" si="51"/>
        <v>441231</v>
      </c>
      <c r="N139" s="644">
        <f t="shared" si="51"/>
        <v>9877</v>
      </c>
      <c r="O139" s="644">
        <f t="shared" si="51"/>
        <v>3973852.3599999994</v>
      </c>
      <c r="P139" s="644">
        <f t="shared" si="51"/>
        <v>3673106.84</v>
      </c>
      <c r="Q139" s="644">
        <f t="shared" si="51"/>
        <v>300745.52</v>
      </c>
      <c r="R139" s="644">
        <f t="shared" si="51"/>
        <v>3161</v>
      </c>
      <c r="S139" s="645">
        <f t="shared" ref="S139" si="52">SUM(S124:S136)</f>
        <v>3485568.86</v>
      </c>
      <c r="U139" s="645">
        <f>SUM(U124:U136)</f>
        <v>2074604.34</v>
      </c>
      <c r="W139" s="645">
        <f>SUM(W124:W136)</f>
        <v>1410964.52</v>
      </c>
    </row>
    <row r="140" spans="1:25" s="610" customFormat="1">
      <c r="A140" s="603"/>
      <c r="B140" s="603"/>
      <c r="C140" s="605"/>
      <c r="D140" s="615"/>
      <c r="E140" s="643"/>
      <c r="F140" s="624"/>
      <c r="G140" s="643"/>
      <c r="H140" s="603"/>
      <c r="I140" s="603"/>
      <c r="J140" s="603"/>
      <c r="K140" s="644"/>
      <c r="L140" s="644"/>
      <c r="M140" s="644"/>
      <c r="N140" s="644"/>
      <c r="O140" s="644"/>
      <c r="P140" s="644"/>
      <c r="Q140" s="644"/>
      <c r="R140" s="644"/>
      <c r="S140" s="645"/>
      <c r="U140" s="645"/>
      <c r="W140" s="645"/>
    </row>
    <row r="141" spans="1:25" s="610" customFormat="1">
      <c r="A141" s="603"/>
      <c r="B141" s="603"/>
      <c r="C141" s="605"/>
      <c r="D141" s="615"/>
      <c r="E141" s="643">
        <v>24</v>
      </c>
      <c r="F141" s="624"/>
      <c r="G141" s="643"/>
      <c r="H141" s="603"/>
      <c r="I141" s="603"/>
      <c r="J141" s="603"/>
      <c r="K141" s="644"/>
      <c r="L141" s="644"/>
      <c r="M141" s="644"/>
      <c r="N141" s="644"/>
      <c r="O141" s="644"/>
      <c r="P141" s="644"/>
      <c r="Q141" s="644"/>
      <c r="R141" s="644"/>
      <c r="S141" s="645"/>
      <c r="U141" s="645"/>
      <c r="W141" s="645"/>
    </row>
    <row r="142" spans="1:25" s="439" customFormat="1">
      <c r="A142" s="626" t="s">
        <v>1245</v>
      </c>
      <c r="B142" s="630" t="s">
        <v>655</v>
      </c>
      <c r="C142" s="614" t="s">
        <v>1323</v>
      </c>
      <c r="D142" s="615" t="str">
        <f t="shared" ref="D142" si="53">CONCATENATE(H142,G142,I142)</f>
        <v>New York Energy Manager121Non-utility Property</v>
      </c>
      <c r="E142" s="1164" t="s">
        <v>1191</v>
      </c>
      <c r="F142" s="620" t="str">
        <f>CONCATENATE("WP-BC, line ",VLOOKUP(D142,'WP-BC'!$A$18:$N$350,2,FALSE))</f>
        <v>WP-BC, line 12ch</v>
      </c>
      <c r="G142" s="621">
        <v>121</v>
      </c>
      <c r="H142" s="622" t="s">
        <v>1323</v>
      </c>
      <c r="I142" s="620" t="s">
        <v>1324</v>
      </c>
      <c r="J142" s="626"/>
      <c r="K142" s="617">
        <f>VLOOKUP($D142,'WP-BC'!$A$1:$N$358,7,FALSE)</f>
        <v>597048.15</v>
      </c>
      <c r="L142" s="617">
        <f>VLOOKUP($D142,'WP-BC'!$A$1:$N$358,8,FALSE)</f>
        <v>408386</v>
      </c>
      <c r="M142" s="618">
        <f t="shared" ref="M142" si="54">+K142-L142</f>
        <v>188662.15000000002</v>
      </c>
      <c r="N142" s="617">
        <f>VLOOKUP($D142,'WP-BC'!$A$1:$N$358,10,FALSE)</f>
        <v>110284.2</v>
      </c>
      <c r="O142" s="617">
        <f>VLOOKUP($D142,'WP-BC'!$A$1:$N$358,11,FALSE)</f>
        <v>597048.14580000006</v>
      </c>
      <c r="P142" s="617">
        <f>VLOOKUP($D142,'WP-BC'!$A$1:$N$358,12,FALSE)</f>
        <v>298101.92580000003</v>
      </c>
      <c r="Q142" s="618">
        <f t="shared" ref="Q142" si="55">+O142-P142</f>
        <v>298946.22000000003</v>
      </c>
      <c r="R142" s="617">
        <f>VLOOKUP($D142,'WP-BC'!$A$1:$N$358,14,FALSE)</f>
        <v>110284.2</v>
      </c>
      <c r="S142" s="532">
        <v>6324138</v>
      </c>
      <c r="T142" s="532"/>
      <c r="U142" s="532">
        <v>3895543.23</v>
      </c>
      <c r="V142" s="532"/>
      <c r="W142" s="532">
        <f t="shared" ref="W142" si="56">+S142-U142</f>
        <v>2428594.77</v>
      </c>
      <c r="X142" s="56"/>
      <c r="Y142" s="56"/>
    </row>
    <row r="143" spans="1:25" s="439" customFormat="1">
      <c r="A143" s="626" t="s">
        <v>1245</v>
      </c>
      <c r="B143" s="630" t="s">
        <v>655</v>
      </c>
      <c r="C143" s="614" t="s">
        <v>1325</v>
      </c>
      <c r="D143" s="615" t="s">
        <v>1326</v>
      </c>
      <c r="E143" s="1164" t="s">
        <v>1192</v>
      </c>
      <c r="F143" s="620" t="str">
        <f>CONCATENATE("WP-BC, line ",VLOOKUP(D143,'WP-BC'!$A$18:$N$350,2,FALSE))</f>
        <v>WP-BC, line 12bo</v>
      </c>
      <c r="G143" s="621">
        <v>121</v>
      </c>
      <c r="H143" s="622" t="s">
        <v>1325</v>
      </c>
      <c r="I143" s="620" t="s">
        <v>1324</v>
      </c>
      <c r="J143" s="626"/>
      <c r="K143" s="623">
        <f>VLOOKUP($D143,'WP-BC'!$A$1:$N$357,7,FALSE)</f>
        <v>29427661</v>
      </c>
      <c r="L143" s="623">
        <f>VLOOKUP($D143,'WP-BC'!$A$1:$N$357,8,FALSE)</f>
        <v>2754434</v>
      </c>
      <c r="M143" s="623">
        <f>+K145-L145</f>
        <v>26861889.149999999</v>
      </c>
      <c r="N143" s="623">
        <f>VLOOKUP($D143,'WP-BC'!$A$1:$N$357,10,FALSE)</f>
        <v>2083398</v>
      </c>
      <c r="O143" s="623">
        <f>VLOOKUP($D143,'WP-BC'!$A$1:$N$357,11,FALSE)</f>
        <v>14658133.5</v>
      </c>
      <c r="P143" s="623">
        <f>VLOOKUP($D143,'WP-BC'!$A$1:$N$357,12,FALSE)</f>
        <v>671036.54</v>
      </c>
      <c r="Q143" s="623">
        <f>+O143-P143</f>
        <v>13987096.960000001</v>
      </c>
      <c r="R143" s="623">
        <f>VLOOKUP($D143,'WP-BC'!$A$1:$N$357,14,FALSE)</f>
        <v>671036.54</v>
      </c>
      <c r="S143" s="532">
        <v>6324138</v>
      </c>
      <c r="T143" s="532"/>
      <c r="U143" s="532">
        <v>3895543.23</v>
      </c>
      <c r="V143" s="532"/>
      <c r="W143" s="532">
        <f t="shared" ref="W143" si="57">+S143-U143</f>
        <v>2428594.77</v>
      </c>
      <c r="X143" s="56"/>
      <c r="Y143" s="56"/>
    </row>
    <row r="144" spans="1:25" s="439" customFormat="1">
      <c r="A144" s="626"/>
      <c r="B144" s="630"/>
      <c r="C144" s="614"/>
      <c r="D144" s="615"/>
      <c r="E144" s="1132"/>
      <c r="F144" s="1321"/>
      <c r="G144" s="643"/>
      <c r="H144" s="603"/>
      <c r="I144" s="603"/>
      <c r="J144" s="626"/>
      <c r="K144" s="635"/>
      <c r="L144" s="635"/>
      <c r="M144" s="635"/>
      <c r="N144" s="635"/>
      <c r="O144" s="635"/>
      <c r="P144" s="635"/>
      <c r="Q144" s="635"/>
      <c r="R144" s="635"/>
      <c r="S144" s="532"/>
      <c r="T144" s="532"/>
      <c r="U144" s="532"/>
      <c r="V144" s="532"/>
      <c r="W144" s="532"/>
      <c r="X144" s="56"/>
      <c r="Y144" s="56"/>
    </row>
    <row r="145" spans="1:23" s="610" customFormat="1">
      <c r="A145" s="603"/>
      <c r="B145" s="603"/>
      <c r="C145" s="605"/>
      <c r="D145" s="615"/>
      <c r="E145" s="603"/>
      <c r="F145" s="1321"/>
      <c r="G145" s="643" t="s">
        <v>1327</v>
      </c>
      <c r="H145" s="603"/>
      <c r="I145" s="603"/>
      <c r="J145" s="603"/>
      <c r="K145" s="636">
        <f>SUM(K142:K143)</f>
        <v>30024709.149999999</v>
      </c>
      <c r="L145" s="636">
        <f t="shared" ref="L145:Q145" si="58">SUM(L142:L143)</f>
        <v>3162820</v>
      </c>
      <c r="M145" s="636">
        <f t="shared" si="58"/>
        <v>27050551.299999997</v>
      </c>
      <c r="N145" s="636">
        <f t="shared" si="58"/>
        <v>2193682.2000000002</v>
      </c>
      <c r="O145" s="636">
        <f t="shared" si="58"/>
        <v>15255181.6458</v>
      </c>
      <c r="P145" s="636">
        <f t="shared" si="58"/>
        <v>969138.46580000012</v>
      </c>
      <c r="Q145" s="636">
        <f t="shared" si="58"/>
        <v>14286043.180000002</v>
      </c>
      <c r="R145" s="636">
        <f>SUM(R142:R143)</f>
        <v>781320.74</v>
      </c>
      <c r="S145" s="645"/>
      <c r="U145" s="645"/>
      <c r="W145" s="645"/>
    </row>
    <row r="146" spans="1:23" s="610" customFormat="1">
      <c r="A146" s="603"/>
      <c r="B146" s="603"/>
      <c r="C146" s="605"/>
      <c r="D146" s="615"/>
      <c r="E146" s="603"/>
      <c r="F146" s="1321"/>
      <c r="G146" s="643"/>
      <c r="H146" s="603"/>
      <c r="I146" s="603"/>
      <c r="J146" s="603"/>
      <c r="K146" s="644"/>
      <c r="L146" s="644"/>
      <c r="M146" s="644"/>
      <c r="N146" s="644"/>
      <c r="O146" s="644"/>
      <c r="P146" s="644"/>
      <c r="Q146" s="644"/>
      <c r="R146" s="644"/>
      <c r="S146" s="645"/>
      <c r="U146" s="645"/>
      <c r="W146" s="645"/>
    </row>
    <row r="147" spans="1:23" s="610" customFormat="1" ht="18">
      <c r="A147" s="603"/>
      <c r="B147" s="603"/>
      <c r="C147" s="605"/>
      <c r="D147" s="605"/>
      <c r="E147" s="643">
        <v>25</v>
      </c>
      <c r="F147" s="1321"/>
      <c r="G147" s="607" t="s">
        <v>1328</v>
      </c>
      <c r="H147" s="603"/>
      <c r="I147" s="603"/>
      <c r="J147" s="603"/>
      <c r="K147" s="646">
        <f>K88+K94+K107+K122+K139+K145</f>
        <v>57457286.149999999</v>
      </c>
      <c r="L147" s="646">
        <f t="shared" ref="L147:R147" si="59">L88+L94+L107+L122+L139+L145</f>
        <v>20665476</v>
      </c>
      <c r="M147" s="646">
        <f t="shared" si="59"/>
        <v>36980472.299999997</v>
      </c>
      <c r="N147" s="646">
        <f t="shared" si="59"/>
        <v>2997932.2</v>
      </c>
      <c r="O147" s="646">
        <f t="shared" si="59"/>
        <v>39971173.625799999</v>
      </c>
      <c r="P147" s="646">
        <f t="shared" si="59"/>
        <v>17852236.615799997</v>
      </c>
      <c r="Q147" s="646">
        <f t="shared" si="59"/>
        <v>22118937.010000002</v>
      </c>
      <c r="R147" s="646">
        <f t="shared" si="59"/>
        <v>1493108.08</v>
      </c>
      <c r="S147" s="645">
        <f>S88+S94+S107+S122+S139</f>
        <v>13159832.369999999</v>
      </c>
      <c r="U147" s="645">
        <f>U88+U94+U107+U122+U139</f>
        <v>10459282.58</v>
      </c>
      <c r="W147" s="645">
        <f>W88+W94+W107+W122+W139</f>
        <v>2700549.79</v>
      </c>
    </row>
  </sheetData>
  <customSheetViews>
    <customSheetView guid="{343BF296-013A-41F5-BDAB-AD6220EA7F78}" scale="70" showPageBreaks="1" fitToPage="1" printArea="1" hiddenColumns="1" view="pageBreakPreview" topLeftCell="I1">
      <selection activeCell="D33" sqref="D33"/>
      <rowBreaks count="2" manualBreakCount="2">
        <brk id="75" min="4" max="22" man="1"/>
        <brk id="119" min="4" max="23" man="1"/>
      </rowBreaks>
      <pageMargins left="0" right="0" top="0" bottom="0" header="0" footer="0"/>
      <printOptions horizontalCentered="1"/>
      <pageSetup scale="37" fitToHeight="0" orientation="landscape" r:id="rId1"/>
      <headerFooter alignWithMargins="0"/>
    </customSheetView>
    <customSheetView guid="{B321D76C-CDE5-48BB-9CDE-80FF97D58FCF}" scale="70" showPageBreaks="1" fitToPage="1" printArea="1" hiddenColumns="1" view="pageBreakPreview" topLeftCell="I1">
      <selection activeCell="D33" sqref="D33"/>
      <rowBreaks count="2" manualBreakCount="2">
        <brk id="75" min="4" max="22" man="1"/>
        <brk id="119" min="4" max="23" man="1"/>
      </rowBreaks>
      <pageMargins left="0" right="0" top="0" bottom="0" header="0" footer="0"/>
      <printOptions horizontalCentered="1"/>
      <pageSetup scale="37" fitToHeight="0" orientation="landscape" r:id="rId2"/>
      <headerFooter alignWithMargins="0"/>
    </customSheetView>
  </customSheetViews>
  <mergeCells count="7">
    <mergeCell ref="K13:N13"/>
    <mergeCell ref="G4:Q4"/>
    <mergeCell ref="G5:Q5"/>
    <mergeCell ref="G6:Q6"/>
    <mergeCell ref="G8:Q8"/>
    <mergeCell ref="G9:Q9"/>
    <mergeCell ref="O13:R13"/>
  </mergeCells>
  <printOptions horizontalCentered="1"/>
  <pageMargins left="0.25" right="0.25" top="0.25" bottom="0.25" header="0" footer="0.5"/>
  <pageSetup scale="37" fitToHeight="2" orientation="landscape" r:id="rId3"/>
  <headerFooter alignWithMargins="0"/>
  <rowBreaks count="1" manualBreakCount="1">
    <brk id="76" min="4" max="23" man="1"/>
  </rowBreaks>
  <ignoredErrors>
    <ignoredError sqref="G10:R10 K13:R13" numberStoredAsText="1"/>
  </ignoredErrors>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rgb="FF0070C0"/>
  </sheetPr>
  <dimension ref="A1:N366"/>
  <sheetViews>
    <sheetView view="pageBreakPreview" topLeftCell="B1" zoomScale="70" zoomScaleNormal="90" zoomScaleSheetLayoutView="70" workbookViewId="0">
      <selection activeCell="J161" sqref="J161"/>
    </sheetView>
  </sheetViews>
  <sheetFormatPr defaultColWidth="8.109375" defaultRowHeight="15" outlineLevelRow="1"/>
  <cols>
    <col min="1" max="1" width="16.77734375" style="582" hidden="1" customWidth="1"/>
    <col min="2" max="2" width="8.109375" style="555"/>
    <col min="3" max="3" width="14.77734375" style="556" customWidth="1"/>
    <col min="4" max="4" width="40.77734375" style="555" customWidth="1"/>
    <col min="5" max="5" width="10.109375" style="556" customWidth="1"/>
    <col min="6" max="6" width="36.33203125" style="556" customWidth="1"/>
    <col min="7" max="7" width="19.33203125" style="556" customWidth="1"/>
    <col min="8" max="8" width="19.109375" style="556" bestFit="1" customWidth="1"/>
    <col min="9" max="9" width="19.33203125" style="556" bestFit="1" customWidth="1"/>
    <col min="10" max="10" width="16" style="556" customWidth="1"/>
    <col min="11" max="11" width="19.44140625" style="556" customWidth="1"/>
    <col min="12" max="12" width="19.109375" style="556" bestFit="1" customWidth="1"/>
    <col min="13" max="13" width="19.33203125" style="556" bestFit="1" customWidth="1"/>
    <col min="14" max="14" width="16" style="556" customWidth="1"/>
    <col min="15" max="16384" width="8.109375" style="556"/>
  </cols>
  <sheetData>
    <row r="1" spans="1:14" s="214" customFormat="1" ht="25.5" customHeight="1">
      <c r="A1" s="540"/>
      <c r="B1" s="541"/>
      <c r="C1" s="379"/>
      <c r="D1" s="126"/>
      <c r="E1" s="542"/>
      <c r="F1" s="542"/>
      <c r="G1" s="543"/>
      <c r="H1" s="60"/>
      <c r="I1" s="543"/>
      <c r="J1" s="543"/>
      <c r="K1" s="543"/>
      <c r="L1" s="543"/>
      <c r="M1" s="543"/>
      <c r="N1" s="543"/>
    </row>
    <row r="2" spans="1:14" s="216" customFormat="1" ht="17.399999999999999">
      <c r="A2" s="544"/>
      <c r="B2" s="545"/>
      <c r="C2" s="59"/>
      <c r="D2" s="382"/>
      <c r="E2" s="546"/>
      <c r="F2" s="382"/>
      <c r="G2" s="61"/>
      <c r="H2" s="61"/>
      <c r="I2" s="547"/>
      <c r="J2" s="547"/>
      <c r="K2" s="547"/>
      <c r="L2" s="547"/>
      <c r="M2" s="547"/>
      <c r="N2" s="547"/>
    </row>
    <row r="3" spans="1:14" s="216" customFormat="1" ht="17.399999999999999">
      <c r="A3" s="544"/>
      <c r="B3" s="545"/>
      <c r="C3" s="1505" t="s">
        <v>0</v>
      </c>
      <c r="D3" s="1505"/>
      <c r="E3" s="1505"/>
      <c r="F3" s="1505"/>
      <c r="G3" s="1505"/>
      <c r="H3" s="1505"/>
      <c r="I3" s="1505"/>
      <c r="J3" s="1505"/>
      <c r="K3" s="1505"/>
      <c r="L3" s="1505"/>
      <c r="M3" s="1505"/>
      <c r="N3" s="1279"/>
    </row>
    <row r="4" spans="1:14" s="216" customFormat="1" ht="17.399999999999999">
      <c r="A4" s="544"/>
      <c r="B4" s="545"/>
      <c r="C4" s="1505" t="s">
        <v>1</v>
      </c>
      <c r="D4" s="1505"/>
      <c r="E4" s="1505"/>
      <c r="F4" s="1505"/>
      <c r="G4" s="1505"/>
      <c r="H4" s="1505"/>
      <c r="I4" s="1505"/>
      <c r="J4" s="1505"/>
      <c r="K4" s="1505"/>
      <c r="L4" s="1505"/>
      <c r="M4" s="1505"/>
      <c r="N4" s="1279"/>
    </row>
    <row r="5" spans="1:14" s="216" customFormat="1" ht="17.399999999999999">
      <c r="A5" s="544"/>
      <c r="B5" s="545"/>
      <c r="C5" s="1464" t="str">
        <f>SUMMARY!A7</f>
        <v>YEAR ENDING DECEMBER 31, 2022</v>
      </c>
      <c r="D5" s="1464"/>
      <c r="E5" s="1464"/>
      <c r="F5" s="1464"/>
      <c r="G5" s="1464"/>
      <c r="H5" s="1464"/>
      <c r="I5" s="1464"/>
      <c r="J5" s="1464"/>
      <c r="K5" s="1464"/>
      <c r="L5" s="1464"/>
      <c r="M5" s="1464"/>
      <c r="N5" s="1265"/>
    </row>
    <row r="6" spans="1:14" s="216" customFormat="1" ht="12" customHeight="1">
      <c r="A6" s="544"/>
      <c r="B6" s="545"/>
      <c r="C6" s="382"/>
      <c r="D6" s="382"/>
      <c r="E6" s="548"/>
      <c r="F6" s="382"/>
      <c r="G6" s="61"/>
      <c r="H6" s="61"/>
      <c r="I6" s="547"/>
      <c r="J6" s="547"/>
      <c r="K6" s="547"/>
      <c r="L6" s="547"/>
      <c r="M6" s="547"/>
      <c r="N6" s="547"/>
    </row>
    <row r="7" spans="1:14" s="216" customFormat="1" ht="17.399999999999999">
      <c r="A7" s="544"/>
      <c r="B7" s="545"/>
      <c r="C7" s="1505" t="s">
        <v>1329</v>
      </c>
      <c r="D7" s="1505"/>
      <c r="E7" s="1505"/>
      <c r="F7" s="1505"/>
      <c r="G7" s="1505"/>
      <c r="H7" s="1505"/>
      <c r="I7" s="1505"/>
      <c r="J7" s="1505"/>
      <c r="K7" s="1505"/>
      <c r="L7" s="1505"/>
      <c r="M7" s="1505"/>
      <c r="N7" s="1279"/>
    </row>
    <row r="8" spans="1:14" s="216" customFormat="1" ht="17.399999999999999">
      <c r="A8" s="544"/>
      <c r="B8" s="545"/>
      <c r="C8" s="1505" t="s">
        <v>72</v>
      </c>
      <c r="D8" s="1505"/>
      <c r="E8" s="1505"/>
      <c r="F8" s="1505"/>
      <c r="G8" s="1505"/>
      <c r="H8" s="1505"/>
      <c r="I8" s="1505"/>
      <c r="J8" s="1505"/>
      <c r="K8" s="1505"/>
      <c r="L8" s="1505"/>
      <c r="M8" s="1505"/>
      <c r="N8" s="1279"/>
    </row>
    <row r="9" spans="1:14" s="2" customFormat="1">
      <c r="A9" s="43"/>
      <c r="B9" s="46"/>
      <c r="C9" s="46"/>
      <c r="D9" s="46"/>
      <c r="E9" s="105"/>
      <c r="F9" s="105"/>
      <c r="G9" s="29"/>
      <c r="H9" s="29"/>
      <c r="I9" s="29"/>
      <c r="J9" s="29"/>
      <c r="K9" s="29"/>
      <c r="L9" s="29"/>
      <c r="M9" s="29"/>
      <c r="N9" s="29"/>
    </row>
    <row r="10" spans="1:14" s="2" customFormat="1" ht="15.6">
      <c r="A10" s="43"/>
      <c r="B10" s="46"/>
      <c r="C10" s="46"/>
      <c r="D10" s="46"/>
      <c r="E10" s="105"/>
      <c r="F10" s="105"/>
      <c r="G10" s="1510" t="s">
        <v>1330</v>
      </c>
      <c r="H10" s="1511"/>
      <c r="I10" s="1511"/>
      <c r="J10" s="1511"/>
      <c r="K10" s="1510" t="s">
        <v>1238</v>
      </c>
      <c r="L10" s="1511"/>
      <c r="M10" s="1511"/>
      <c r="N10" s="1512"/>
    </row>
    <row r="11" spans="1:14" s="2" customFormat="1">
      <c r="A11" s="43"/>
      <c r="B11" s="46"/>
      <c r="C11" s="46"/>
      <c r="D11" s="46"/>
      <c r="E11" s="105"/>
      <c r="F11" s="105"/>
      <c r="G11" s="63"/>
      <c r="H11" s="63"/>
      <c r="I11" s="63"/>
      <c r="J11" s="63"/>
      <c r="K11" s="63"/>
      <c r="L11" s="63"/>
      <c r="M11" s="63"/>
      <c r="N11" s="63"/>
    </row>
    <row r="12" spans="1:14" s="2" customFormat="1" ht="15.6" thickBot="1">
      <c r="A12" s="43"/>
      <c r="B12" s="46"/>
      <c r="C12" s="64" t="s">
        <v>8</v>
      </c>
      <c r="D12" s="64" t="s">
        <v>9</v>
      </c>
      <c r="E12" s="64" t="s">
        <v>359</v>
      </c>
      <c r="F12" s="64" t="s">
        <v>360</v>
      </c>
      <c r="G12" s="64" t="s">
        <v>162</v>
      </c>
      <c r="H12" s="64" t="s">
        <v>163</v>
      </c>
      <c r="I12" s="64" t="s">
        <v>228</v>
      </c>
      <c r="J12" s="64" t="s">
        <v>361</v>
      </c>
      <c r="K12" s="64" t="s">
        <v>362</v>
      </c>
      <c r="L12" s="64" t="s">
        <v>363</v>
      </c>
      <c r="M12" s="64" t="s">
        <v>364</v>
      </c>
      <c r="N12" s="64" t="s">
        <v>869</v>
      </c>
    </row>
    <row r="13" spans="1:14" s="1165" customFormat="1" ht="46.5" customHeight="1">
      <c r="A13" s="44"/>
      <c r="B13" s="47"/>
      <c r="C13" s="47" t="s">
        <v>1331</v>
      </c>
      <c r="D13" s="47" t="s">
        <v>1332</v>
      </c>
      <c r="E13" s="385" t="s">
        <v>1333</v>
      </c>
      <c r="F13" s="385" t="s">
        <v>22</v>
      </c>
      <c r="G13" s="1389" t="s">
        <v>1334</v>
      </c>
      <c r="H13" s="1389" t="s">
        <v>1335</v>
      </c>
      <c r="I13" s="1389" t="s">
        <v>1336</v>
      </c>
      <c r="J13" s="1389" t="s">
        <v>1337</v>
      </c>
      <c r="K13" s="1389" t="s">
        <v>1334</v>
      </c>
      <c r="L13" s="1389" t="s">
        <v>1335</v>
      </c>
      <c r="M13" s="1389" t="s">
        <v>1338</v>
      </c>
      <c r="N13" s="1389" t="s">
        <v>1337</v>
      </c>
    </row>
    <row r="14" spans="1:14" s="1165" customFormat="1" ht="15.75" customHeight="1">
      <c r="A14" s="44"/>
      <c r="B14" s="47"/>
      <c r="C14" s="47"/>
      <c r="D14" s="47"/>
      <c r="E14" s="385"/>
      <c r="F14" s="385"/>
      <c r="G14" s="65"/>
      <c r="H14" s="65"/>
      <c r="I14" s="65"/>
      <c r="J14" s="65"/>
      <c r="K14" s="65"/>
      <c r="L14" s="65"/>
      <c r="M14" s="65"/>
      <c r="N14" s="65"/>
    </row>
    <row r="15" spans="1:14" s="1166" customFormat="1" ht="16.5" customHeight="1" thickBot="1">
      <c r="A15" s="45"/>
      <c r="B15" s="48"/>
      <c r="C15" s="386"/>
      <c r="D15" s="387"/>
      <c r="E15" s="388" t="s">
        <v>1339</v>
      </c>
      <c r="F15" s="388"/>
      <c r="G15" s="66"/>
      <c r="H15" s="66"/>
      <c r="I15" s="66"/>
      <c r="J15" s="66"/>
      <c r="K15" s="66"/>
      <c r="L15" s="66"/>
      <c r="M15" s="66"/>
      <c r="N15" s="66"/>
    </row>
    <row r="16" spans="1:14" s="1165" customFormat="1" ht="16.5" customHeight="1" outlineLevel="1">
      <c r="A16" s="44"/>
      <c r="B16" s="47"/>
      <c r="C16" s="389"/>
      <c r="D16" s="390"/>
      <c r="E16" s="385"/>
      <c r="F16" s="385"/>
      <c r="G16" s="65"/>
      <c r="H16" s="65"/>
      <c r="I16" s="65"/>
      <c r="J16" s="65"/>
      <c r="K16" s="65"/>
      <c r="L16" s="65"/>
      <c r="M16" s="65"/>
      <c r="N16" s="65"/>
    </row>
    <row r="17" spans="1:14" s="1166" customFormat="1" ht="16.5" customHeight="1" outlineLevel="1" thickBot="1">
      <c r="A17" s="45"/>
      <c r="B17" s="48">
        <v>1</v>
      </c>
      <c r="C17" s="386"/>
      <c r="D17" s="387"/>
      <c r="E17" s="388"/>
      <c r="F17" s="388" t="s">
        <v>1340</v>
      </c>
      <c r="G17" s="66"/>
      <c r="H17" s="66"/>
      <c r="I17" s="66"/>
      <c r="J17" s="66"/>
      <c r="K17" s="66"/>
      <c r="L17" s="66"/>
      <c r="M17" s="66"/>
      <c r="N17" s="66"/>
    </row>
    <row r="18" spans="1:14" s="1167" customFormat="1" ht="15.75" customHeight="1" outlineLevel="1">
      <c r="A18" s="549" t="str">
        <f>CONCATENATE(D18,E18,F18)</f>
        <v>BLENHEIM - GILBOA350Land &amp; Land Rights</v>
      </c>
      <c r="B18" s="550" t="s">
        <v>167</v>
      </c>
      <c r="C18" s="551" t="s">
        <v>220</v>
      </c>
      <c r="D18" s="552" t="s">
        <v>1122</v>
      </c>
      <c r="E18" s="551">
        <v>350</v>
      </c>
      <c r="F18" s="551" t="s">
        <v>1251</v>
      </c>
      <c r="G18" s="67">
        <v>2249581</v>
      </c>
      <c r="H18" s="67">
        <v>0</v>
      </c>
      <c r="I18" s="67">
        <v>2249581</v>
      </c>
      <c r="J18" s="67">
        <v>0</v>
      </c>
      <c r="K18" s="1411">
        <v>2249581</v>
      </c>
      <c r="L18" s="1411">
        <v>0</v>
      </c>
      <c r="M18" s="1411">
        <v>2249581</v>
      </c>
      <c r="N18" s="1411">
        <v>0</v>
      </c>
    </row>
    <row r="19" spans="1:14" s="1167" customFormat="1" ht="15.75" customHeight="1" outlineLevel="1">
      <c r="A19" s="549" t="str">
        <f t="shared" ref="A19:A83" si="0">CONCATENATE(D19,E19,F19)</f>
        <v>J. A. FITZPATRICK350Land &amp; Land Rights</v>
      </c>
      <c r="B19" s="550" t="s">
        <v>171</v>
      </c>
      <c r="C19" s="551" t="s">
        <v>220</v>
      </c>
      <c r="D19" s="552" t="s">
        <v>1184</v>
      </c>
      <c r="E19" s="551">
        <v>350</v>
      </c>
      <c r="F19" s="551" t="s">
        <v>1251</v>
      </c>
      <c r="G19" s="67">
        <v>0</v>
      </c>
      <c r="H19" s="67">
        <v>0</v>
      </c>
      <c r="I19" s="67">
        <v>0</v>
      </c>
      <c r="J19" s="67">
        <v>0</v>
      </c>
      <c r="K19" s="1411">
        <v>0</v>
      </c>
      <c r="L19" s="1411">
        <v>0</v>
      </c>
      <c r="M19" s="1411">
        <v>0</v>
      </c>
      <c r="N19" s="1411">
        <v>0</v>
      </c>
    </row>
    <row r="20" spans="1:14" s="1167" customFormat="1" ht="15.75" customHeight="1" outlineLevel="1">
      <c r="A20" s="549" t="str">
        <f t="shared" si="0"/>
        <v>LONG ISLAND SOUND CABLE350Land &amp; Land Rights</v>
      </c>
      <c r="B20" s="550" t="s">
        <v>174</v>
      </c>
      <c r="C20" s="551" t="s">
        <v>220</v>
      </c>
      <c r="D20" s="552" t="s">
        <v>1163</v>
      </c>
      <c r="E20" s="551">
        <v>350</v>
      </c>
      <c r="F20" s="551" t="s">
        <v>1251</v>
      </c>
      <c r="G20" s="67">
        <v>13469254</v>
      </c>
      <c r="H20" s="67">
        <v>0</v>
      </c>
      <c r="I20" s="67">
        <v>13469254</v>
      </c>
      <c r="J20" s="67">
        <v>0</v>
      </c>
      <c r="K20" s="1411">
        <v>13469254</v>
      </c>
      <c r="L20" s="1411">
        <v>0</v>
      </c>
      <c r="M20" s="1411">
        <v>13469254</v>
      </c>
      <c r="N20" s="1411">
        <v>0</v>
      </c>
    </row>
    <row r="21" spans="1:14" s="1167" customFormat="1" ht="15.75" customHeight="1" outlineLevel="1">
      <c r="A21" s="549" t="str">
        <f t="shared" si="0"/>
        <v>MARCY-SOUTH350Land &amp; Land Rights</v>
      </c>
      <c r="B21" s="550" t="s">
        <v>177</v>
      </c>
      <c r="C21" s="551" t="s">
        <v>220</v>
      </c>
      <c r="D21" s="552" t="s">
        <v>1125</v>
      </c>
      <c r="E21" s="551">
        <v>350</v>
      </c>
      <c r="F21" s="551" t="s">
        <v>1251</v>
      </c>
      <c r="G21" s="67">
        <v>22206093</v>
      </c>
      <c r="H21" s="67">
        <v>0</v>
      </c>
      <c r="I21" s="67">
        <v>22206093</v>
      </c>
      <c r="J21" s="67">
        <v>0</v>
      </c>
      <c r="K21" s="1411">
        <v>22206093</v>
      </c>
      <c r="L21" s="1411">
        <v>0</v>
      </c>
      <c r="M21" s="1411">
        <v>22206093</v>
      </c>
      <c r="N21" s="1411">
        <v>0</v>
      </c>
    </row>
    <row r="22" spans="1:14" s="1167" customFormat="1" ht="15.75" customHeight="1" outlineLevel="1">
      <c r="A22" s="549" t="str">
        <f t="shared" si="0"/>
        <v>MASSENA - MARCY  (Clark)350Land &amp; Land Rights</v>
      </c>
      <c r="B22" s="550" t="s">
        <v>237</v>
      </c>
      <c r="C22" s="551" t="s">
        <v>220</v>
      </c>
      <c r="D22" s="552" t="s">
        <v>1126</v>
      </c>
      <c r="E22" s="551">
        <v>350</v>
      </c>
      <c r="F22" s="551" t="s">
        <v>1251</v>
      </c>
      <c r="G22" s="67">
        <v>2668531</v>
      </c>
      <c r="H22" s="67">
        <v>0</v>
      </c>
      <c r="I22" s="67">
        <v>2668531</v>
      </c>
      <c r="J22" s="67">
        <v>0</v>
      </c>
      <c r="K22" s="1411">
        <v>2668531</v>
      </c>
      <c r="L22" s="1411">
        <v>0</v>
      </c>
      <c r="M22" s="1411">
        <v>2668531</v>
      </c>
      <c r="N22" s="1411">
        <v>0</v>
      </c>
    </row>
    <row r="23" spans="1:14" s="1167" customFormat="1" ht="15.75" customHeight="1" outlineLevel="1">
      <c r="A23" s="549" t="str">
        <f t="shared" si="0"/>
        <v>NIAGARA350Land &amp; Land Rights</v>
      </c>
      <c r="B23" s="550" t="s">
        <v>241</v>
      </c>
      <c r="C23" s="551" t="s">
        <v>220</v>
      </c>
      <c r="D23" s="552" t="s">
        <v>1127</v>
      </c>
      <c r="E23" s="551">
        <v>350</v>
      </c>
      <c r="F23" s="551" t="s">
        <v>1251</v>
      </c>
      <c r="G23" s="67">
        <v>5021928</v>
      </c>
      <c r="H23" s="67">
        <v>0</v>
      </c>
      <c r="I23" s="67">
        <v>5021928</v>
      </c>
      <c r="J23" s="67">
        <v>0</v>
      </c>
      <c r="K23" s="1411">
        <v>5021928.49</v>
      </c>
      <c r="L23" s="1411">
        <v>0</v>
      </c>
      <c r="M23" s="1411">
        <v>5021928.49</v>
      </c>
      <c r="N23" s="1411">
        <v>0</v>
      </c>
    </row>
    <row r="24" spans="1:14" s="1167" customFormat="1" ht="15.75" customHeight="1" outlineLevel="1">
      <c r="A24" s="549" t="str">
        <f t="shared" si="0"/>
        <v>St.  LAWRENCE / FDR350Land &amp; Land Rights</v>
      </c>
      <c r="B24" s="550" t="s">
        <v>246</v>
      </c>
      <c r="C24" s="551" t="s">
        <v>220</v>
      </c>
      <c r="D24" s="552" t="s">
        <v>1128</v>
      </c>
      <c r="E24" s="551">
        <v>350</v>
      </c>
      <c r="F24" s="551" t="s">
        <v>1251</v>
      </c>
      <c r="G24" s="67">
        <v>1740693</v>
      </c>
      <c r="H24" s="67">
        <v>0</v>
      </c>
      <c r="I24" s="67">
        <v>1740693</v>
      </c>
      <c r="J24" s="67">
        <v>0</v>
      </c>
      <c r="K24" s="1411">
        <v>1740693</v>
      </c>
      <c r="L24" s="1411">
        <v>0</v>
      </c>
      <c r="M24" s="1411">
        <v>1740693</v>
      </c>
      <c r="N24" s="1411">
        <v>0</v>
      </c>
    </row>
    <row r="25" spans="1:14" s="1167" customFormat="1" ht="15.75" customHeight="1" outlineLevel="1">
      <c r="A25" s="549" t="str">
        <f t="shared" si="0"/>
        <v>BLENHEIM - GILBOA389Land &amp; Land Rights</v>
      </c>
      <c r="B25" s="550" t="s">
        <v>249</v>
      </c>
      <c r="C25" s="551" t="s">
        <v>396</v>
      </c>
      <c r="D25" s="552" t="s">
        <v>1122</v>
      </c>
      <c r="E25" s="551">
        <v>389</v>
      </c>
      <c r="F25" s="551" t="s">
        <v>1251</v>
      </c>
      <c r="G25" s="67">
        <v>56835</v>
      </c>
      <c r="H25" s="67">
        <v>0</v>
      </c>
      <c r="I25" s="67">
        <v>56835</v>
      </c>
      <c r="J25" s="67">
        <v>0</v>
      </c>
      <c r="K25" s="1411">
        <v>56835</v>
      </c>
      <c r="L25" s="1411">
        <v>0</v>
      </c>
      <c r="M25" s="1411">
        <v>56835</v>
      </c>
      <c r="N25" s="1411">
        <v>0</v>
      </c>
    </row>
    <row r="26" spans="1:14" s="1167" customFormat="1" ht="15.75" customHeight="1" outlineLevel="1">
      <c r="A26" s="549" t="str">
        <f t="shared" si="0"/>
        <v>HEADQUARTERS389Land &amp; Land Rights</v>
      </c>
      <c r="B26" s="550" t="s">
        <v>253</v>
      </c>
      <c r="C26" s="551" t="s">
        <v>396</v>
      </c>
      <c r="D26" s="552" t="s">
        <v>1124</v>
      </c>
      <c r="E26" s="551">
        <v>389</v>
      </c>
      <c r="F26" s="551" t="s">
        <v>1251</v>
      </c>
      <c r="G26" s="67">
        <v>11300000</v>
      </c>
      <c r="H26" s="67">
        <v>0</v>
      </c>
      <c r="I26" s="67">
        <v>11300000</v>
      </c>
      <c r="J26" s="67">
        <v>0</v>
      </c>
      <c r="K26" s="1411">
        <v>11300000</v>
      </c>
      <c r="L26" s="1411">
        <v>0</v>
      </c>
      <c r="M26" s="1411">
        <v>11300000</v>
      </c>
      <c r="N26" s="1411">
        <v>0</v>
      </c>
    </row>
    <row r="27" spans="1:14" s="1167" customFormat="1" ht="15.75" customHeight="1" outlineLevel="1">
      <c r="A27" s="549" t="str">
        <f t="shared" si="0"/>
        <v>MASSENA - MARCY  (Clark)389Land &amp; Land Rights</v>
      </c>
      <c r="B27" s="550" t="s">
        <v>257</v>
      </c>
      <c r="C27" s="551" t="s">
        <v>396</v>
      </c>
      <c r="D27" s="552" t="s">
        <v>1126</v>
      </c>
      <c r="E27" s="551">
        <v>389</v>
      </c>
      <c r="F27" s="551" t="s">
        <v>1251</v>
      </c>
      <c r="G27" s="67">
        <v>75936</v>
      </c>
      <c r="H27" s="67">
        <v>0</v>
      </c>
      <c r="I27" s="67">
        <v>75936</v>
      </c>
      <c r="J27" s="67">
        <v>0</v>
      </c>
      <c r="K27" s="1411">
        <v>75936</v>
      </c>
      <c r="L27" s="1411">
        <v>0</v>
      </c>
      <c r="M27" s="1411">
        <v>75936</v>
      </c>
      <c r="N27" s="1411">
        <v>0</v>
      </c>
    </row>
    <row r="28" spans="1:14" s="1167" customFormat="1" ht="15.75" customHeight="1" outlineLevel="1">
      <c r="A28" s="549" t="str">
        <f t="shared" si="0"/>
        <v>NIAGARA389Land &amp; Land Rights</v>
      </c>
      <c r="B28" s="550" t="s">
        <v>261</v>
      </c>
      <c r="C28" s="551" t="s">
        <v>396</v>
      </c>
      <c r="D28" s="552" t="s">
        <v>1127</v>
      </c>
      <c r="E28" s="551">
        <v>389</v>
      </c>
      <c r="F28" s="551" t="s">
        <v>1251</v>
      </c>
      <c r="G28" s="67">
        <v>150246</v>
      </c>
      <c r="H28" s="67">
        <v>0</v>
      </c>
      <c r="I28" s="67">
        <v>150246</v>
      </c>
      <c r="J28" s="67">
        <v>0</v>
      </c>
      <c r="K28" s="1411">
        <v>150246</v>
      </c>
      <c r="L28" s="1411">
        <v>0</v>
      </c>
      <c r="M28" s="1411">
        <v>150246</v>
      </c>
      <c r="N28" s="1411">
        <v>0</v>
      </c>
    </row>
    <row r="29" spans="1:14" s="1167" customFormat="1" ht="15.75" customHeight="1" outlineLevel="1">
      <c r="A29" s="549" t="str">
        <f t="shared" si="0"/>
        <v>St.  LAWRENCE / FDR389Land &amp; Land Rights</v>
      </c>
      <c r="B29" s="550" t="s">
        <v>265</v>
      </c>
      <c r="C29" s="551" t="s">
        <v>396</v>
      </c>
      <c r="D29" s="552" t="s">
        <v>1128</v>
      </c>
      <c r="E29" s="551">
        <v>389</v>
      </c>
      <c r="F29" s="551" t="s">
        <v>1251</v>
      </c>
      <c r="G29" s="67">
        <v>6858</v>
      </c>
      <c r="H29" s="67">
        <v>0</v>
      </c>
      <c r="I29" s="67">
        <v>6858</v>
      </c>
      <c r="J29" s="67">
        <v>0</v>
      </c>
      <c r="K29" s="1411">
        <v>6858</v>
      </c>
      <c r="L29" s="1411">
        <v>0</v>
      </c>
      <c r="M29" s="1411">
        <v>6858</v>
      </c>
      <c r="N29" s="1411">
        <v>0</v>
      </c>
    </row>
    <row r="30" spans="1:14" s="1167" customFormat="1" ht="15.75" customHeight="1" outlineLevel="1">
      <c r="A30" s="549" t="str">
        <f t="shared" si="0"/>
        <v>Jarvis389Land &amp; Land Rights</v>
      </c>
      <c r="B30" s="550" t="s">
        <v>273</v>
      </c>
      <c r="C30" s="551" t="s">
        <v>396</v>
      </c>
      <c r="D30" s="552" t="s">
        <v>954</v>
      </c>
      <c r="E30" s="551">
        <v>389</v>
      </c>
      <c r="F30" s="551" t="s">
        <v>1251</v>
      </c>
      <c r="G30" s="67">
        <v>8000</v>
      </c>
      <c r="H30" s="67">
        <v>0</v>
      </c>
      <c r="I30" s="67">
        <v>8000</v>
      </c>
      <c r="J30" s="67">
        <v>0</v>
      </c>
      <c r="K30" s="1411">
        <v>8000</v>
      </c>
      <c r="L30" s="1411">
        <v>0</v>
      </c>
      <c r="M30" s="1411">
        <v>8000</v>
      </c>
      <c r="N30" s="1411">
        <v>0</v>
      </c>
    </row>
    <row r="31" spans="1:14" s="1167" customFormat="1" ht="15.75" customHeight="1" outlineLevel="1">
      <c r="A31" s="549" t="str">
        <f t="shared" si="0"/>
        <v>POLETTI  (Astoria)389Land &amp; Land Rights</v>
      </c>
      <c r="B31" s="550" t="s">
        <v>270</v>
      </c>
      <c r="C31" s="551" t="s">
        <v>396</v>
      </c>
      <c r="D31" s="552" t="s">
        <v>1256</v>
      </c>
      <c r="E31" s="551">
        <v>389</v>
      </c>
      <c r="F31" s="551" t="s">
        <v>1251</v>
      </c>
      <c r="G31" s="67">
        <v>13816</v>
      </c>
      <c r="H31" s="67">
        <v>0</v>
      </c>
      <c r="I31" s="67">
        <v>13816</v>
      </c>
      <c r="J31" s="67">
        <v>0</v>
      </c>
      <c r="K31" s="1411">
        <v>13816</v>
      </c>
      <c r="L31" s="1411">
        <v>0</v>
      </c>
      <c r="M31" s="1411">
        <v>13816</v>
      </c>
      <c r="N31" s="1411">
        <v>0</v>
      </c>
    </row>
    <row r="32" spans="1:14" s="1167" customFormat="1" ht="15.75" customHeight="1" outlineLevel="1">
      <c r="A32" s="549" t="str">
        <f t="shared" si="0"/>
        <v>Astoria 2 (AE-II) Substation350Land &amp; Land Rights</v>
      </c>
      <c r="B32" s="550" t="s">
        <v>640</v>
      </c>
      <c r="C32" s="551" t="s">
        <v>220</v>
      </c>
      <c r="D32" s="552" t="s">
        <v>1250</v>
      </c>
      <c r="E32" s="551">
        <v>350</v>
      </c>
      <c r="F32" s="551" t="s">
        <v>1251</v>
      </c>
      <c r="G32" s="67">
        <v>0</v>
      </c>
      <c r="H32" s="67">
        <v>0</v>
      </c>
      <c r="I32" s="67">
        <v>0</v>
      </c>
      <c r="J32" s="67">
        <v>0</v>
      </c>
      <c r="K32" s="1411">
        <v>0</v>
      </c>
      <c r="L32" s="1411">
        <v>0</v>
      </c>
      <c r="M32" s="1411">
        <v>0</v>
      </c>
      <c r="N32" s="1411">
        <v>0</v>
      </c>
    </row>
    <row r="33" spans="1:14" s="1167" customFormat="1" ht="15.75" customHeight="1" outlineLevel="1">
      <c r="A33" s="549" t="str">
        <f t="shared" si="0"/>
        <v>POLETTI  (Astoria)350Land &amp; Land Rights</v>
      </c>
      <c r="B33" s="550" t="s">
        <v>1006</v>
      </c>
      <c r="C33" s="551" t="s">
        <v>220</v>
      </c>
      <c r="D33" s="552" t="s">
        <v>1256</v>
      </c>
      <c r="E33" s="551">
        <v>350</v>
      </c>
      <c r="F33" s="551" t="s">
        <v>1251</v>
      </c>
      <c r="G33" s="67">
        <v>981</v>
      </c>
      <c r="H33" s="67">
        <v>0</v>
      </c>
      <c r="I33" s="67">
        <v>981</v>
      </c>
      <c r="J33" s="67">
        <v>0</v>
      </c>
      <c r="K33" s="1411">
        <v>981</v>
      </c>
      <c r="L33" s="1411">
        <v>0</v>
      </c>
      <c r="M33" s="1411">
        <v>981</v>
      </c>
      <c r="N33" s="1411">
        <v>0</v>
      </c>
    </row>
    <row r="34" spans="1:14" s="1167" customFormat="1" ht="15.75" customHeight="1" outlineLevel="1">
      <c r="A34" s="549" t="str">
        <f>CONCATENATE(D34,E34,F34)</f>
        <v>MASSENA - MARCY  (Clark)350Land &amp; Land Rights - Pathnode Substation WF</v>
      </c>
      <c r="B34" s="550" t="s">
        <v>1008</v>
      </c>
      <c r="C34" s="551" t="s">
        <v>220</v>
      </c>
      <c r="D34" s="552" t="s">
        <v>1126</v>
      </c>
      <c r="E34" s="551">
        <v>350</v>
      </c>
      <c r="F34" s="551" t="s">
        <v>1341</v>
      </c>
      <c r="G34" s="67">
        <v>20962</v>
      </c>
      <c r="H34" s="67">
        <v>0</v>
      </c>
      <c r="I34" s="67">
        <v>20962</v>
      </c>
      <c r="J34" s="67">
        <v>0</v>
      </c>
      <c r="K34" s="1411">
        <v>20962</v>
      </c>
      <c r="L34" s="1411">
        <v>0</v>
      </c>
      <c r="M34" s="1411">
        <v>20962</v>
      </c>
      <c r="N34" s="1411">
        <v>0</v>
      </c>
    </row>
    <row r="35" spans="1:14" s="1167" customFormat="1" ht="15.75" customHeight="1" outlineLevel="1">
      <c r="A35" s="549" t="str">
        <f t="shared" si="0"/>
        <v>500mW C - C at Astoria340Land &amp; Land Rights</v>
      </c>
      <c r="B35" s="550" t="s">
        <v>1010</v>
      </c>
      <c r="C35" s="551" t="s">
        <v>1342</v>
      </c>
      <c r="D35" s="552" t="s">
        <v>1247</v>
      </c>
      <c r="E35" s="551">
        <v>340</v>
      </c>
      <c r="F35" s="551" t="s">
        <v>1251</v>
      </c>
      <c r="G35" s="67">
        <v>1080216</v>
      </c>
      <c r="H35" s="67">
        <v>0</v>
      </c>
      <c r="I35" s="67">
        <v>1080216</v>
      </c>
      <c r="J35" s="67">
        <v>0</v>
      </c>
      <c r="K35" s="1411">
        <v>1080216</v>
      </c>
      <c r="L35" s="1411">
        <v>0</v>
      </c>
      <c r="M35" s="1411">
        <v>1080216</v>
      </c>
      <c r="N35" s="1411">
        <v>0</v>
      </c>
    </row>
    <row r="36" spans="1:14" s="1167" customFormat="1" ht="15.75" customHeight="1" outlineLevel="1">
      <c r="A36" s="549" t="str">
        <f t="shared" si="0"/>
        <v>ASHOKAN / KENSICO330Land &amp; Land Rights</v>
      </c>
      <c r="B36" s="550" t="s">
        <v>1012</v>
      </c>
      <c r="C36" s="551" t="s">
        <v>1342</v>
      </c>
      <c r="D36" s="552" t="s">
        <v>1343</v>
      </c>
      <c r="E36" s="551">
        <v>330</v>
      </c>
      <c r="F36" s="551" t="s">
        <v>1251</v>
      </c>
      <c r="G36" s="67">
        <v>1205</v>
      </c>
      <c r="H36" s="67">
        <v>0</v>
      </c>
      <c r="I36" s="67">
        <v>1205</v>
      </c>
      <c r="J36" s="67">
        <v>0</v>
      </c>
      <c r="K36" s="1411">
        <v>1205</v>
      </c>
      <c r="L36" s="1411">
        <v>0</v>
      </c>
      <c r="M36" s="1411">
        <v>1205</v>
      </c>
      <c r="N36" s="1411">
        <v>0</v>
      </c>
    </row>
    <row r="37" spans="1:14" s="1167" customFormat="1" ht="15.75" customHeight="1" outlineLevel="1">
      <c r="A37" s="549" t="str">
        <f t="shared" si="0"/>
        <v>BLENHEIM - GILBOA330Land &amp; Land Rights</v>
      </c>
      <c r="B37" s="550" t="s">
        <v>1014</v>
      </c>
      <c r="C37" s="551" t="s">
        <v>1342</v>
      </c>
      <c r="D37" s="552" t="s">
        <v>1122</v>
      </c>
      <c r="E37" s="551">
        <v>330</v>
      </c>
      <c r="F37" s="551" t="s">
        <v>1251</v>
      </c>
      <c r="G37" s="67">
        <v>523743</v>
      </c>
      <c r="H37" s="67">
        <v>0</v>
      </c>
      <c r="I37" s="67">
        <v>523743</v>
      </c>
      <c r="J37" s="67">
        <v>0</v>
      </c>
      <c r="K37" s="1411">
        <v>523743</v>
      </c>
      <c r="L37" s="1411">
        <v>0</v>
      </c>
      <c r="M37" s="1411">
        <v>523743</v>
      </c>
      <c r="N37" s="1411">
        <v>0</v>
      </c>
    </row>
    <row r="38" spans="1:14" s="1167" customFormat="1" ht="15.75" customHeight="1" outlineLevel="1">
      <c r="A38" s="549" t="str">
        <f t="shared" si="0"/>
        <v>BRENTWOOD  (Long Island)340Land &amp; Land Rights</v>
      </c>
      <c r="B38" s="550" t="s">
        <v>1016</v>
      </c>
      <c r="C38" s="551" t="s">
        <v>1342</v>
      </c>
      <c r="D38" s="552" t="s">
        <v>1263</v>
      </c>
      <c r="E38" s="551">
        <v>340</v>
      </c>
      <c r="F38" s="551" t="s">
        <v>1251</v>
      </c>
      <c r="G38" s="67">
        <v>1030830</v>
      </c>
      <c r="H38" s="67">
        <v>0</v>
      </c>
      <c r="I38" s="67">
        <v>1030830</v>
      </c>
      <c r="J38" s="67">
        <v>0</v>
      </c>
      <c r="K38" s="1411">
        <v>1030830</v>
      </c>
      <c r="L38" s="1411">
        <v>0</v>
      </c>
      <c r="M38" s="1411">
        <v>1030830</v>
      </c>
      <c r="N38" s="1411">
        <v>0</v>
      </c>
    </row>
    <row r="39" spans="1:14" s="1167" customFormat="1" ht="15.75" customHeight="1" outlineLevel="1">
      <c r="A39" s="549" t="str">
        <f t="shared" si="0"/>
        <v>Crescent330Land &amp; Land Rights</v>
      </c>
      <c r="B39" s="550" t="s">
        <v>1018</v>
      </c>
      <c r="C39" s="551" t="s">
        <v>1342</v>
      </c>
      <c r="D39" s="552" t="s">
        <v>955</v>
      </c>
      <c r="E39" s="551">
        <v>330</v>
      </c>
      <c r="F39" s="551" t="s">
        <v>1251</v>
      </c>
      <c r="G39" s="67">
        <v>5402065</v>
      </c>
      <c r="H39" s="67">
        <v>0</v>
      </c>
      <c r="I39" s="67">
        <v>5402065</v>
      </c>
      <c r="J39" s="67">
        <v>0</v>
      </c>
      <c r="K39" s="1411">
        <v>5402065</v>
      </c>
      <c r="L39" s="1411">
        <v>0</v>
      </c>
      <c r="M39" s="1411">
        <v>5402065</v>
      </c>
      <c r="N39" s="1411">
        <v>0</v>
      </c>
    </row>
    <row r="40" spans="1:14" s="1167" customFormat="1" ht="15.75" customHeight="1" outlineLevel="1">
      <c r="A40" s="549" t="str">
        <f t="shared" si="0"/>
        <v>FLYNN  (Holtsville)340Land &amp; Land Rights</v>
      </c>
      <c r="B40" s="550" t="s">
        <v>1020</v>
      </c>
      <c r="C40" s="551" t="s">
        <v>1342</v>
      </c>
      <c r="D40" s="552" t="s">
        <v>1254</v>
      </c>
      <c r="E40" s="551">
        <v>340</v>
      </c>
      <c r="F40" s="551" t="s">
        <v>1251</v>
      </c>
      <c r="G40" s="67">
        <v>5923685</v>
      </c>
      <c r="H40" s="67">
        <v>0</v>
      </c>
      <c r="I40" s="67">
        <v>5923685</v>
      </c>
      <c r="J40" s="67">
        <v>0</v>
      </c>
      <c r="K40" s="1411">
        <v>5923685.3399999999</v>
      </c>
      <c r="L40" s="1411">
        <v>0</v>
      </c>
      <c r="M40" s="1411">
        <v>5923685.3399999999</v>
      </c>
      <c r="N40" s="1411">
        <v>0</v>
      </c>
    </row>
    <row r="41" spans="1:14" s="1167" customFormat="1" ht="15.75" customHeight="1" outlineLevel="1">
      <c r="A41" s="549" t="str">
        <f t="shared" si="0"/>
        <v>GOWANUS  (Brooklyn)340Land &amp; Land Rights</v>
      </c>
      <c r="B41" s="550" t="s">
        <v>1022</v>
      </c>
      <c r="C41" s="551" t="s">
        <v>1342</v>
      </c>
      <c r="D41" s="552" t="s">
        <v>1265</v>
      </c>
      <c r="E41" s="551">
        <v>340</v>
      </c>
      <c r="F41" s="551" t="s">
        <v>1251</v>
      </c>
      <c r="G41" s="67">
        <v>6512971</v>
      </c>
      <c r="H41" s="67">
        <v>0</v>
      </c>
      <c r="I41" s="67">
        <v>6512971</v>
      </c>
      <c r="J41" s="67">
        <v>0</v>
      </c>
      <c r="K41" s="1411">
        <v>6512971</v>
      </c>
      <c r="L41" s="1411">
        <v>0</v>
      </c>
      <c r="M41" s="1411">
        <v>6512971</v>
      </c>
      <c r="N41" s="1411">
        <v>0</v>
      </c>
    </row>
    <row r="42" spans="1:14" s="1167" customFormat="1" ht="15.75" customHeight="1" outlineLevel="1">
      <c r="A42" s="549" t="str">
        <f t="shared" si="0"/>
        <v>HARLEM RIVER YARDS  (Bronx)340Land &amp; Land Rights</v>
      </c>
      <c r="B42" s="550" t="s">
        <v>1024</v>
      </c>
      <c r="C42" s="551" t="s">
        <v>1342</v>
      </c>
      <c r="D42" s="552" t="s">
        <v>1267</v>
      </c>
      <c r="E42" s="551">
        <v>340</v>
      </c>
      <c r="F42" s="551" t="s">
        <v>1251</v>
      </c>
      <c r="G42" s="67">
        <v>5846605</v>
      </c>
      <c r="H42" s="67">
        <v>0</v>
      </c>
      <c r="I42" s="67">
        <v>5846605</v>
      </c>
      <c r="J42" s="67">
        <v>0</v>
      </c>
      <c r="K42" s="1411">
        <v>5846605</v>
      </c>
      <c r="L42" s="1411">
        <v>0</v>
      </c>
      <c r="M42" s="1411">
        <v>5846605</v>
      </c>
      <c r="N42" s="1411">
        <v>0</v>
      </c>
    </row>
    <row r="43" spans="1:14" s="1167" customFormat="1" ht="15.75" customHeight="1" outlineLevel="1">
      <c r="A43" s="549" t="str">
        <f t="shared" si="0"/>
        <v>HELLGATE  (Bronx)340Land &amp; Land Rights</v>
      </c>
      <c r="B43" s="550" t="s">
        <v>1026</v>
      </c>
      <c r="C43" s="551" t="s">
        <v>1342</v>
      </c>
      <c r="D43" s="552" t="s">
        <v>1269</v>
      </c>
      <c r="E43" s="551">
        <v>340</v>
      </c>
      <c r="F43" s="551" t="s">
        <v>1251</v>
      </c>
      <c r="G43" s="67">
        <v>5079808</v>
      </c>
      <c r="H43" s="67">
        <v>0</v>
      </c>
      <c r="I43" s="67">
        <v>5079808</v>
      </c>
      <c r="J43" s="67">
        <v>0</v>
      </c>
      <c r="K43" s="1411">
        <v>5079808</v>
      </c>
      <c r="L43" s="1411">
        <v>0</v>
      </c>
      <c r="M43" s="1411">
        <v>5079808</v>
      </c>
      <c r="N43" s="1411">
        <v>0</v>
      </c>
    </row>
    <row r="44" spans="1:14" s="1167" customFormat="1" ht="15.75" customHeight="1" outlineLevel="1">
      <c r="A44" s="549" t="str">
        <f t="shared" si="0"/>
        <v>Jarvis330Land &amp; Land Rights</v>
      </c>
      <c r="B44" s="550" t="s">
        <v>1028</v>
      </c>
      <c r="C44" s="551" t="s">
        <v>1342</v>
      </c>
      <c r="D44" s="552" t="s">
        <v>954</v>
      </c>
      <c r="E44" s="551">
        <v>330</v>
      </c>
      <c r="F44" s="551" t="s">
        <v>1251</v>
      </c>
      <c r="G44" s="67">
        <v>450172</v>
      </c>
      <c r="H44" s="67">
        <v>0</v>
      </c>
      <c r="I44" s="67">
        <v>450172</v>
      </c>
      <c r="J44" s="67">
        <v>0</v>
      </c>
      <c r="K44" s="1411">
        <v>450172</v>
      </c>
      <c r="L44" s="1411">
        <v>0</v>
      </c>
      <c r="M44" s="1411">
        <v>450172</v>
      </c>
      <c r="N44" s="1411">
        <v>0</v>
      </c>
    </row>
    <row r="45" spans="1:14" s="1167" customFormat="1" ht="15.75" customHeight="1" outlineLevel="1">
      <c r="A45" s="549" t="str">
        <f t="shared" si="0"/>
        <v>Kensico330Land &amp; Land Rights</v>
      </c>
      <c r="B45" s="550" t="s">
        <v>1030</v>
      </c>
      <c r="C45" s="551" t="s">
        <v>1342</v>
      </c>
      <c r="D45" s="552" t="s">
        <v>958</v>
      </c>
      <c r="E45" s="551">
        <v>330</v>
      </c>
      <c r="F45" s="551" t="s">
        <v>1251</v>
      </c>
      <c r="G45" s="67">
        <v>0</v>
      </c>
      <c r="H45" s="67">
        <v>0</v>
      </c>
      <c r="I45" s="67">
        <v>0</v>
      </c>
      <c r="J45" s="67">
        <v>0</v>
      </c>
      <c r="K45" s="1411">
        <v>0</v>
      </c>
      <c r="L45" s="1411">
        <v>0</v>
      </c>
      <c r="M45" s="1411">
        <v>0</v>
      </c>
      <c r="N45" s="1411">
        <v>0</v>
      </c>
    </row>
    <row r="46" spans="1:14" s="1167" customFormat="1" ht="15.75" customHeight="1" outlineLevel="1">
      <c r="A46" s="549" t="str">
        <f t="shared" si="0"/>
        <v>KENT  (Brooklyn)340Land &amp; Land Rights</v>
      </c>
      <c r="B46" s="550" t="s">
        <v>1032</v>
      </c>
      <c r="C46" s="551" t="s">
        <v>1342</v>
      </c>
      <c r="D46" s="552" t="s">
        <v>1271</v>
      </c>
      <c r="E46" s="551">
        <v>340</v>
      </c>
      <c r="F46" s="551" t="s">
        <v>1251</v>
      </c>
      <c r="G46" s="67">
        <v>4215782</v>
      </c>
      <c r="H46" s="67">
        <v>0</v>
      </c>
      <c r="I46" s="67">
        <v>4215782</v>
      </c>
      <c r="J46" s="67">
        <v>0</v>
      </c>
      <c r="K46" s="1411">
        <v>4215782</v>
      </c>
      <c r="L46" s="1411">
        <v>0</v>
      </c>
      <c r="M46" s="1411">
        <v>4215782</v>
      </c>
      <c r="N46" s="1411">
        <v>0</v>
      </c>
    </row>
    <row r="47" spans="1:14" s="1167" customFormat="1" ht="15.75" customHeight="1" outlineLevel="1">
      <c r="A47" s="549" t="str">
        <f t="shared" si="0"/>
        <v>NIAGARA330Land &amp; Land Rights</v>
      </c>
      <c r="B47" s="550" t="s">
        <v>1034</v>
      </c>
      <c r="C47" s="551" t="s">
        <v>1342</v>
      </c>
      <c r="D47" s="552" t="s">
        <v>1127</v>
      </c>
      <c r="E47" s="551">
        <v>330</v>
      </c>
      <c r="F47" s="551" t="s">
        <v>1251</v>
      </c>
      <c r="G47" s="67">
        <v>53450991</v>
      </c>
      <c r="H47" s="67">
        <v>0</v>
      </c>
      <c r="I47" s="67">
        <v>53450991</v>
      </c>
      <c r="J47" s="67">
        <v>0</v>
      </c>
      <c r="K47" s="1411">
        <v>53450991.250000007</v>
      </c>
      <c r="L47" s="1411">
        <v>0</v>
      </c>
      <c r="M47" s="1411">
        <v>53450991.250000007</v>
      </c>
      <c r="N47" s="1411">
        <v>0</v>
      </c>
    </row>
    <row r="48" spans="1:14" s="1167" customFormat="1" ht="15.75" customHeight="1" outlineLevel="1">
      <c r="A48" s="549" t="str">
        <f t="shared" si="0"/>
        <v>POLETTI  (Astoria)310Land &amp; Land Rights</v>
      </c>
      <c r="B48" s="550" t="s">
        <v>1036</v>
      </c>
      <c r="C48" s="551" t="s">
        <v>1342</v>
      </c>
      <c r="D48" s="552" t="s">
        <v>1256</v>
      </c>
      <c r="E48" s="551">
        <v>310</v>
      </c>
      <c r="F48" s="551" t="s">
        <v>1251</v>
      </c>
      <c r="G48" s="67">
        <v>729549</v>
      </c>
      <c r="H48" s="67">
        <v>0</v>
      </c>
      <c r="I48" s="67">
        <v>729549</v>
      </c>
      <c r="J48" s="67">
        <v>0</v>
      </c>
      <c r="K48" s="1411">
        <v>729549</v>
      </c>
      <c r="L48" s="1411">
        <v>0</v>
      </c>
      <c r="M48" s="1411">
        <v>729549</v>
      </c>
      <c r="N48" s="1411">
        <v>0</v>
      </c>
    </row>
    <row r="49" spans="1:14" s="1167" customFormat="1" ht="15.75" customHeight="1" outlineLevel="1">
      <c r="A49" s="549" t="str">
        <f t="shared" si="0"/>
        <v>POUCH TERMINAL  (Richmond)340Land &amp; Land Rights</v>
      </c>
      <c r="B49" s="550" t="s">
        <v>1038</v>
      </c>
      <c r="C49" s="551" t="s">
        <v>1342</v>
      </c>
      <c r="D49" s="552" t="s">
        <v>1273</v>
      </c>
      <c r="E49" s="551">
        <v>340</v>
      </c>
      <c r="F49" s="551" t="s">
        <v>1251</v>
      </c>
      <c r="G49" s="67">
        <v>950605</v>
      </c>
      <c r="H49" s="67">
        <v>0</v>
      </c>
      <c r="I49" s="67">
        <v>950605</v>
      </c>
      <c r="J49" s="67">
        <v>0</v>
      </c>
      <c r="K49" s="1411">
        <v>950605</v>
      </c>
      <c r="L49" s="1411">
        <v>0</v>
      </c>
      <c r="M49" s="1411">
        <v>950605</v>
      </c>
      <c r="N49" s="1411">
        <v>0</v>
      </c>
    </row>
    <row r="50" spans="1:14" s="1167" customFormat="1" ht="15.75" customHeight="1" outlineLevel="1">
      <c r="A50" s="549" t="str">
        <f t="shared" si="0"/>
        <v>St.  LAWRENCE / FDR330Land &amp; Land Rights</v>
      </c>
      <c r="B50" s="550" t="s">
        <v>1040</v>
      </c>
      <c r="C50" s="551" t="s">
        <v>1342</v>
      </c>
      <c r="D50" s="552" t="s">
        <v>1128</v>
      </c>
      <c r="E50" s="551">
        <v>330</v>
      </c>
      <c r="F50" s="551" t="s">
        <v>1251</v>
      </c>
      <c r="G50" s="67">
        <v>217672</v>
      </c>
      <c r="H50" s="67">
        <v>0</v>
      </c>
      <c r="I50" s="67">
        <v>217672</v>
      </c>
      <c r="J50" s="67">
        <v>0</v>
      </c>
      <c r="K50" s="1411">
        <v>217672</v>
      </c>
      <c r="L50" s="1411">
        <v>0</v>
      </c>
      <c r="M50" s="1411">
        <v>217672</v>
      </c>
      <c r="N50" s="1411">
        <v>0</v>
      </c>
    </row>
    <row r="51" spans="1:14" s="1167" customFormat="1" ht="15.75" customHeight="1" outlineLevel="1">
      <c r="A51" s="549" t="str">
        <f t="shared" si="0"/>
        <v>VERNON BOULEVARD  (Queens)340Land &amp; Land Rights</v>
      </c>
      <c r="B51" s="550" t="s">
        <v>1042</v>
      </c>
      <c r="C51" s="551" t="s">
        <v>1342</v>
      </c>
      <c r="D51" s="552" t="s">
        <v>1275</v>
      </c>
      <c r="E51" s="551">
        <v>340</v>
      </c>
      <c r="F51" s="551" t="s">
        <v>1251</v>
      </c>
      <c r="G51" s="67">
        <v>6968605</v>
      </c>
      <c r="H51" s="67">
        <v>0</v>
      </c>
      <c r="I51" s="67">
        <v>6968605</v>
      </c>
      <c r="J51" s="67">
        <v>0</v>
      </c>
      <c r="K51" s="1411">
        <v>6968605</v>
      </c>
      <c r="L51" s="1411">
        <v>0</v>
      </c>
      <c r="M51" s="1411">
        <v>6968605</v>
      </c>
      <c r="N51" s="1411">
        <v>0</v>
      </c>
    </row>
    <row r="52" spans="1:14" s="1167" customFormat="1" ht="15.75" customHeight="1" outlineLevel="1">
      <c r="A52" s="549" t="str">
        <f t="shared" si="0"/>
        <v>Vischer Ferry330Land &amp; Land Rights</v>
      </c>
      <c r="B52" s="550" t="s">
        <v>1043</v>
      </c>
      <c r="C52" s="551" t="s">
        <v>1342</v>
      </c>
      <c r="D52" s="552" t="s">
        <v>956</v>
      </c>
      <c r="E52" s="551">
        <v>330</v>
      </c>
      <c r="F52" s="551" t="s">
        <v>1251</v>
      </c>
      <c r="G52" s="67">
        <v>6518668</v>
      </c>
      <c r="H52" s="67">
        <v>0</v>
      </c>
      <c r="I52" s="67">
        <v>6518668</v>
      </c>
      <c r="J52" s="67">
        <v>0</v>
      </c>
      <c r="K52" s="1411">
        <v>6518668</v>
      </c>
      <c r="L52" s="1411">
        <v>0</v>
      </c>
      <c r="M52" s="1411">
        <v>6518668</v>
      </c>
      <c r="N52" s="1411">
        <v>0</v>
      </c>
    </row>
    <row r="53" spans="1:14" s="1167" customFormat="1" ht="15.75" customHeight="1" outlineLevel="1">
      <c r="A53" s="549" t="str">
        <f t="shared" si="0"/>
        <v/>
      </c>
      <c r="B53" s="554" t="s">
        <v>146</v>
      </c>
      <c r="C53" s="551"/>
      <c r="D53" s="551"/>
      <c r="E53" s="67"/>
      <c r="F53" s="551"/>
      <c r="G53" s="67"/>
      <c r="H53" s="67"/>
      <c r="I53" s="67"/>
      <c r="J53" s="67"/>
      <c r="K53" s="1411"/>
      <c r="L53" s="1411"/>
      <c r="M53" s="1411"/>
      <c r="N53" s="1411"/>
    </row>
    <row r="54" spans="1:14" s="1167" customFormat="1" ht="15.75" customHeight="1" outlineLevel="1" thickBot="1">
      <c r="A54" s="549" t="str">
        <f t="shared" si="0"/>
        <v/>
      </c>
      <c r="B54" s="554" t="s">
        <v>146</v>
      </c>
      <c r="C54" s="551"/>
      <c r="D54" s="551"/>
      <c r="E54" s="67"/>
      <c r="F54" s="551"/>
      <c r="G54" s="67"/>
      <c r="H54" s="67"/>
      <c r="I54" s="67"/>
      <c r="J54" s="67"/>
      <c r="K54" s="1411"/>
      <c r="L54" s="1411"/>
      <c r="M54" s="1411"/>
      <c r="N54" s="1411"/>
    </row>
    <row r="55" spans="1:14" s="1168" customFormat="1" ht="16.5" customHeight="1" thickBot="1">
      <c r="A55" s="549" t="str">
        <f t="shared" si="0"/>
        <v>Land Total</v>
      </c>
      <c r="B55" s="1390">
        <v>2</v>
      </c>
      <c r="C55" s="1391"/>
      <c r="D55" s="1391"/>
      <c r="E55" s="1391"/>
      <c r="F55" s="1392" t="s">
        <v>1344</v>
      </c>
      <c r="G55" s="1393">
        <f t="shared" ref="G55:N55" si="1">SUBTOTAL(9,G18:G54)</f>
        <v>163892886</v>
      </c>
      <c r="H55" s="1393">
        <f t="shared" si="1"/>
        <v>0</v>
      </c>
      <c r="I55" s="1393">
        <f t="shared" si="1"/>
        <v>163892886</v>
      </c>
      <c r="J55" s="1393">
        <f t="shared" si="1"/>
        <v>0</v>
      </c>
      <c r="K55" s="1393">
        <f t="shared" si="1"/>
        <v>163892887.08000001</v>
      </c>
      <c r="L55" s="1393">
        <f t="shared" si="1"/>
        <v>0</v>
      </c>
      <c r="M55" s="1393">
        <f t="shared" si="1"/>
        <v>163892887.08000001</v>
      </c>
      <c r="N55" s="1393">
        <f t="shared" si="1"/>
        <v>0</v>
      </c>
    </row>
    <row r="56" spans="1:14" s="1167" customFormat="1" ht="15.75" customHeight="1" outlineLevel="1">
      <c r="A56" s="549" t="str">
        <f t="shared" si="0"/>
        <v/>
      </c>
      <c r="B56" s="555"/>
      <c r="C56" s="556"/>
      <c r="D56" s="557"/>
      <c r="E56" s="556"/>
      <c r="F56" s="558"/>
      <c r="G56" s="68"/>
      <c r="H56" s="68"/>
      <c r="I56" s="68"/>
      <c r="J56" s="68"/>
      <c r="K56" s="68"/>
      <c r="L56" s="68"/>
      <c r="M56" s="68"/>
      <c r="N56" s="68"/>
    </row>
    <row r="57" spans="1:14" s="1167" customFormat="1" ht="15.75" customHeight="1" outlineLevel="1">
      <c r="A57" s="549" t="str">
        <f t="shared" si="0"/>
        <v/>
      </c>
      <c r="B57" s="555"/>
      <c r="C57" s="556"/>
      <c r="D57" s="557"/>
      <c r="E57" s="556"/>
      <c r="F57" s="558"/>
      <c r="G57" s="68"/>
      <c r="H57" s="68"/>
      <c r="I57" s="68"/>
      <c r="J57" s="68"/>
      <c r="K57" s="68"/>
      <c r="L57" s="68"/>
      <c r="M57" s="68"/>
      <c r="N57" s="68"/>
    </row>
    <row r="58" spans="1:14" s="1168" customFormat="1" ht="16.5" customHeight="1" outlineLevel="1" thickBot="1">
      <c r="A58" s="549" t="str">
        <f t="shared" si="0"/>
        <v>Construction in progress</v>
      </c>
      <c r="B58" s="559">
        <v>3</v>
      </c>
      <c r="C58" s="560"/>
      <c r="D58" s="561"/>
      <c r="E58" s="560"/>
      <c r="F58" s="562" t="s">
        <v>1345</v>
      </c>
      <c r="G58" s="563"/>
      <c r="H58" s="563"/>
      <c r="I58" s="563"/>
      <c r="J58" s="563"/>
      <c r="K58" s="563"/>
      <c r="L58" s="563"/>
      <c r="M58" s="563"/>
      <c r="N58" s="563"/>
    </row>
    <row r="59" spans="1:14" s="1167" customFormat="1" ht="15.75" customHeight="1" outlineLevel="1" thickBot="1">
      <c r="A59" s="549" t="str">
        <f t="shared" si="0"/>
        <v>AdjustmentsCWIP</v>
      </c>
      <c r="B59" s="555" t="s">
        <v>183</v>
      </c>
      <c r="C59" s="556"/>
      <c r="D59" s="564" t="s">
        <v>331</v>
      </c>
      <c r="E59" s="556"/>
      <c r="F59" s="565" t="s">
        <v>1346</v>
      </c>
      <c r="G59" s="67">
        <v>977076842</v>
      </c>
      <c r="H59" s="67">
        <v>0</v>
      </c>
      <c r="I59" s="67">
        <v>977076842</v>
      </c>
      <c r="J59" s="67">
        <v>0</v>
      </c>
      <c r="K59" s="1411">
        <v>713159376.95000017</v>
      </c>
      <c r="L59" s="1411">
        <v>0</v>
      </c>
      <c r="M59" s="1411">
        <v>713159376.95000017</v>
      </c>
      <c r="N59" s="1411">
        <v>0</v>
      </c>
    </row>
    <row r="60" spans="1:14" s="1168" customFormat="1" ht="16.5" customHeight="1" thickBot="1">
      <c r="A60" s="549" t="str">
        <f t="shared" si="0"/>
        <v>Construction in progress Total</v>
      </c>
      <c r="B60" s="1390">
        <v>4</v>
      </c>
      <c r="C60" s="1391"/>
      <c r="D60" s="1394"/>
      <c r="E60" s="1391"/>
      <c r="F60" s="1395" t="s">
        <v>1347</v>
      </c>
      <c r="G60" s="1393">
        <f t="shared" ref="G60:M60" si="2">SUBTOTAL(9,G59:G59)</f>
        <v>977076842</v>
      </c>
      <c r="H60" s="1393">
        <f t="shared" si="2"/>
        <v>0</v>
      </c>
      <c r="I60" s="1393">
        <f t="shared" si="2"/>
        <v>977076842</v>
      </c>
      <c r="J60" s="1393">
        <f>SUBTOTAL(9,J59:J59)</f>
        <v>0</v>
      </c>
      <c r="K60" s="1393">
        <f t="shared" si="2"/>
        <v>713159376.95000017</v>
      </c>
      <c r="L60" s="1393">
        <f t="shared" si="2"/>
        <v>0</v>
      </c>
      <c r="M60" s="1393">
        <f t="shared" si="2"/>
        <v>713159376.95000017</v>
      </c>
      <c r="N60" s="1393">
        <f>SUBTOTAL(9,N59:N59)</f>
        <v>0</v>
      </c>
    </row>
    <row r="61" spans="1:14" s="1167" customFormat="1" ht="16.5" customHeight="1" thickBot="1">
      <c r="A61" s="549" t="str">
        <f t="shared" si="0"/>
        <v/>
      </c>
      <c r="B61" s="555"/>
      <c r="C61" s="556"/>
      <c r="D61" s="556"/>
      <c r="E61" s="556"/>
      <c r="F61" s="385"/>
      <c r="G61" s="68"/>
      <c r="H61" s="68"/>
      <c r="I61" s="68"/>
      <c r="J61" s="68"/>
      <c r="K61" s="68"/>
      <c r="L61" s="68"/>
      <c r="M61" s="68"/>
      <c r="N61" s="68"/>
    </row>
    <row r="62" spans="1:14" s="1169" customFormat="1" ht="16.5" customHeight="1" thickBot="1">
      <c r="A62" s="549" t="str">
        <f t="shared" si="0"/>
        <v>Total capital assets not being depreciated</v>
      </c>
      <c r="B62" s="1396">
        <v>5</v>
      </c>
      <c r="C62" s="1392"/>
      <c r="D62" s="1394"/>
      <c r="E62" s="1392" t="s">
        <v>1348</v>
      </c>
      <c r="F62" s="1395"/>
      <c r="G62" s="1397">
        <f t="shared" ref="G62:M62" si="3">G55+G60</f>
        <v>1140969728</v>
      </c>
      <c r="H62" s="1397">
        <f t="shared" si="3"/>
        <v>0</v>
      </c>
      <c r="I62" s="1397">
        <f t="shared" si="3"/>
        <v>1140969728</v>
      </c>
      <c r="J62" s="1397">
        <f>J55+J60</f>
        <v>0</v>
      </c>
      <c r="K62" s="1397">
        <f t="shared" si="3"/>
        <v>877052264.03000021</v>
      </c>
      <c r="L62" s="1397">
        <f t="shared" si="3"/>
        <v>0</v>
      </c>
      <c r="M62" s="1397">
        <f t="shared" si="3"/>
        <v>877052264.03000021</v>
      </c>
      <c r="N62" s="1397">
        <f>N55+N60</f>
        <v>0</v>
      </c>
    </row>
    <row r="63" spans="1:14" s="1167" customFormat="1" ht="15.75" customHeight="1">
      <c r="A63" s="549" t="str">
        <f t="shared" si="0"/>
        <v/>
      </c>
      <c r="B63" s="555"/>
      <c r="C63" s="556"/>
      <c r="D63" s="566"/>
      <c r="E63" s="556"/>
      <c r="F63" s="385"/>
      <c r="G63" s="68"/>
      <c r="H63" s="68"/>
      <c r="I63" s="68"/>
      <c r="J63" s="68"/>
      <c r="K63" s="68"/>
      <c r="L63" s="68"/>
      <c r="M63" s="68"/>
      <c r="N63" s="68"/>
    </row>
    <row r="64" spans="1:14" s="1167" customFormat="1" ht="15.75" customHeight="1">
      <c r="A64" s="549" t="str">
        <f t="shared" si="0"/>
        <v/>
      </c>
      <c r="B64" s="555"/>
      <c r="C64" s="556"/>
      <c r="D64" s="566"/>
      <c r="E64" s="556"/>
      <c r="F64" s="385"/>
      <c r="G64" s="68"/>
      <c r="H64" s="68"/>
      <c r="I64" s="68"/>
      <c r="J64" s="68"/>
      <c r="K64" s="68"/>
      <c r="L64" s="68"/>
      <c r="M64" s="68"/>
      <c r="N64" s="68"/>
    </row>
    <row r="65" spans="1:14" s="1167" customFormat="1" ht="15.75" customHeight="1">
      <c r="A65" s="549" t="str">
        <f t="shared" si="0"/>
        <v/>
      </c>
      <c r="B65" s="555"/>
      <c r="C65" s="556"/>
      <c r="D65" s="566"/>
      <c r="E65" s="556"/>
      <c r="F65" s="385"/>
      <c r="G65" s="68"/>
      <c r="H65" s="68"/>
      <c r="I65" s="68"/>
      <c r="J65" s="68"/>
      <c r="K65" s="68"/>
      <c r="L65" s="68"/>
      <c r="M65" s="68"/>
      <c r="N65" s="68"/>
    </row>
    <row r="66" spans="1:14" s="1166" customFormat="1" ht="16.5" customHeight="1" thickBot="1">
      <c r="A66" s="549" t="str">
        <f t="shared" si="0"/>
        <v>Capital assets, being depreciated:</v>
      </c>
      <c r="B66" s="386"/>
      <c r="C66" s="386"/>
      <c r="D66" s="387"/>
      <c r="E66" s="388" t="s">
        <v>1349</v>
      </c>
      <c r="F66" s="388"/>
      <c r="G66" s="567"/>
      <c r="H66" s="567"/>
      <c r="I66" s="567"/>
      <c r="J66" s="567"/>
      <c r="K66" s="567"/>
      <c r="L66" s="567"/>
      <c r="M66" s="567"/>
      <c r="N66" s="567"/>
    </row>
    <row r="67" spans="1:14" s="1167" customFormat="1" ht="15.75" customHeight="1" outlineLevel="1">
      <c r="A67" s="549" t="str">
        <f t="shared" si="0"/>
        <v/>
      </c>
      <c r="B67" s="555"/>
      <c r="C67" s="556"/>
      <c r="D67" s="566"/>
      <c r="E67" s="556"/>
      <c r="F67" s="385"/>
      <c r="G67" s="68"/>
      <c r="H67" s="68"/>
      <c r="I67" s="68"/>
      <c r="J67" s="68"/>
      <c r="K67" s="68"/>
      <c r="L67" s="68"/>
      <c r="M67" s="68"/>
      <c r="N67" s="68"/>
    </row>
    <row r="68" spans="1:14" s="1168" customFormat="1" ht="16.5" customHeight="1" outlineLevel="1" thickBot="1">
      <c r="A68" s="549" t="str">
        <f t="shared" si="0"/>
        <v>Production - Hydro</v>
      </c>
      <c r="B68" s="559">
        <v>6</v>
      </c>
      <c r="C68" s="560"/>
      <c r="D68" s="561"/>
      <c r="E68" s="560"/>
      <c r="F68" s="562" t="s">
        <v>371</v>
      </c>
      <c r="G68" s="563"/>
      <c r="H68" s="563"/>
      <c r="I68" s="563"/>
      <c r="J68" s="563"/>
      <c r="K68" s="563"/>
      <c r="L68" s="563"/>
      <c r="M68" s="563"/>
      <c r="N68" s="563"/>
    </row>
    <row r="69" spans="1:14" s="1167" customFormat="1" ht="15.75" customHeight="1" outlineLevel="1">
      <c r="A69" s="549" t="str">
        <f t="shared" si="0"/>
        <v>ASHOKAN333Waterwheels, Turbines, Generators</v>
      </c>
      <c r="B69" s="550" t="s">
        <v>124</v>
      </c>
      <c r="C69" s="551" t="s">
        <v>1342</v>
      </c>
      <c r="D69" s="552" t="s">
        <v>1350</v>
      </c>
      <c r="E69" s="551">
        <v>333</v>
      </c>
      <c r="F69" s="551" t="s">
        <v>1351</v>
      </c>
      <c r="G69" s="67">
        <v>14962757</v>
      </c>
      <c r="H69" s="67">
        <v>9616379</v>
      </c>
      <c r="I69" s="67">
        <v>5346378</v>
      </c>
      <c r="J69" s="67">
        <v>623078</v>
      </c>
      <c r="K69" s="1411">
        <v>14962756.819999998</v>
      </c>
      <c r="L69" s="1411">
        <v>8993300.3477807194</v>
      </c>
      <c r="M69" s="1411">
        <v>5969456.4722192809</v>
      </c>
      <c r="N69" s="1411">
        <v>530869.52778071805</v>
      </c>
    </row>
    <row r="70" spans="1:14" s="1167" customFormat="1" ht="15.75" customHeight="1" outlineLevel="1">
      <c r="A70" s="549" t="str">
        <f t="shared" si="0"/>
        <v>BLENHEIM - GILBOA331Structures &amp; Improvements</v>
      </c>
      <c r="B70" s="550" t="s">
        <v>207</v>
      </c>
      <c r="C70" s="551" t="s">
        <v>1342</v>
      </c>
      <c r="D70" s="552" t="s">
        <v>1122</v>
      </c>
      <c r="E70" s="551">
        <v>331</v>
      </c>
      <c r="F70" s="551" t="s">
        <v>308</v>
      </c>
      <c r="G70" s="67">
        <v>36537261</v>
      </c>
      <c r="H70" s="67">
        <v>22147244</v>
      </c>
      <c r="I70" s="67">
        <v>14390017</v>
      </c>
      <c r="J70" s="67">
        <v>511960</v>
      </c>
      <c r="K70" s="1411">
        <v>36537261</v>
      </c>
      <c r="L70" s="1411">
        <v>21635283.667083975</v>
      </c>
      <c r="M70" s="1411">
        <v>14901977.332916025</v>
      </c>
      <c r="N70" s="1411">
        <v>501957.0670839746</v>
      </c>
    </row>
    <row r="71" spans="1:14" s="1167" customFormat="1" ht="15.75" customHeight="1" outlineLevel="1">
      <c r="A71" s="549" t="str">
        <f t="shared" si="0"/>
        <v>BLENHEIM - GILBOA332Reservoirs, Dams, Waterways</v>
      </c>
      <c r="B71" s="550" t="s">
        <v>210</v>
      </c>
      <c r="C71" s="551" t="s">
        <v>1342</v>
      </c>
      <c r="D71" s="552" t="s">
        <v>1122</v>
      </c>
      <c r="E71" s="551">
        <v>332</v>
      </c>
      <c r="F71" s="551" t="s">
        <v>1352</v>
      </c>
      <c r="G71" s="67">
        <v>78718529</v>
      </c>
      <c r="H71" s="67">
        <v>57178794</v>
      </c>
      <c r="I71" s="67">
        <v>21539735</v>
      </c>
      <c r="J71" s="67">
        <v>828167</v>
      </c>
      <c r="K71" s="1411">
        <v>78718528.780000001</v>
      </c>
      <c r="L71" s="1411">
        <v>56350627.006366313</v>
      </c>
      <c r="M71" s="1411">
        <v>22367901.773633689</v>
      </c>
      <c r="N71" s="1411">
        <v>918806.2263663084</v>
      </c>
    </row>
    <row r="72" spans="1:14" s="1167" customFormat="1" ht="15.75" customHeight="1" outlineLevel="1">
      <c r="A72" s="549" t="str">
        <f t="shared" si="0"/>
        <v>BLENHEIM - GILBOA333Waterwheels, Turbines, Generators</v>
      </c>
      <c r="B72" s="550" t="s">
        <v>1353</v>
      </c>
      <c r="C72" s="551" t="s">
        <v>1342</v>
      </c>
      <c r="D72" s="552" t="s">
        <v>1122</v>
      </c>
      <c r="E72" s="551">
        <v>333</v>
      </c>
      <c r="F72" s="551" t="s">
        <v>1351</v>
      </c>
      <c r="G72" s="67">
        <v>95425624</v>
      </c>
      <c r="H72" s="67">
        <v>36503343</v>
      </c>
      <c r="I72" s="67">
        <v>58922281</v>
      </c>
      <c r="J72" s="67">
        <v>3039141</v>
      </c>
      <c r="K72" s="1411">
        <v>95425623.839999974</v>
      </c>
      <c r="L72" s="1411">
        <v>33464201.679125115</v>
      </c>
      <c r="M72" s="1411">
        <v>61961422.160874858</v>
      </c>
      <c r="N72" s="1411">
        <v>2843894.419125122</v>
      </c>
    </row>
    <row r="73" spans="1:14" s="1167" customFormat="1" ht="15.75" customHeight="1" outlineLevel="1">
      <c r="A73" s="549" t="str">
        <f t="shared" si="0"/>
        <v>BLENHEIM - GILBOA334Accessory Electric Equipment</v>
      </c>
      <c r="B73" s="550" t="s">
        <v>1354</v>
      </c>
      <c r="C73" s="551" t="s">
        <v>1342</v>
      </c>
      <c r="D73" s="552" t="s">
        <v>1122</v>
      </c>
      <c r="E73" s="551">
        <v>334</v>
      </c>
      <c r="F73" s="551" t="s">
        <v>1355</v>
      </c>
      <c r="G73" s="67">
        <v>37035800</v>
      </c>
      <c r="H73" s="67">
        <v>16815725</v>
      </c>
      <c r="I73" s="67">
        <v>20220075</v>
      </c>
      <c r="J73" s="67">
        <v>741429</v>
      </c>
      <c r="K73" s="1411">
        <v>32453266.869999997</v>
      </c>
      <c r="L73" s="1411">
        <v>16074296.05267743</v>
      </c>
      <c r="M73" s="1411">
        <v>16378970.817322567</v>
      </c>
      <c r="N73" s="1411">
        <v>603347.53267743043</v>
      </c>
    </row>
    <row r="74" spans="1:14" s="1167" customFormat="1" ht="15.75" customHeight="1" outlineLevel="1">
      <c r="A74" s="549" t="str">
        <f t="shared" si="0"/>
        <v>BLENHEIM - GILBOA335Misc Power Plant Equipment</v>
      </c>
      <c r="B74" s="550" t="s">
        <v>1356</v>
      </c>
      <c r="C74" s="551" t="s">
        <v>1342</v>
      </c>
      <c r="D74" s="552" t="s">
        <v>1122</v>
      </c>
      <c r="E74" s="551">
        <v>335</v>
      </c>
      <c r="F74" s="551" t="s">
        <v>1357</v>
      </c>
      <c r="G74" s="67">
        <v>12275493</v>
      </c>
      <c r="H74" s="67">
        <v>7297004</v>
      </c>
      <c r="I74" s="67">
        <v>4978489</v>
      </c>
      <c r="J74" s="67">
        <v>181543</v>
      </c>
      <c r="K74" s="1411">
        <v>12275492.839999998</v>
      </c>
      <c r="L74" s="1411">
        <v>7115460.8925931854</v>
      </c>
      <c r="M74" s="1411">
        <v>5160031.9474068126</v>
      </c>
      <c r="N74" s="1411">
        <v>146406.71259318548</v>
      </c>
    </row>
    <row r="75" spans="1:14" s="1167" customFormat="1" ht="15.75" customHeight="1" outlineLevel="1">
      <c r="A75" s="549" t="str">
        <f t="shared" si="0"/>
        <v>BLENHEIM - GILBOA336Roads, Railroads &amp; Bridges</v>
      </c>
      <c r="B75" s="550" t="s">
        <v>1358</v>
      </c>
      <c r="C75" s="551" t="s">
        <v>1342</v>
      </c>
      <c r="D75" s="552" t="s">
        <v>1122</v>
      </c>
      <c r="E75" s="551">
        <v>336</v>
      </c>
      <c r="F75" s="551" t="s">
        <v>1359</v>
      </c>
      <c r="G75" s="67">
        <v>18416617</v>
      </c>
      <c r="H75" s="67">
        <v>6135469</v>
      </c>
      <c r="I75" s="67">
        <v>12281148</v>
      </c>
      <c r="J75" s="67">
        <v>287961</v>
      </c>
      <c r="K75" s="1411">
        <v>18416616.760000002</v>
      </c>
      <c r="L75" s="1411">
        <v>5847508.5519909021</v>
      </c>
      <c r="M75" s="1411">
        <v>12569108.2080091</v>
      </c>
      <c r="N75" s="1411">
        <v>271716.59199090215</v>
      </c>
    </row>
    <row r="76" spans="1:14" s="1167" customFormat="1" ht="15.75" customHeight="1" outlineLevel="1">
      <c r="A76" s="549" t="str">
        <f t="shared" si="0"/>
        <v>Crescent332Reservoirs, Dams, Waterways</v>
      </c>
      <c r="B76" s="550" t="s">
        <v>1360</v>
      </c>
      <c r="C76" s="551" t="s">
        <v>1342</v>
      </c>
      <c r="D76" s="552" t="s">
        <v>955</v>
      </c>
      <c r="E76" s="551">
        <v>332</v>
      </c>
      <c r="F76" s="551" t="s">
        <v>1352</v>
      </c>
      <c r="G76" s="67">
        <v>30911969</v>
      </c>
      <c r="H76" s="67">
        <v>14825844</v>
      </c>
      <c r="I76" s="67">
        <v>16086125</v>
      </c>
      <c r="J76" s="67">
        <v>401174</v>
      </c>
      <c r="K76" s="1411">
        <v>30801756.300000001</v>
      </c>
      <c r="L76" s="1411">
        <v>14424669.421198456</v>
      </c>
      <c r="M76" s="1411">
        <v>16377086.878801545</v>
      </c>
      <c r="N76" s="1411">
        <v>395940.51119845483</v>
      </c>
    </row>
    <row r="77" spans="1:14" s="1167" customFormat="1" ht="15.75" customHeight="1" outlineLevel="1">
      <c r="A77" s="549" t="str">
        <f t="shared" si="0"/>
        <v>Crescent333Waterwheels, Turbines, Generators</v>
      </c>
      <c r="B77" s="550" t="s">
        <v>1361</v>
      </c>
      <c r="C77" s="551" t="s">
        <v>1342</v>
      </c>
      <c r="D77" s="552" t="s">
        <v>955</v>
      </c>
      <c r="E77" s="551">
        <v>333</v>
      </c>
      <c r="F77" s="551" t="s">
        <v>1351</v>
      </c>
      <c r="G77" s="67">
        <v>15242495</v>
      </c>
      <c r="H77" s="67">
        <v>4166823</v>
      </c>
      <c r="I77" s="67">
        <v>11075672</v>
      </c>
      <c r="J77" s="67">
        <v>611117</v>
      </c>
      <c r="K77" s="1411">
        <v>15242495.259999998</v>
      </c>
      <c r="L77" s="1411">
        <v>3555705.6941123516</v>
      </c>
      <c r="M77" s="1411">
        <v>11686789.565887647</v>
      </c>
      <c r="N77" s="1411">
        <v>503450.8341123524</v>
      </c>
    </row>
    <row r="78" spans="1:14" s="1167" customFormat="1" ht="15.75" customHeight="1" outlineLevel="1">
      <c r="A78" s="549" t="str">
        <f t="shared" si="0"/>
        <v>Crescent334Accessory Electric Equipment</v>
      </c>
      <c r="B78" s="550" t="s">
        <v>1362</v>
      </c>
      <c r="C78" s="551" t="s">
        <v>1342</v>
      </c>
      <c r="D78" s="552" t="s">
        <v>955</v>
      </c>
      <c r="E78" s="551">
        <v>334</v>
      </c>
      <c r="F78" s="551" t="s">
        <v>1355</v>
      </c>
      <c r="G78" s="67">
        <v>6610333</v>
      </c>
      <c r="H78" s="67">
        <v>2215114</v>
      </c>
      <c r="I78" s="67">
        <v>4395220</v>
      </c>
      <c r="J78" s="67">
        <v>197941</v>
      </c>
      <c r="K78" s="1411">
        <v>6610333.2799999993</v>
      </c>
      <c r="L78" s="1411">
        <v>2017173.0322369575</v>
      </c>
      <c r="M78" s="1411">
        <v>4593160.2477630414</v>
      </c>
      <c r="N78" s="1411">
        <v>175384.75223695755</v>
      </c>
    </row>
    <row r="79" spans="1:14" s="1167" customFormat="1" ht="15.75" customHeight="1" outlineLevel="1">
      <c r="A79" s="549" t="str">
        <f t="shared" si="0"/>
        <v>Crescent335Misc Power Plant Equipment</v>
      </c>
      <c r="B79" s="550" t="s">
        <v>1363</v>
      </c>
      <c r="C79" s="551" t="s">
        <v>1342</v>
      </c>
      <c r="D79" s="552" t="s">
        <v>955</v>
      </c>
      <c r="E79" s="551">
        <v>335</v>
      </c>
      <c r="F79" s="551" t="s">
        <v>1357</v>
      </c>
      <c r="G79" s="67">
        <v>1645956</v>
      </c>
      <c r="H79" s="67">
        <v>614857</v>
      </c>
      <c r="I79" s="67">
        <v>1031098</v>
      </c>
      <c r="J79" s="67">
        <v>36809</v>
      </c>
      <c r="K79" s="1411">
        <v>1645955.51</v>
      </c>
      <c r="L79" s="1411">
        <v>578048.71979012247</v>
      </c>
      <c r="M79" s="1411">
        <v>1067906.7902098775</v>
      </c>
      <c r="N79" s="1411">
        <v>35365.209790122419</v>
      </c>
    </row>
    <row r="80" spans="1:14" s="1167" customFormat="1" ht="15.75" customHeight="1" outlineLevel="1">
      <c r="A80" s="549" t="str">
        <f t="shared" si="0"/>
        <v>Jarvis332Reservoirs, Dams, Waterways</v>
      </c>
      <c r="B80" s="550" t="s">
        <v>1364</v>
      </c>
      <c r="C80" s="551" t="s">
        <v>1342</v>
      </c>
      <c r="D80" s="552" t="s">
        <v>954</v>
      </c>
      <c r="E80" s="551">
        <v>332</v>
      </c>
      <c r="F80" s="551" t="s">
        <v>1352</v>
      </c>
      <c r="G80" s="67">
        <v>19336575</v>
      </c>
      <c r="H80" s="67">
        <v>10286640</v>
      </c>
      <c r="I80" s="67">
        <v>9049935</v>
      </c>
      <c r="J80" s="67">
        <v>255320</v>
      </c>
      <c r="K80" s="1411">
        <v>19336575</v>
      </c>
      <c r="L80" s="1411">
        <v>10031319.473319434</v>
      </c>
      <c r="M80" s="1411">
        <v>9305255.5266805664</v>
      </c>
      <c r="N80" s="1411">
        <v>266614.47331943456</v>
      </c>
    </row>
    <row r="81" spans="1:14" s="1167" customFormat="1" ht="15.75" customHeight="1" outlineLevel="1">
      <c r="A81" s="549" t="str">
        <f t="shared" si="0"/>
        <v>Jarvis333Waterwheels, Turbines, Generators</v>
      </c>
      <c r="B81" s="550" t="s">
        <v>1365</v>
      </c>
      <c r="C81" s="551" t="s">
        <v>1342</v>
      </c>
      <c r="D81" s="552" t="s">
        <v>954</v>
      </c>
      <c r="E81" s="551">
        <v>333</v>
      </c>
      <c r="F81" s="551" t="s">
        <v>1351</v>
      </c>
      <c r="G81" s="67">
        <v>8183672</v>
      </c>
      <c r="H81" s="67">
        <v>4835791</v>
      </c>
      <c r="I81" s="67">
        <v>3347881</v>
      </c>
      <c r="J81" s="67">
        <v>448259</v>
      </c>
      <c r="K81" s="1411">
        <v>8183671.5300000003</v>
      </c>
      <c r="L81" s="1411">
        <v>4387532.1025629994</v>
      </c>
      <c r="M81" s="1411">
        <v>3796139.4274370009</v>
      </c>
      <c r="N81" s="1411">
        <v>369279.57256299985</v>
      </c>
    </row>
    <row r="82" spans="1:14" s="1167" customFormat="1" ht="15.75" customHeight="1" outlineLevel="1">
      <c r="A82" s="549" t="str">
        <f t="shared" si="0"/>
        <v>Jarvis334Accessory Electric Equipment</v>
      </c>
      <c r="B82" s="550" t="s">
        <v>1366</v>
      </c>
      <c r="C82" s="551" t="s">
        <v>1342</v>
      </c>
      <c r="D82" s="552" t="s">
        <v>954</v>
      </c>
      <c r="E82" s="551">
        <v>334</v>
      </c>
      <c r="F82" s="551" t="s">
        <v>1355</v>
      </c>
      <c r="G82" s="67">
        <v>153363</v>
      </c>
      <c r="H82" s="67">
        <v>86914</v>
      </c>
      <c r="I82" s="67">
        <v>66449</v>
      </c>
      <c r="J82" s="67">
        <v>5356</v>
      </c>
      <c r="K82" s="1411">
        <v>153363</v>
      </c>
      <c r="L82" s="1411">
        <v>81558.644505355871</v>
      </c>
      <c r="M82" s="1411">
        <v>71804.355494644129</v>
      </c>
      <c r="N82" s="1411">
        <v>4622.6445053558755</v>
      </c>
    </row>
    <row r="83" spans="1:14" s="1167" customFormat="1" ht="15.75" customHeight="1" outlineLevel="1">
      <c r="A83" s="549" t="str">
        <f t="shared" si="0"/>
        <v>Jarvis335Misc Power Plant Equipment</v>
      </c>
      <c r="B83" s="550" t="s">
        <v>1367</v>
      </c>
      <c r="C83" s="551" t="s">
        <v>1342</v>
      </c>
      <c r="D83" s="552" t="s">
        <v>954</v>
      </c>
      <c r="E83" s="551">
        <v>335</v>
      </c>
      <c r="F83" s="551" t="s">
        <v>1357</v>
      </c>
      <c r="G83" s="67">
        <v>526915</v>
      </c>
      <c r="H83" s="67">
        <v>340877</v>
      </c>
      <c r="I83" s="67">
        <v>186038</v>
      </c>
      <c r="J83" s="67">
        <v>7493</v>
      </c>
      <c r="K83" s="1411">
        <v>526915.02</v>
      </c>
      <c r="L83" s="1411">
        <v>333384.29874635494</v>
      </c>
      <c r="M83" s="1411">
        <v>193530.72125364508</v>
      </c>
      <c r="N83" s="1411">
        <v>12145.278746354932</v>
      </c>
    </row>
    <row r="84" spans="1:14" s="1167" customFormat="1" ht="15.75" customHeight="1" outlineLevel="1">
      <c r="A84" s="549" t="str">
        <f t="shared" ref="A84:A146" si="4">CONCATENATE(D84,E84,F84)</f>
        <v>Kensico333Waterwheels, Turbines, Generators</v>
      </c>
      <c r="B84" s="550" t="s">
        <v>1368</v>
      </c>
      <c r="C84" s="551" t="s">
        <v>1342</v>
      </c>
      <c r="D84" s="552" t="s">
        <v>958</v>
      </c>
      <c r="E84" s="551">
        <v>333</v>
      </c>
      <c r="F84" s="551" t="s">
        <v>1351</v>
      </c>
      <c r="G84" s="67">
        <v>0</v>
      </c>
      <c r="H84" s="67">
        <v>0</v>
      </c>
      <c r="I84" s="67">
        <v>0</v>
      </c>
      <c r="J84" s="67">
        <v>0</v>
      </c>
      <c r="K84" s="1411">
        <v>0</v>
      </c>
      <c r="L84" s="1411">
        <v>0</v>
      </c>
      <c r="M84" s="1411">
        <v>0</v>
      </c>
      <c r="N84" s="1411">
        <v>0</v>
      </c>
    </row>
    <row r="85" spans="1:14" s="1167" customFormat="1" ht="15.75" customHeight="1" outlineLevel="1">
      <c r="A85" s="549" t="str">
        <f t="shared" si="4"/>
        <v>NIAGARA331Structures &amp; Improvements</v>
      </c>
      <c r="B85" s="550" t="s">
        <v>1369</v>
      </c>
      <c r="C85" s="551" t="s">
        <v>1342</v>
      </c>
      <c r="D85" s="552" t="s">
        <v>1127</v>
      </c>
      <c r="E85" s="551">
        <v>331</v>
      </c>
      <c r="F85" s="551" t="s">
        <v>308</v>
      </c>
      <c r="G85" s="67">
        <v>128683881</v>
      </c>
      <c r="H85" s="67">
        <v>62549216</v>
      </c>
      <c r="I85" s="67">
        <v>66134665</v>
      </c>
      <c r="J85" s="67">
        <v>2416334</v>
      </c>
      <c r="K85" s="1411">
        <v>123338637.55999999</v>
      </c>
      <c r="L85" s="1411">
        <v>60132881.075555414</v>
      </c>
      <c r="M85" s="1411">
        <v>63205756.484444574</v>
      </c>
      <c r="N85" s="1411">
        <v>2191806.4155554054</v>
      </c>
    </row>
    <row r="86" spans="1:14" s="1167" customFormat="1" ht="15.75" customHeight="1" outlineLevel="1">
      <c r="A86" s="549" t="str">
        <f t="shared" si="4"/>
        <v>NIAGARA332Reservoirs, Dams, Waterways</v>
      </c>
      <c r="B86" s="550" t="s">
        <v>1370</v>
      </c>
      <c r="C86" s="551" t="s">
        <v>1342</v>
      </c>
      <c r="D86" s="552" t="s">
        <v>1127</v>
      </c>
      <c r="E86" s="551">
        <v>332</v>
      </c>
      <c r="F86" s="551" t="s">
        <v>1352</v>
      </c>
      <c r="G86" s="67">
        <v>424857766</v>
      </c>
      <c r="H86" s="67">
        <v>350183228</v>
      </c>
      <c r="I86" s="67">
        <v>74674538</v>
      </c>
      <c r="J86" s="67">
        <v>2625487</v>
      </c>
      <c r="K86" s="1411">
        <v>478469947.6500001</v>
      </c>
      <c r="L86" s="1411">
        <v>347557740.64640325</v>
      </c>
      <c r="M86" s="1411">
        <v>130912207.00359684</v>
      </c>
      <c r="N86" s="1411">
        <v>4003911.7064031819</v>
      </c>
    </row>
    <row r="87" spans="1:14" s="1167" customFormat="1" ht="15.75" customHeight="1" outlineLevel="1">
      <c r="A87" s="549" t="str">
        <f t="shared" si="4"/>
        <v>NIAGARA333Waterwheels, Turbines, Generators</v>
      </c>
      <c r="B87" s="550" t="s">
        <v>1371</v>
      </c>
      <c r="C87" s="551" t="s">
        <v>1342</v>
      </c>
      <c r="D87" s="552" t="s">
        <v>1127</v>
      </c>
      <c r="E87" s="551">
        <v>333</v>
      </c>
      <c r="F87" s="551" t="s">
        <v>1351</v>
      </c>
      <c r="G87" s="67">
        <v>715220440</v>
      </c>
      <c r="H87" s="67">
        <v>170600137</v>
      </c>
      <c r="I87" s="67">
        <v>544620302</v>
      </c>
      <c r="J87" s="67">
        <v>25002102</v>
      </c>
      <c r="K87" s="1411">
        <v>660940332.78999972</v>
      </c>
      <c r="L87" s="1411">
        <v>145598035.34832197</v>
      </c>
      <c r="M87" s="1411">
        <v>515342297.44167775</v>
      </c>
      <c r="N87" s="1411">
        <v>21798005.128321968</v>
      </c>
    </row>
    <row r="88" spans="1:14" s="1167" customFormat="1" ht="15.75" customHeight="1" outlineLevel="1">
      <c r="A88" s="549" t="str">
        <f t="shared" si="4"/>
        <v>NIAGARA334Accessory Electric Equipment</v>
      </c>
      <c r="B88" s="550" t="s">
        <v>1372</v>
      </c>
      <c r="C88" s="551" t="s">
        <v>1342</v>
      </c>
      <c r="D88" s="552" t="s">
        <v>1127</v>
      </c>
      <c r="E88" s="551">
        <v>334</v>
      </c>
      <c r="F88" s="551" t="s">
        <v>1355</v>
      </c>
      <c r="G88" s="67">
        <v>58978460</v>
      </c>
      <c r="H88" s="67">
        <v>22288215</v>
      </c>
      <c r="I88" s="67">
        <v>36690244</v>
      </c>
      <c r="J88" s="67">
        <v>1699593</v>
      </c>
      <c r="K88" s="1411">
        <v>57666298.75</v>
      </c>
      <c r="L88" s="1411">
        <v>20588622.645637222</v>
      </c>
      <c r="M88" s="1411">
        <v>37077676.104362778</v>
      </c>
      <c r="N88" s="1411">
        <v>1558335.09563723</v>
      </c>
    </row>
    <row r="89" spans="1:14" s="1167" customFormat="1" ht="15.75" customHeight="1" outlineLevel="1">
      <c r="A89" s="549" t="str">
        <f t="shared" si="4"/>
        <v>NIAGARA335Misc Power Plant Equipment</v>
      </c>
      <c r="B89" s="550" t="s">
        <v>1373</v>
      </c>
      <c r="C89" s="551" t="s">
        <v>1342</v>
      </c>
      <c r="D89" s="552" t="s">
        <v>1127</v>
      </c>
      <c r="E89" s="551">
        <v>335</v>
      </c>
      <c r="F89" s="551" t="s">
        <v>1357</v>
      </c>
      <c r="G89" s="67">
        <v>81888610</v>
      </c>
      <c r="H89" s="67">
        <v>31354166</v>
      </c>
      <c r="I89" s="67">
        <v>50534444</v>
      </c>
      <c r="J89" s="67">
        <v>1786970</v>
      </c>
      <c r="K89" s="1411">
        <v>81019146.789999992</v>
      </c>
      <c r="L89" s="1411">
        <v>29567196.132826459</v>
      </c>
      <c r="M89" s="1411">
        <v>51451950.657173529</v>
      </c>
      <c r="N89" s="1411">
        <v>1980588.9128264589</v>
      </c>
    </row>
    <row r="90" spans="1:14" s="1167" customFormat="1" ht="15.75" customHeight="1" outlineLevel="1">
      <c r="A90" s="549" t="str">
        <f t="shared" si="4"/>
        <v>NIAGARA336Roads, Railroads &amp; Bridges</v>
      </c>
      <c r="B90" s="550" t="s">
        <v>1374</v>
      </c>
      <c r="C90" s="551" t="s">
        <v>1342</v>
      </c>
      <c r="D90" s="552" t="s">
        <v>1127</v>
      </c>
      <c r="E90" s="551">
        <v>336</v>
      </c>
      <c r="F90" s="551" t="s">
        <v>1359</v>
      </c>
      <c r="G90" s="67">
        <v>33156577</v>
      </c>
      <c r="H90" s="67">
        <v>23973227</v>
      </c>
      <c r="I90" s="67">
        <v>9183350</v>
      </c>
      <c r="J90" s="67">
        <v>318845</v>
      </c>
      <c r="K90" s="1411">
        <v>33156576.719999999</v>
      </c>
      <c r="L90" s="1411">
        <v>23654382.034282722</v>
      </c>
      <c r="M90" s="1411">
        <v>9502194.6857172772</v>
      </c>
      <c r="N90" s="1411">
        <v>350308.91428272065</v>
      </c>
    </row>
    <row r="91" spans="1:14" s="1167" customFormat="1" ht="15.75" customHeight="1" outlineLevel="1">
      <c r="A91" s="549" t="str">
        <f t="shared" si="4"/>
        <v>St.  LAWRENCE / FDR331Structures &amp; Improvements</v>
      </c>
      <c r="B91" s="550" t="s">
        <v>1375</v>
      </c>
      <c r="C91" s="551" t="s">
        <v>1342</v>
      </c>
      <c r="D91" s="552" t="s">
        <v>1128</v>
      </c>
      <c r="E91" s="551">
        <v>331</v>
      </c>
      <c r="F91" s="551" t="s">
        <v>308</v>
      </c>
      <c r="G91" s="67">
        <v>47056404</v>
      </c>
      <c r="H91" s="67">
        <v>29477078</v>
      </c>
      <c r="I91" s="67">
        <v>17579326</v>
      </c>
      <c r="J91" s="67">
        <v>629878</v>
      </c>
      <c r="K91" s="1411">
        <v>47056404.45000001</v>
      </c>
      <c r="L91" s="1411">
        <v>28847200.632342648</v>
      </c>
      <c r="M91" s="1411">
        <v>18209203.817657363</v>
      </c>
      <c r="N91" s="1411">
        <v>533273.34234265087</v>
      </c>
    </row>
    <row r="92" spans="1:14" s="1167" customFormat="1" ht="15.75" customHeight="1" outlineLevel="1">
      <c r="A92" s="549" t="str">
        <f t="shared" si="4"/>
        <v>St.  LAWRENCE / FDR332Reservoirs, Dams, Waterways</v>
      </c>
      <c r="B92" s="550" t="s">
        <v>1376</v>
      </c>
      <c r="C92" s="551" t="s">
        <v>1342</v>
      </c>
      <c r="D92" s="552" t="s">
        <v>1128</v>
      </c>
      <c r="E92" s="551">
        <v>332</v>
      </c>
      <c r="F92" s="551" t="s">
        <v>1352</v>
      </c>
      <c r="G92" s="67">
        <v>226722297</v>
      </c>
      <c r="H92" s="67">
        <v>203951955</v>
      </c>
      <c r="I92" s="67">
        <v>22770341</v>
      </c>
      <c r="J92" s="67">
        <v>757104</v>
      </c>
      <c r="K92" s="1411">
        <v>219747335.14999998</v>
      </c>
      <c r="L92" s="1411">
        <v>203194851.95317829</v>
      </c>
      <c r="M92" s="1411">
        <v>16552483.19682169</v>
      </c>
      <c r="N92" s="1411">
        <v>1626328.8631783007</v>
      </c>
    </row>
    <row r="93" spans="1:14" s="1167" customFormat="1" ht="15.75" customHeight="1" outlineLevel="1">
      <c r="A93" s="549" t="str">
        <f t="shared" si="4"/>
        <v>St.  LAWRENCE / FDR333Waterwheels, Turbines, Generators</v>
      </c>
      <c r="B93" s="550" t="s">
        <v>1377</v>
      </c>
      <c r="C93" s="551" t="s">
        <v>1342</v>
      </c>
      <c r="D93" s="552" t="s">
        <v>1128</v>
      </c>
      <c r="E93" s="551">
        <v>333</v>
      </c>
      <c r="F93" s="551" t="s">
        <v>1351</v>
      </c>
      <c r="G93" s="67">
        <v>230551240</v>
      </c>
      <c r="H93" s="67">
        <v>77293635</v>
      </c>
      <c r="I93" s="67">
        <v>153257605</v>
      </c>
      <c r="J93" s="67">
        <v>8847190</v>
      </c>
      <c r="K93" s="1411">
        <v>229018322.22999999</v>
      </c>
      <c r="L93" s="1411">
        <v>68446444.826316372</v>
      </c>
      <c r="M93" s="1411">
        <v>160571877.4036836</v>
      </c>
      <c r="N93" s="1411">
        <v>7675326.5163163682</v>
      </c>
    </row>
    <row r="94" spans="1:14" s="1167" customFormat="1" ht="15.75" customHeight="1" outlineLevel="1">
      <c r="A94" s="549" t="str">
        <f t="shared" si="4"/>
        <v>St.  LAWRENCE / FDR334Accessory Electric Equipment</v>
      </c>
      <c r="B94" s="550" t="s">
        <v>1378</v>
      </c>
      <c r="C94" s="551" t="s">
        <v>1342</v>
      </c>
      <c r="D94" s="552" t="s">
        <v>1128</v>
      </c>
      <c r="E94" s="551">
        <v>334</v>
      </c>
      <c r="F94" s="551" t="s">
        <v>1355</v>
      </c>
      <c r="G94" s="67">
        <v>34063577</v>
      </c>
      <c r="H94" s="67">
        <v>17213274</v>
      </c>
      <c r="I94" s="67">
        <v>16850303</v>
      </c>
      <c r="J94" s="67">
        <v>997281</v>
      </c>
      <c r="K94" s="1411">
        <v>33640579.20000001</v>
      </c>
      <c r="L94" s="1411">
        <v>16215992.786221422</v>
      </c>
      <c r="M94" s="1411">
        <v>17424586.413778588</v>
      </c>
      <c r="N94" s="1411">
        <v>943339.16622142401</v>
      </c>
    </row>
    <row r="95" spans="1:14" s="1167" customFormat="1" ht="15.75" customHeight="1" outlineLevel="1">
      <c r="A95" s="549" t="str">
        <f t="shared" si="4"/>
        <v>St.  LAWRENCE / FDR335Misc Power Plant Equipment</v>
      </c>
      <c r="B95" s="550" t="s">
        <v>1379</v>
      </c>
      <c r="C95" s="551" t="s">
        <v>1342</v>
      </c>
      <c r="D95" s="552" t="s">
        <v>1128</v>
      </c>
      <c r="E95" s="551">
        <v>335</v>
      </c>
      <c r="F95" s="551" t="s">
        <v>1357</v>
      </c>
      <c r="G95" s="67">
        <v>14132910</v>
      </c>
      <c r="H95" s="67">
        <v>9409137</v>
      </c>
      <c r="I95" s="67">
        <v>4723773</v>
      </c>
      <c r="J95" s="67">
        <v>263761</v>
      </c>
      <c r="K95" s="1411">
        <v>14132910.15</v>
      </c>
      <c r="L95" s="1411">
        <v>9145375.6082516108</v>
      </c>
      <c r="M95" s="1411">
        <v>4987534.5417483896</v>
      </c>
      <c r="N95" s="1411">
        <v>175738.84825161131</v>
      </c>
    </row>
    <row r="96" spans="1:14" s="1167" customFormat="1" ht="15.75" customHeight="1" outlineLevel="1">
      <c r="A96" s="549" t="str">
        <f t="shared" si="4"/>
        <v>St.  LAWRENCE / FDR336Roads, Railroads &amp; Bridges</v>
      </c>
      <c r="B96" s="550" t="s">
        <v>1380</v>
      </c>
      <c r="C96" s="551" t="s">
        <v>1342</v>
      </c>
      <c r="D96" s="552" t="s">
        <v>1128</v>
      </c>
      <c r="E96" s="551">
        <v>336</v>
      </c>
      <c r="F96" s="551" t="s">
        <v>1359</v>
      </c>
      <c r="G96" s="67">
        <v>9354532</v>
      </c>
      <c r="H96" s="67">
        <v>4452966</v>
      </c>
      <c r="I96" s="67">
        <v>4901565</v>
      </c>
      <c r="J96" s="67">
        <v>84787</v>
      </c>
      <c r="K96" s="1411">
        <v>9285368.7200000007</v>
      </c>
      <c r="L96" s="1411">
        <v>4368178.6582225123</v>
      </c>
      <c r="M96" s="1411">
        <v>4917190.0617774883</v>
      </c>
      <c r="N96" s="1411">
        <v>94634.80822251286</v>
      </c>
    </row>
    <row r="97" spans="1:14" s="1167" customFormat="1" ht="15.75" customHeight="1" outlineLevel="1">
      <c r="A97" s="549" t="str">
        <f t="shared" si="4"/>
        <v>Vischer Ferry332Reservoirs, Dams, Waterways</v>
      </c>
      <c r="B97" s="550" t="s">
        <v>1381</v>
      </c>
      <c r="C97" s="551" t="s">
        <v>1342</v>
      </c>
      <c r="D97" s="552" t="s">
        <v>956</v>
      </c>
      <c r="E97" s="551">
        <v>332</v>
      </c>
      <c r="F97" s="551" t="s">
        <v>1352</v>
      </c>
      <c r="G97" s="67">
        <v>40195078</v>
      </c>
      <c r="H97" s="67">
        <v>17325786</v>
      </c>
      <c r="I97" s="67">
        <v>22869292</v>
      </c>
      <c r="J97" s="67">
        <v>563964</v>
      </c>
      <c r="K97" s="1411">
        <v>40177265.469999999</v>
      </c>
      <c r="L97" s="1411">
        <v>16761822.693160871</v>
      </c>
      <c r="M97" s="1411">
        <v>23415442.77683913</v>
      </c>
      <c r="N97" s="1411">
        <v>569091.40316087217</v>
      </c>
    </row>
    <row r="98" spans="1:14" s="1167" customFormat="1" ht="15.75" customHeight="1" outlineLevel="1">
      <c r="A98" s="549" t="str">
        <f t="shared" si="4"/>
        <v>Vischer Ferry333Waterwheels, Turbines, Generators</v>
      </c>
      <c r="B98" s="550" t="s">
        <v>1382</v>
      </c>
      <c r="C98" s="551" t="s">
        <v>1342</v>
      </c>
      <c r="D98" s="552" t="s">
        <v>956</v>
      </c>
      <c r="E98" s="551">
        <v>333</v>
      </c>
      <c r="F98" s="551" t="s">
        <v>1351</v>
      </c>
      <c r="G98" s="67">
        <v>16527405</v>
      </c>
      <c r="H98" s="67">
        <v>4867593</v>
      </c>
      <c r="I98" s="67">
        <v>11659813</v>
      </c>
      <c r="J98" s="67">
        <v>670462</v>
      </c>
      <c r="K98" s="1411">
        <v>16527405.419999998</v>
      </c>
      <c r="L98" s="1411">
        <v>4197130.775846486</v>
      </c>
      <c r="M98" s="1411">
        <v>12330274.644153513</v>
      </c>
      <c r="N98" s="1411">
        <v>553137.83584648627</v>
      </c>
    </row>
    <row r="99" spans="1:14" s="1167" customFormat="1" ht="15.75" customHeight="1" outlineLevel="1">
      <c r="A99" s="549" t="str">
        <f t="shared" si="4"/>
        <v>Vischer Ferry334Accessory Electric Equipment</v>
      </c>
      <c r="B99" s="550" t="s">
        <v>1383</v>
      </c>
      <c r="C99" s="551" t="s">
        <v>1342</v>
      </c>
      <c r="D99" s="552" t="s">
        <v>956</v>
      </c>
      <c r="E99" s="551">
        <v>334</v>
      </c>
      <c r="F99" s="551" t="s">
        <v>1355</v>
      </c>
      <c r="G99" s="67">
        <v>8935942</v>
      </c>
      <c r="H99" s="67">
        <v>4204488</v>
      </c>
      <c r="I99" s="67">
        <v>4731454</v>
      </c>
      <c r="J99" s="67">
        <v>285037</v>
      </c>
      <c r="K99" s="1411">
        <v>8935941.8900000006</v>
      </c>
      <c r="L99" s="1411">
        <v>3919451.339760697</v>
      </c>
      <c r="M99" s="1411">
        <v>5016490.5502393041</v>
      </c>
      <c r="N99" s="1411">
        <v>251188.44976069749</v>
      </c>
    </row>
    <row r="100" spans="1:14" s="1167" customFormat="1" ht="15.75" customHeight="1" outlineLevel="1">
      <c r="A100" s="549" t="str">
        <f t="shared" si="4"/>
        <v>Vischer Ferry335Misc Power Plant Equipment</v>
      </c>
      <c r="B100" s="550" t="s">
        <v>1384</v>
      </c>
      <c r="C100" s="551" t="s">
        <v>1342</v>
      </c>
      <c r="D100" s="552" t="s">
        <v>956</v>
      </c>
      <c r="E100" s="551">
        <v>335</v>
      </c>
      <c r="F100" s="551" t="s">
        <v>1357</v>
      </c>
      <c r="G100" s="67">
        <v>910963</v>
      </c>
      <c r="H100" s="67">
        <v>326046</v>
      </c>
      <c r="I100" s="67">
        <v>584917</v>
      </c>
      <c r="J100" s="67">
        <v>20198</v>
      </c>
      <c r="K100" s="1411">
        <v>910962.8899999999</v>
      </c>
      <c r="L100" s="1411">
        <v>305847.38939126785</v>
      </c>
      <c r="M100" s="1411">
        <v>605115.50060873199</v>
      </c>
      <c r="N100" s="1411">
        <v>19693.519391267862</v>
      </c>
    </row>
    <row r="101" spans="1:14" s="1167" customFormat="1" ht="15.75" customHeight="1" outlineLevel="1">
      <c r="A101" s="549" t="str">
        <f>CONCATENATE(D101,E101,F101)</f>
        <v>AdjustmentsCost of Removal Deprec to Reg Assets (Prod)</v>
      </c>
      <c r="B101" s="550" t="s">
        <v>1385</v>
      </c>
      <c r="C101" s="551" t="s">
        <v>1342</v>
      </c>
      <c r="D101" s="568" t="s">
        <v>331</v>
      </c>
      <c r="E101" s="551"/>
      <c r="F101" s="569" t="s">
        <v>1386</v>
      </c>
      <c r="G101" s="67">
        <v>0</v>
      </c>
      <c r="H101" s="67">
        <v>-201214776</v>
      </c>
      <c r="I101" s="67">
        <v>201214776</v>
      </c>
      <c r="J101" s="67">
        <v>0</v>
      </c>
      <c r="K101" s="1411">
        <v>0</v>
      </c>
      <c r="L101" s="1411">
        <v>-195954155</v>
      </c>
      <c r="M101" s="1411">
        <v>195954154.99999997</v>
      </c>
      <c r="N101" s="1411">
        <v>0</v>
      </c>
    </row>
    <row r="102" spans="1:14" s="1167" customFormat="1" ht="15.75" customHeight="1" outlineLevel="1">
      <c r="A102" s="549" t="str">
        <f t="shared" ref="A102:A103" si="5">CONCATENATE(D102,E102,F102)</f>
        <v/>
      </c>
      <c r="B102" s="554" t="s">
        <v>146</v>
      </c>
      <c r="C102" s="551"/>
      <c r="D102" s="551"/>
      <c r="E102" s="67"/>
      <c r="F102" s="551"/>
      <c r="G102" s="67"/>
      <c r="H102" s="67"/>
      <c r="I102" s="67"/>
      <c r="J102" s="67"/>
      <c r="K102" s="67"/>
      <c r="L102" s="67"/>
      <c r="M102" s="67"/>
      <c r="N102" s="67"/>
    </row>
    <row r="103" spans="1:14" s="1167" customFormat="1" ht="15.75" customHeight="1" outlineLevel="1" thickBot="1">
      <c r="A103" s="549" t="str">
        <f t="shared" si="5"/>
        <v/>
      </c>
      <c r="B103" s="554" t="s">
        <v>146</v>
      </c>
      <c r="C103" s="551"/>
      <c r="D103" s="551"/>
      <c r="E103" s="67"/>
      <c r="F103" s="551"/>
      <c r="G103" s="67"/>
      <c r="H103" s="67"/>
      <c r="I103" s="67"/>
      <c r="J103" s="67"/>
      <c r="K103" s="67"/>
      <c r="L103" s="67"/>
      <c r="M103" s="67"/>
      <c r="N103" s="67"/>
    </row>
    <row r="104" spans="1:14" s="1168" customFormat="1" ht="16.5" customHeight="1" thickBot="1">
      <c r="A104" s="549" t="str">
        <f t="shared" si="4"/>
        <v>Production - Hydro Total</v>
      </c>
      <c r="B104" s="1390">
        <v>7</v>
      </c>
      <c r="C104" s="1391"/>
      <c r="D104" s="1391"/>
      <c r="E104" s="1391"/>
      <c r="F104" s="1395" t="s">
        <v>1387</v>
      </c>
      <c r="G104" s="1393">
        <f t="shared" ref="G104:N104" si="6">SUBTOTAL(9,G69:G103)</f>
        <v>2447219441</v>
      </c>
      <c r="H104" s="1393">
        <f t="shared" si="6"/>
        <v>1021322189</v>
      </c>
      <c r="I104" s="1393">
        <f t="shared" si="6"/>
        <v>1425897249</v>
      </c>
      <c r="J104" s="1393">
        <f t="shared" si="6"/>
        <v>55145741</v>
      </c>
      <c r="K104" s="1393">
        <f t="shared" si="6"/>
        <v>2425314047.6399989</v>
      </c>
      <c r="L104" s="1393">
        <f t="shared" si="6"/>
        <v>971437069.1298089</v>
      </c>
      <c r="M104" s="1393">
        <f t="shared" si="6"/>
        <v>1453876978.5101907</v>
      </c>
      <c r="N104" s="1393">
        <f t="shared" si="6"/>
        <v>51904510.279808827</v>
      </c>
    </row>
    <row r="105" spans="1:14" s="1167" customFormat="1" ht="15.75" customHeight="1" outlineLevel="1">
      <c r="A105" s="549" t="str">
        <f t="shared" si="4"/>
        <v/>
      </c>
      <c r="B105" s="555"/>
      <c r="C105" s="556"/>
      <c r="D105" s="566"/>
      <c r="E105" s="556"/>
      <c r="F105" s="385"/>
      <c r="G105" s="68"/>
      <c r="H105" s="68"/>
      <c r="I105" s="68"/>
      <c r="J105" s="68"/>
      <c r="K105" s="68"/>
      <c r="L105" s="68"/>
      <c r="M105" s="68"/>
      <c r="N105" s="68"/>
    </row>
    <row r="106" spans="1:14" s="1167" customFormat="1" ht="15.75" customHeight="1" outlineLevel="1">
      <c r="A106" s="549" t="str">
        <f t="shared" si="4"/>
        <v/>
      </c>
      <c r="B106" s="555"/>
      <c r="C106" s="556"/>
      <c r="D106" s="566"/>
      <c r="E106" s="556"/>
      <c r="F106" s="385"/>
      <c r="G106" s="68"/>
      <c r="H106" s="68"/>
      <c r="I106" s="68"/>
      <c r="J106" s="68"/>
      <c r="K106" s="68"/>
      <c r="L106" s="68"/>
      <c r="M106" s="68"/>
      <c r="N106" s="68"/>
    </row>
    <row r="107" spans="1:14" s="1168" customFormat="1" ht="16.5" customHeight="1" outlineLevel="1" thickBot="1">
      <c r="A107" s="549" t="str">
        <f t="shared" si="4"/>
        <v>Production - Gas turbine/combined cycle</v>
      </c>
      <c r="B107" s="559">
        <v>8</v>
      </c>
      <c r="C107" s="560"/>
      <c r="D107" s="561"/>
      <c r="E107" s="560"/>
      <c r="F107" s="562" t="s">
        <v>1388</v>
      </c>
      <c r="G107" s="563"/>
      <c r="H107" s="563"/>
      <c r="I107" s="563"/>
      <c r="J107" s="563"/>
      <c r="K107" s="563"/>
      <c r="L107" s="563"/>
      <c r="M107" s="563"/>
      <c r="N107" s="563"/>
    </row>
    <row r="108" spans="1:14" s="1167" customFormat="1" ht="15.75" customHeight="1" outlineLevel="1">
      <c r="A108" s="549" t="str">
        <f t="shared" si="4"/>
        <v>500mW C - C at Astoria312Boiler Plant Equipment</v>
      </c>
      <c r="B108" s="550" t="s">
        <v>1257</v>
      </c>
      <c r="C108" s="551" t="s">
        <v>1342</v>
      </c>
      <c r="D108" s="552" t="s">
        <v>1247</v>
      </c>
      <c r="E108" s="551">
        <v>312</v>
      </c>
      <c r="F108" s="551" t="s">
        <v>1389</v>
      </c>
      <c r="G108" s="67">
        <v>111095657</v>
      </c>
      <c r="H108" s="67">
        <v>63352301</v>
      </c>
      <c r="I108" s="67">
        <v>47743356</v>
      </c>
      <c r="J108" s="67">
        <v>3939133</v>
      </c>
      <c r="K108" s="67">
        <v>111095656.88</v>
      </c>
      <c r="L108" s="67">
        <v>59413168.447667673</v>
      </c>
      <c r="M108" s="67">
        <v>51682488.432332322</v>
      </c>
      <c r="N108" s="67">
        <v>3880915.5676676724</v>
      </c>
    </row>
    <row r="109" spans="1:14" s="1167" customFormat="1" ht="15.75" customHeight="1" outlineLevel="1">
      <c r="A109" s="549" t="str">
        <f t="shared" si="4"/>
        <v>500mW C - C at Astoria314TurboGenerator Units</v>
      </c>
      <c r="B109" s="550" t="s">
        <v>1258</v>
      </c>
      <c r="C109" s="551" t="s">
        <v>1342</v>
      </c>
      <c r="D109" s="552" t="s">
        <v>1247</v>
      </c>
      <c r="E109" s="551">
        <v>314</v>
      </c>
      <c r="F109" s="551" t="s">
        <v>1390</v>
      </c>
      <c r="G109" s="67">
        <v>124000044</v>
      </c>
      <c r="H109" s="67">
        <v>69445681</v>
      </c>
      <c r="I109" s="67">
        <v>54554362</v>
      </c>
      <c r="J109" s="67">
        <v>4363754</v>
      </c>
      <c r="K109" s="67">
        <v>121491690.91000003</v>
      </c>
      <c r="L109" s="67">
        <v>65081927.368688852</v>
      </c>
      <c r="M109" s="67">
        <v>56409763.541311175</v>
      </c>
      <c r="N109" s="67">
        <v>4303807.2286888519</v>
      </c>
    </row>
    <row r="110" spans="1:14" s="1167" customFormat="1" ht="15.75" customHeight="1" outlineLevel="1">
      <c r="A110" s="549" t="str">
        <f t="shared" si="4"/>
        <v>500mW C - C at Astoria316Misc Power Plant Equipment</v>
      </c>
      <c r="B110" s="550" t="s">
        <v>1259</v>
      </c>
      <c r="C110" s="551" t="s">
        <v>1342</v>
      </c>
      <c r="D110" s="552" t="s">
        <v>1247</v>
      </c>
      <c r="E110" s="551">
        <v>316</v>
      </c>
      <c r="F110" s="551" t="s">
        <v>1357</v>
      </c>
      <c r="G110" s="67">
        <v>28038202</v>
      </c>
      <c r="H110" s="67">
        <v>17254320</v>
      </c>
      <c r="I110" s="67">
        <v>10783882</v>
      </c>
      <c r="J110" s="67">
        <v>1030171</v>
      </c>
      <c r="K110" s="67">
        <v>27858406.310000006</v>
      </c>
      <c r="L110" s="67">
        <v>16224148.994448453</v>
      </c>
      <c r="M110" s="67">
        <v>11634257.315551553</v>
      </c>
      <c r="N110" s="67">
        <v>1010835.784448453</v>
      </c>
    </row>
    <row r="111" spans="1:14" s="1167" customFormat="1" ht="15.75" customHeight="1" outlineLevel="1">
      <c r="A111" s="549" t="str">
        <f t="shared" si="4"/>
        <v>500mW C - C at Astoria341Structures &amp; Improvements</v>
      </c>
      <c r="B111" s="550" t="s">
        <v>1260</v>
      </c>
      <c r="C111" s="551" t="s">
        <v>1342</v>
      </c>
      <c r="D111" s="552" t="s">
        <v>1247</v>
      </c>
      <c r="E111" s="551">
        <v>341</v>
      </c>
      <c r="F111" s="551" t="s">
        <v>308</v>
      </c>
      <c r="G111" s="67">
        <v>101335825</v>
      </c>
      <c r="H111" s="67">
        <v>63390541</v>
      </c>
      <c r="I111" s="67">
        <v>37945284</v>
      </c>
      <c r="J111" s="67">
        <v>3119086</v>
      </c>
      <c r="K111" s="67">
        <v>101328903.86000003</v>
      </c>
      <c r="L111" s="67">
        <v>60271455.070053451</v>
      </c>
      <c r="M111" s="67">
        <v>41057448.789946578</v>
      </c>
      <c r="N111" s="67">
        <v>3396845.7200534511</v>
      </c>
    </row>
    <row r="112" spans="1:14" s="1167" customFormat="1" ht="15.75" customHeight="1" outlineLevel="1">
      <c r="A112" s="549" t="str">
        <f t="shared" si="4"/>
        <v>500mW C - C at Astoria342FuelHolders, Producers, Accessory</v>
      </c>
      <c r="B112" s="550" t="s">
        <v>1261</v>
      </c>
      <c r="C112" s="551" t="s">
        <v>1342</v>
      </c>
      <c r="D112" s="552" t="s">
        <v>1247</v>
      </c>
      <c r="E112" s="551">
        <v>342</v>
      </c>
      <c r="F112" s="551" t="s">
        <v>1391</v>
      </c>
      <c r="G112" s="67">
        <v>73092940</v>
      </c>
      <c r="H112" s="67">
        <v>38090683</v>
      </c>
      <c r="I112" s="67">
        <v>35002256</v>
      </c>
      <c r="J112" s="67">
        <v>2903473</v>
      </c>
      <c r="K112" s="67">
        <v>73092939.609999999</v>
      </c>
      <c r="L112" s="67">
        <v>35187209.766319148</v>
      </c>
      <c r="M112" s="67">
        <v>37905729.843680851</v>
      </c>
      <c r="N112" s="67">
        <v>2782190.896319143</v>
      </c>
    </row>
    <row r="113" spans="1:14" s="1167" customFormat="1" ht="15.75" customHeight="1" outlineLevel="1">
      <c r="A113" s="549" t="str">
        <f t="shared" si="4"/>
        <v>500mW C - C at Astoria344Generators</v>
      </c>
      <c r="B113" s="550" t="s">
        <v>1392</v>
      </c>
      <c r="C113" s="551" t="s">
        <v>1342</v>
      </c>
      <c r="D113" s="552" t="s">
        <v>1247</v>
      </c>
      <c r="E113" s="551">
        <v>344</v>
      </c>
      <c r="F113" s="551" t="s">
        <v>1393</v>
      </c>
      <c r="G113" s="67">
        <v>188035955</v>
      </c>
      <c r="H113" s="67">
        <v>112150829</v>
      </c>
      <c r="I113" s="67">
        <v>75885126</v>
      </c>
      <c r="J113" s="67">
        <v>6290818</v>
      </c>
      <c r="K113" s="67">
        <v>187986033.17999992</v>
      </c>
      <c r="L113" s="67">
        <v>105860010.45910119</v>
      </c>
      <c r="M113" s="67">
        <v>82126022.720898733</v>
      </c>
      <c r="N113" s="67">
        <v>5413641.6191011462</v>
      </c>
    </row>
    <row r="114" spans="1:14" s="1167" customFormat="1" ht="15.75" customHeight="1" outlineLevel="1">
      <c r="A114" s="549" t="str">
        <f t="shared" si="4"/>
        <v>500mW C - C at Astoria345Accessory Electric Equipment</v>
      </c>
      <c r="B114" s="550" t="s">
        <v>1394</v>
      </c>
      <c r="C114" s="551" t="s">
        <v>1342</v>
      </c>
      <c r="D114" s="552" t="s">
        <v>1247</v>
      </c>
      <c r="E114" s="551">
        <v>345</v>
      </c>
      <c r="F114" s="551" t="s">
        <v>1355</v>
      </c>
      <c r="G114" s="67">
        <v>29359887</v>
      </c>
      <c r="H114" s="67">
        <v>16479127</v>
      </c>
      <c r="I114" s="67">
        <v>12880759</v>
      </c>
      <c r="J114" s="67">
        <v>1049135</v>
      </c>
      <c r="K114" s="67">
        <v>29359886.810000002</v>
      </c>
      <c r="L114" s="67">
        <v>15429992.102749912</v>
      </c>
      <c r="M114" s="67">
        <v>13929894.70725009</v>
      </c>
      <c r="N114" s="67">
        <v>1027889.2927499112</v>
      </c>
    </row>
    <row r="115" spans="1:14" s="1167" customFormat="1" ht="15.75" customHeight="1" outlineLevel="1">
      <c r="A115" s="549" t="str">
        <f t="shared" si="4"/>
        <v>500mW C - C at Astoria346Misc Power Plant Equipment</v>
      </c>
      <c r="B115" s="550" t="s">
        <v>1395</v>
      </c>
      <c r="C115" s="551" t="s">
        <v>1342</v>
      </c>
      <c r="D115" s="552" t="s">
        <v>1247</v>
      </c>
      <c r="E115" s="551">
        <v>346</v>
      </c>
      <c r="F115" s="551" t="s">
        <v>1357</v>
      </c>
      <c r="G115" s="67">
        <v>12477246</v>
      </c>
      <c r="H115" s="67">
        <v>1241648</v>
      </c>
      <c r="I115" s="67">
        <v>11235598</v>
      </c>
      <c r="J115" s="67">
        <v>453589</v>
      </c>
      <c r="K115" s="67">
        <v>12425410.93</v>
      </c>
      <c r="L115" s="67">
        <v>788059.21664308454</v>
      </c>
      <c r="M115" s="67">
        <v>11637351.713356916</v>
      </c>
      <c r="N115" s="67">
        <v>524518.51664308459</v>
      </c>
    </row>
    <row r="116" spans="1:14" s="1167" customFormat="1" ht="15.75" customHeight="1" outlineLevel="1">
      <c r="A116" s="549" t="str">
        <f t="shared" si="4"/>
        <v>BRENTWOOD  (Long Island)341Structures &amp; Improvements</v>
      </c>
      <c r="B116" s="550" t="s">
        <v>1396</v>
      </c>
      <c r="C116" s="551" t="s">
        <v>1342</v>
      </c>
      <c r="D116" s="552" t="s">
        <v>1263</v>
      </c>
      <c r="E116" s="551">
        <v>341</v>
      </c>
      <c r="F116" s="551" t="s">
        <v>308</v>
      </c>
      <c r="G116" s="67">
        <v>1113987</v>
      </c>
      <c r="H116" s="67">
        <v>722489</v>
      </c>
      <c r="I116" s="67">
        <v>391498</v>
      </c>
      <c r="J116" s="67">
        <v>29208</v>
      </c>
      <c r="K116" s="67">
        <v>1113986.5</v>
      </c>
      <c r="L116" s="67">
        <v>693280.2464726622</v>
      </c>
      <c r="M116" s="67">
        <v>420706.2535273378</v>
      </c>
      <c r="N116" s="67">
        <v>22001.225412662243</v>
      </c>
    </row>
    <row r="117" spans="1:14" s="1167" customFormat="1" ht="15.75" customHeight="1" outlineLevel="1">
      <c r="A117" s="549" t="str">
        <f t="shared" si="4"/>
        <v>BRENTWOOD  (Long Island)342FuelHolders, Producers, Accessory</v>
      </c>
      <c r="B117" s="550" t="s">
        <v>1397</v>
      </c>
      <c r="C117" s="551" t="s">
        <v>1342</v>
      </c>
      <c r="D117" s="552" t="s">
        <v>1263</v>
      </c>
      <c r="E117" s="551">
        <v>342</v>
      </c>
      <c r="F117" s="551" t="s">
        <v>1391</v>
      </c>
      <c r="G117" s="67">
        <v>4568699</v>
      </c>
      <c r="H117" s="67">
        <v>2582778</v>
      </c>
      <c r="I117" s="67">
        <v>1985921</v>
      </c>
      <c r="J117" s="67">
        <v>148524</v>
      </c>
      <c r="K117" s="67">
        <v>4365607.83</v>
      </c>
      <c r="L117" s="67">
        <v>2434253.6129844757</v>
      </c>
      <c r="M117" s="67">
        <v>1931354.2170155244</v>
      </c>
      <c r="N117" s="67">
        <v>142925.5479744758</v>
      </c>
    </row>
    <row r="118" spans="1:14" s="1167" customFormat="1" ht="15.75" customHeight="1" outlineLevel="1">
      <c r="A118" s="549" t="str">
        <f t="shared" si="4"/>
        <v>BRENTWOOD  (Long Island)344Generators</v>
      </c>
      <c r="B118" s="550" t="s">
        <v>1398</v>
      </c>
      <c r="C118" s="551" t="s">
        <v>1342</v>
      </c>
      <c r="D118" s="552" t="s">
        <v>1263</v>
      </c>
      <c r="E118" s="551">
        <v>344</v>
      </c>
      <c r="F118" s="551" t="s">
        <v>1393</v>
      </c>
      <c r="G118" s="67">
        <v>41318968</v>
      </c>
      <c r="H118" s="67">
        <v>28599824</v>
      </c>
      <c r="I118" s="67">
        <v>12719144</v>
      </c>
      <c r="J118" s="67">
        <v>1995813</v>
      </c>
      <c r="K118" s="67">
        <v>41318967.910000004</v>
      </c>
      <c r="L118" s="67">
        <v>26604011.461068708</v>
      </c>
      <c r="M118" s="67">
        <v>14714956.448931295</v>
      </c>
      <c r="N118" s="67">
        <v>822444.07676870748</v>
      </c>
    </row>
    <row r="119" spans="1:14" s="1167" customFormat="1" ht="15.75" customHeight="1" outlineLevel="1">
      <c r="A119" s="549" t="str">
        <f t="shared" si="4"/>
        <v>BRENTWOOD  (Long Island)345Accessory Electric Equipment</v>
      </c>
      <c r="B119" s="550" t="s">
        <v>1399</v>
      </c>
      <c r="C119" s="551" t="s">
        <v>1342</v>
      </c>
      <c r="D119" s="552" t="s">
        <v>1263</v>
      </c>
      <c r="E119" s="551">
        <v>345</v>
      </c>
      <c r="F119" s="551" t="s">
        <v>1355</v>
      </c>
      <c r="G119" s="67">
        <v>1838521</v>
      </c>
      <c r="H119" s="67">
        <v>1312374</v>
      </c>
      <c r="I119" s="67">
        <v>526147</v>
      </c>
      <c r="J119" s="67">
        <v>40064</v>
      </c>
      <c r="K119" s="67">
        <v>1838521</v>
      </c>
      <c r="L119" s="67">
        <v>1272309.9461156179</v>
      </c>
      <c r="M119" s="67">
        <v>566211.05388438213</v>
      </c>
      <c r="N119" s="67">
        <v>30178.376485617944</v>
      </c>
    </row>
    <row r="120" spans="1:14" s="1167" customFormat="1" ht="15.75" customHeight="1" outlineLevel="1">
      <c r="A120" s="549" t="str">
        <f t="shared" si="4"/>
        <v>BRENTWOOD  (Long Island)346Misc Power Plant Equipment</v>
      </c>
      <c r="B120" s="550" t="s">
        <v>1400</v>
      </c>
      <c r="C120" s="551" t="s">
        <v>1342</v>
      </c>
      <c r="D120" s="552" t="s">
        <v>1263</v>
      </c>
      <c r="E120" s="551">
        <v>346</v>
      </c>
      <c r="F120" s="551" t="s">
        <v>1357</v>
      </c>
      <c r="G120" s="67">
        <v>0</v>
      </c>
      <c r="H120" s="67">
        <v>0</v>
      </c>
      <c r="I120" s="67">
        <v>0</v>
      </c>
      <c r="J120" s="67">
        <v>0</v>
      </c>
      <c r="K120" s="67">
        <v>0</v>
      </c>
      <c r="L120" s="67">
        <v>0</v>
      </c>
      <c r="M120" s="67">
        <v>0</v>
      </c>
      <c r="N120" s="67">
        <v>0</v>
      </c>
    </row>
    <row r="121" spans="1:14" s="1167" customFormat="1" ht="15.75" customHeight="1" outlineLevel="1">
      <c r="A121" s="549" t="str">
        <f t="shared" si="4"/>
        <v>FLYNN  (Holtsville)341Structures &amp; Improvements</v>
      </c>
      <c r="B121" s="550" t="s">
        <v>1401</v>
      </c>
      <c r="C121" s="551" t="s">
        <v>1342</v>
      </c>
      <c r="D121" s="552" t="s">
        <v>1254</v>
      </c>
      <c r="E121" s="551">
        <v>341</v>
      </c>
      <c r="F121" s="551" t="s">
        <v>308</v>
      </c>
      <c r="G121" s="67">
        <v>9843853</v>
      </c>
      <c r="H121" s="67">
        <v>6154710</v>
      </c>
      <c r="I121" s="67">
        <v>3689143</v>
      </c>
      <c r="J121" s="67">
        <v>307864</v>
      </c>
      <c r="K121" s="67">
        <v>9843853.2799999975</v>
      </c>
      <c r="L121" s="67">
        <v>5846845.6967111528</v>
      </c>
      <c r="M121" s="67">
        <v>3997007.5832888447</v>
      </c>
      <c r="N121" s="67">
        <v>307657.4167111523</v>
      </c>
    </row>
    <row r="122" spans="1:14" s="1167" customFormat="1" ht="15.75" customHeight="1" outlineLevel="1">
      <c r="A122" s="549" t="str">
        <f t="shared" si="4"/>
        <v>FLYNN  (Holtsville)342FuelHolders, Producers, Accessory</v>
      </c>
      <c r="B122" s="550" t="s">
        <v>1402</v>
      </c>
      <c r="C122" s="551" t="s">
        <v>1342</v>
      </c>
      <c r="D122" s="552" t="s">
        <v>1254</v>
      </c>
      <c r="E122" s="551">
        <v>342</v>
      </c>
      <c r="F122" s="551" t="s">
        <v>1391</v>
      </c>
      <c r="G122" s="67">
        <v>16776431</v>
      </c>
      <c r="H122" s="67">
        <v>8823201</v>
      </c>
      <c r="I122" s="67">
        <v>7953229</v>
      </c>
      <c r="J122" s="67">
        <v>696107</v>
      </c>
      <c r="K122" s="67">
        <v>16776430.539999999</v>
      </c>
      <c r="L122" s="67">
        <v>8127094.0006154189</v>
      </c>
      <c r="M122" s="67">
        <v>8649336.5393845811</v>
      </c>
      <c r="N122" s="67">
        <v>628099.32061541814</v>
      </c>
    </row>
    <row r="123" spans="1:14" s="1167" customFormat="1" ht="15.75" customHeight="1" outlineLevel="1">
      <c r="A123" s="549" t="str">
        <f t="shared" si="4"/>
        <v>FLYNN  (Holtsville)344Generators</v>
      </c>
      <c r="B123" s="550" t="s">
        <v>1403</v>
      </c>
      <c r="C123" s="551" t="s">
        <v>1342</v>
      </c>
      <c r="D123" s="552" t="s">
        <v>1254</v>
      </c>
      <c r="E123" s="551">
        <v>344</v>
      </c>
      <c r="F123" s="551" t="s">
        <v>1393</v>
      </c>
      <c r="G123" s="67">
        <v>159217690</v>
      </c>
      <c r="H123" s="67">
        <v>95297875</v>
      </c>
      <c r="I123" s="67">
        <v>63919814</v>
      </c>
      <c r="J123" s="67">
        <v>4439183</v>
      </c>
      <c r="K123" s="67">
        <v>159217689.91</v>
      </c>
      <c r="L123" s="67">
        <v>90858692.542171195</v>
      </c>
      <c r="M123" s="67">
        <v>68358997.367828801</v>
      </c>
      <c r="N123" s="67">
        <v>4252328.7721712012</v>
      </c>
    </row>
    <row r="124" spans="1:14" s="1167" customFormat="1" ht="15.75" customHeight="1" outlineLevel="1">
      <c r="A124" s="549" t="str">
        <f t="shared" si="4"/>
        <v>FLYNN  (Holtsville)345Accessory Electric Equipment</v>
      </c>
      <c r="B124" s="550" t="s">
        <v>1404</v>
      </c>
      <c r="C124" s="551" t="s">
        <v>1342</v>
      </c>
      <c r="D124" s="552" t="s">
        <v>1254</v>
      </c>
      <c r="E124" s="551">
        <v>345</v>
      </c>
      <c r="F124" s="551" t="s">
        <v>1355</v>
      </c>
      <c r="G124" s="67">
        <v>8479559</v>
      </c>
      <c r="H124" s="67">
        <v>2304318</v>
      </c>
      <c r="I124" s="67">
        <v>6175241</v>
      </c>
      <c r="J124" s="67">
        <v>157355</v>
      </c>
      <c r="K124" s="67">
        <v>8479559.3999999985</v>
      </c>
      <c r="L124" s="67">
        <v>2146963.0995376059</v>
      </c>
      <c r="M124" s="67">
        <v>6332596.3004623931</v>
      </c>
      <c r="N124" s="67">
        <v>177286.68953760603</v>
      </c>
    </row>
    <row r="125" spans="1:14" s="1167" customFormat="1" ht="15.75" customHeight="1" outlineLevel="1">
      <c r="A125" s="549" t="str">
        <f t="shared" si="4"/>
        <v>FLYNN  (Holtsville)346Misc Power Plant Equipment</v>
      </c>
      <c r="B125" s="550" t="s">
        <v>1405</v>
      </c>
      <c r="C125" s="551" t="s">
        <v>1342</v>
      </c>
      <c r="D125" s="552" t="s">
        <v>1254</v>
      </c>
      <c r="E125" s="551">
        <v>346</v>
      </c>
      <c r="F125" s="551" t="s">
        <v>1357</v>
      </c>
      <c r="G125" s="67">
        <v>3736375</v>
      </c>
      <c r="H125" s="67">
        <v>2608615</v>
      </c>
      <c r="I125" s="67">
        <v>1127761</v>
      </c>
      <c r="J125" s="67">
        <v>100435</v>
      </c>
      <c r="K125" s="67">
        <v>3736375.42</v>
      </c>
      <c r="L125" s="67">
        <v>2508179.3534517279</v>
      </c>
      <c r="M125" s="67">
        <v>1228196.066548272</v>
      </c>
      <c r="N125" s="67">
        <v>104799.91345172789</v>
      </c>
    </row>
    <row r="126" spans="1:14" s="1167" customFormat="1" ht="15.75" customHeight="1" outlineLevel="1">
      <c r="A126" s="549" t="str">
        <f t="shared" si="4"/>
        <v>GOWANUS  (Brooklyn)341Structures &amp; Improvements</v>
      </c>
      <c r="B126" s="550" t="s">
        <v>1406</v>
      </c>
      <c r="C126" s="551" t="s">
        <v>1342</v>
      </c>
      <c r="D126" s="552" t="s">
        <v>1265</v>
      </c>
      <c r="E126" s="551">
        <v>341</v>
      </c>
      <c r="F126" s="551" t="s">
        <v>308</v>
      </c>
      <c r="G126" s="67">
        <v>4818706</v>
      </c>
      <c r="H126" s="67">
        <v>1888559</v>
      </c>
      <c r="I126" s="67">
        <v>2930147</v>
      </c>
      <c r="J126" s="67">
        <v>78143</v>
      </c>
      <c r="K126" s="67">
        <v>4818706</v>
      </c>
      <c r="L126" s="67">
        <v>1810415.5883078368</v>
      </c>
      <c r="M126" s="67">
        <v>3008290.411692163</v>
      </c>
      <c r="N126" s="67">
        <v>34688.233940108534</v>
      </c>
    </row>
    <row r="127" spans="1:14" s="1167" customFormat="1" ht="15.75" customHeight="1" outlineLevel="1">
      <c r="A127" s="549" t="str">
        <f t="shared" si="4"/>
        <v>GOWANUS  (Brooklyn)342FuelHolders, Producers, Accessory</v>
      </c>
      <c r="B127" s="550" t="s">
        <v>1407</v>
      </c>
      <c r="C127" s="551" t="s">
        <v>1342</v>
      </c>
      <c r="D127" s="552" t="s">
        <v>1265</v>
      </c>
      <c r="E127" s="551">
        <v>342</v>
      </c>
      <c r="F127" s="551" t="s">
        <v>1391</v>
      </c>
      <c r="G127" s="67">
        <v>7087809</v>
      </c>
      <c r="H127" s="67">
        <v>3573761</v>
      </c>
      <c r="I127" s="67">
        <v>3514049</v>
      </c>
      <c r="J127" s="67">
        <v>8138</v>
      </c>
      <c r="K127" s="67">
        <v>6884718.3200000003</v>
      </c>
      <c r="L127" s="67">
        <v>3565622.7754387339</v>
      </c>
      <c r="M127" s="67">
        <v>3319095.5445612664</v>
      </c>
      <c r="N127" s="67">
        <v>55783.332432879259</v>
      </c>
    </row>
    <row r="128" spans="1:14" s="1167" customFormat="1" ht="15.75" customHeight="1" outlineLevel="1">
      <c r="A128" s="549" t="str">
        <f t="shared" si="4"/>
        <v>GOWANUS  (Brooklyn)344Generators</v>
      </c>
      <c r="B128" s="550" t="s">
        <v>1408</v>
      </c>
      <c r="C128" s="551" t="s">
        <v>1342</v>
      </c>
      <c r="D128" s="552" t="s">
        <v>1265</v>
      </c>
      <c r="E128" s="551">
        <v>344</v>
      </c>
      <c r="F128" s="551" t="s">
        <v>1393</v>
      </c>
      <c r="G128" s="67">
        <v>83848458</v>
      </c>
      <c r="H128" s="67">
        <v>54772276</v>
      </c>
      <c r="I128" s="67">
        <v>29076181</v>
      </c>
      <c r="J128" s="67">
        <v>1612850</v>
      </c>
      <c r="K128" s="67">
        <v>83848457.650000021</v>
      </c>
      <c r="L128" s="67">
        <v>53159425.845730014</v>
      </c>
      <c r="M128" s="67">
        <v>30689031.804270007</v>
      </c>
      <c r="N128" s="67">
        <v>-13903.731458041293</v>
      </c>
    </row>
    <row r="129" spans="1:14" s="1167" customFormat="1" ht="15.75" customHeight="1" outlineLevel="1">
      <c r="A129" s="549" t="str">
        <f t="shared" si="4"/>
        <v>GOWANUS  (Brooklyn)345Accessory Electric Equipment</v>
      </c>
      <c r="B129" s="550" t="s">
        <v>1409</v>
      </c>
      <c r="C129" s="551" t="s">
        <v>1342</v>
      </c>
      <c r="D129" s="552" t="s">
        <v>1265</v>
      </c>
      <c r="E129" s="551">
        <v>345</v>
      </c>
      <c r="F129" s="551" t="s">
        <v>1355</v>
      </c>
      <c r="G129" s="67">
        <v>10988750</v>
      </c>
      <c r="H129" s="67">
        <v>2670946</v>
      </c>
      <c r="I129" s="67">
        <v>8317804</v>
      </c>
      <c r="J129" s="67">
        <v>829</v>
      </c>
      <c r="K129" s="67">
        <v>10035430.690000001</v>
      </c>
      <c r="L129" s="67">
        <v>2670116.8125510467</v>
      </c>
      <c r="M129" s="67">
        <v>7365313.8774489546</v>
      </c>
      <c r="N129" s="67">
        <v>188359.89711267687</v>
      </c>
    </row>
    <row r="130" spans="1:14" s="1167" customFormat="1" ht="15.75" customHeight="1" outlineLevel="1">
      <c r="A130" s="549" t="str">
        <f t="shared" si="4"/>
        <v>GOWANUS  (Brooklyn)346Misc Power Plant Equipment</v>
      </c>
      <c r="B130" s="550" t="s">
        <v>1410</v>
      </c>
      <c r="C130" s="551" t="s">
        <v>1342</v>
      </c>
      <c r="D130" s="552" t="s">
        <v>1265</v>
      </c>
      <c r="E130" s="551">
        <v>346</v>
      </c>
      <c r="F130" s="551" t="s">
        <v>1357</v>
      </c>
      <c r="G130" s="67">
        <v>0</v>
      </c>
      <c r="H130" s="67">
        <v>0</v>
      </c>
      <c r="I130" s="67">
        <v>0</v>
      </c>
      <c r="J130" s="67">
        <v>0</v>
      </c>
      <c r="K130" s="67">
        <v>0</v>
      </c>
      <c r="L130" s="67">
        <v>0</v>
      </c>
      <c r="M130" s="67">
        <v>0</v>
      </c>
      <c r="N130" s="67">
        <v>0</v>
      </c>
    </row>
    <row r="131" spans="1:14" s="1167" customFormat="1" ht="15.75" customHeight="1" outlineLevel="1">
      <c r="A131" s="549" t="str">
        <f t="shared" si="4"/>
        <v>HARLEM RIVER YARDS  (Bronx)341Structures &amp; Improvements</v>
      </c>
      <c r="B131" s="550" t="s">
        <v>1411</v>
      </c>
      <c r="C131" s="551" t="s">
        <v>1342</v>
      </c>
      <c r="D131" s="552" t="s">
        <v>1267</v>
      </c>
      <c r="E131" s="551">
        <v>341</v>
      </c>
      <c r="F131" s="551" t="s">
        <v>308</v>
      </c>
      <c r="G131" s="67">
        <v>1933673</v>
      </c>
      <c r="H131" s="67">
        <v>1775770</v>
      </c>
      <c r="I131" s="67">
        <v>157904</v>
      </c>
      <c r="J131" s="67">
        <v>14010</v>
      </c>
      <c r="K131" s="67">
        <v>1933673.09</v>
      </c>
      <c r="L131" s="67">
        <v>1761759.57</v>
      </c>
      <c r="M131" s="67">
        <v>171913.52000000002</v>
      </c>
      <c r="N131" s="67">
        <v>21154.880000000001</v>
      </c>
    </row>
    <row r="132" spans="1:14" s="1167" customFormat="1" ht="15.75" customHeight="1" outlineLevel="1">
      <c r="A132" s="549" t="str">
        <f t="shared" si="4"/>
        <v>HARLEM RIVER YARDS  (Bronx)342FuelHolders, Producers, Accessory</v>
      </c>
      <c r="B132" s="550" t="s">
        <v>1412</v>
      </c>
      <c r="C132" s="551" t="s">
        <v>1342</v>
      </c>
      <c r="D132" s="552" t="s">
        <v>1267</v>
      </c>
      <c r="E132" s="551">
        <v>342</v>
      </c>
      <c r="F132" s="551" t="s">
        <v>1391</v>
      </c>
      <c r="G132" s="67">
        <v>5491716</v>
      </c>
      <c r="H132" s="67">
        <v>331909</v>
      </c>
      <c r="I132" s="67">
        <v>5159807</v>
      </c>
      <c r="J132" s="67">
        <v>17965</v>
      </c>
      <c r="K132" s="67">
        <v>5288624.8899999997</v>
      </c>
      <c r="L132" s="67">
        <v>313944.42485826556</v>
      </c>
      <c r="M132" s="67">
        <v>4974680.4651417341</v>
      </c>
      <c r="N132" s="67">
        <v>65990.494858265563</v>
      </c>
    </row>
    <row r="133" spans="1:14" s="1167" customFormat="1" ht="15.75" customHeight="1" outlineLevel="1">
      <c r="A133" s="549" t="str">
        <f t="shared" si="4"/>
        <v>HARLEM RIVER YARDS  (Bronx)344Generators</v>
      </c>
      <c r="B133" s="550" t="s">
        <v>1413</v>
      </c>
      <c r="C133" s="551" t="s">
        <v>1342</v>
      </c>
      <c r="D133" s="552" t="s">
        <v>1267</v>
      </c>
      <c r="E133" s="551">
        <v>344</v>
      </c>
      <c r="F133" s="551" t="s">
        <v>1393</v>
      </c>
      <c r="G133" s="67">
        <v>83459577</v>
      </c>
      <c r="H133" s="67">
        <v>88169935</v>
      </c>
      <c r="I133" s="67">
        <v>-4710358</v>
      </c>
      <c r="J133" s="67">
        <v>93445</v>
      </c>
      <c r="K133" s="67">
        <v>83459576.930000007</v>
      </c>
      <c r="L133" s="67">
        <v>88076490.130240172</v>
      </c>
      <c r="M133" s="67">
        <v>-4616913.200240165</v>
      </c>
      <c r="N133" s="67">
        <v>102458.53024018368</v>
      </c>
    </row>
    <row r="134" spans="1:14" s="1167" customFormat="1" ht="15.75" customHeight="1" outlineLevel="1">
      <c r="A134" s="549" t="str">
        <f t="shared" si="4"/>
        <v>HARLEM RIVER YARDS  (Bronx)345Accessory Electric Equipment</v>
      </c>
      <c r="B134" s="550" t="s">
        <v>1414</v>
      </c>
      <c r="C134" s="551" t="s">
        <v>1342</v>
      </c>
      <c r="D134" s="552" t="s">
        <v>1267</v>
      </c>
      <c r="E134" s="551">
        <v>345</v>
      </c>
      <c r="F134" s="551" t="s">
        <v>1355</v>
      </c>
      <c r="G134" s="67">
        <v>4388884</v>
      </c>
      <c r="H134" s="67">
        <v>3739835</v>
      </c>
      <c r="I134" s="67">
        <v>649050</v>
      </c>
      <c r="J134" s="67" t="s">
        <v>2086</v>
      </c>
      <c r="K134" s="67">
        <v>3636503</v>
      </c>
      <c r="L134" s="67">
        <v>3739834.9452401586</v>
      </c>
      <c r="M134" s="67">
        <v>-103331.94524015859</v>
      </c>
      <c r="N134" s="67">
        <v>-61048.054759841616</v>
      </c>
    </row>
    <row r="135" spans="1:14" s="1167" customFormat="1" ht="15.75" customHeight="1" outlineLevel="1">
      <c r="A135" s="549" t="str">
        <f t="shared" si="4"/>
        <v>HARLEM RIVER YARDS  (Bronx)346Misc Power Plant Equipment</v>
      </c>
      <c r="B135" s="550" t="s">
        <v>1415</v>
      </c>
      <c r="C135" s="551" t="s">
        <v>1342</v>
      </c>
      <c r="D135" s="552" t="s">
        <v>1267</v>
      </c>
      <c r="E135" s="551">
        <v>346</v>
      </c>
      <c r="F135" s="551" t="s">
        <v>1357</v>
      </c>
      <c r="G135" s="67">
        <v>0</v>
      </c>
      <c r="H135" s="67">
        <v>0</v>
      </c>
      <c r="I135" s="67">
        <v>0</v>
      </c>
      <c r="J135" s="67">
        <v>0</v>
      </c>
      <c r="K135" s="67">
        <v>0</v>
      </c>
      <c r="L135" s="67">
        <v>0</v>
      </c>
      <c r="M135" s="67">
        <v>0</v>
      </c>
      <c r="N135" s="67">
        <v>0</v>
      </c>
    </row>
    <row r="136" spans="1:14" s="1167" customFormat="1" ht="15.75" customHeight="1" outlineLevel="1">
      <c r="A136" s="549" t="str">
        <f t="shared" si="4"/>
        <v>HELLGATE  (Bronx)341Structures &amp; Improvements</v>
      </c>
      <c r="B136" s="550" t="s">
        <v>1416</v>
      </c>
      <c r="C136" s="551" t="s">
        <v>1342</v>
      </c>
      <c r="D136" s="552" t="s">
        <v>1269</v>
      </c>
      <c r="E136" s="551">
        <v>341</v>
      </c>
      <c r="F136" s="551" t="s">
        <v>308</v>
      </c>
      <c r="G136" s="67">
        <v>2445759</v>
      </c>
      <c r="H136" s="67">
        <v>1746573</v>
      </c>
      <c r="I136" s="67">
        <v>699186</v>
      </c>
      <c r="J136" s="67">
        <v>36500</v>
      </c>
      <c r="K136" s="67">
        <v>2445759.06</v>
      </c>
      <c r="L136" s="67">
        <v>1710073.4271370296</v>
      </c>
      <c r="M136" s="67">
        <v>735685.63286297047</v>
      </c>
      <c r="N136" s="67">
        <v>23082.997137029444</v>
      </c>
    </row>
    <row r="137" spans="1:14" s="1167" customFormat="1" ht="15.75" customHeight="1" outlineLevel="1">
      <c r="A137" s="549" t="str">
        <f t="shared" si="4"/>
        <v>HELLGATE  (Bronx)342FuelHolders, Producers, Accessory</v>
      </c>
      <c r="B137" s="550" t="s">
        <v>1417</v>
      </c>
      <c r="C137" s="551" t="s">
        <v>1342</v>
      </c>
      <c r="D137" s="552" t="s">
        <v>1269</v>
      </c>
      <c r="E137" s="551">
        <v>342</v>
      </c>
      <c r="F137" s="551" t="s">
        <v>1391</v>
      </c>
      <c r="G137" s="67">
        <v>9290984</v>
      </c>
      <c r="H137" s="67">
        <v>7456613</v>
      </c>
      <c r="I137" s="67">
        <v>1834371</v>
      </c>
      <c r="J137" s="67">
        <v>71227</v>
      </c>
      <c r="K137" s="67">
        <v>9087892.9399999995</v>
      </c>
      <c r="L137" s="67">
        <v>7385385.6313829031</v>
      </c>
      <c r="M137" s="67">
        <v>1702507.3086170964</v>
      </c>
      <c r="N137" s="67">
        <v>66410.691382902791</v>
      </c>
    </row>
    <row r="138" spans="1:14" s="1167" customFormat="1" ht="15.75" customHeight="1" outlineLevel="1">
      <c r="A138" s="549" t="str">
        <f t="shared" si="4"/>
        <v>HELLGATE  (Bronx)344Generators</v>
      </c>
      <c r="B138" s="550" t="s">
        <v>1418</v>
      </c>
      <c r="C138" s="551" t="s">
        <v>1342</v>
      </c>
      <c r="D138" s="552" t="s">
        <v>1269</v>
      </c>
      <c r="E138" s="551">
        <v>344</v>
      </c>
      <c r="F138" s="551" t="s">
        <v>1393</v>
      </c>
      <c r="G138" s="67">
        <v>85503230</v>
      </c>
      <c r="H138" s="67">
        <v>88574354</v>
      </c>
      <c r="I138" s="67">
        <v>-3071124</v>
      </c>
      <c r="J138" s="67">
        <v>89339</v>
      </c>
      <c r="K138" s="67">
        <v>85503229.640000001</v>
      </c>
      <c r="L138" s="67">
        <v>88485014.635240152</v>
      </c>
      <c r="M138" s="67">
        <v>-2981784.9952401519</v>
      </c>
      <c r="N138" s="67">
        <v>28290.945240158384</v>
      </c>
    </row>
    <row r="139" spans="1:14" s="1167" customFormat="1" ht="15.75" customHeight="1" outlineLevel="1">
      <c r="A139" s="549" t="str">
        <f t="shared" si="4"/>
        <v>HELLGATE  (Bronx)345Accessory Electric Equipment</v>
      </c>
      <c r="B139" s="550" t="s">
        <v>1419</v>
      </c>
      <c r="C139" s="551" t="s">
        <v>1342</v>
      </c>
      <c r="D139" s="552" t="s">
        <v>1269</v>
      </c>
      <c r="E139" s="551">
        <v>345</v>
      </c>
      <c r="F139" s="551" t="s">
        <v>1355</v>
      </c>
      <c r="G139" s="67">
        <v>9743626</v>
      </c>
      <c r="H139" s="67">
        <v>4219457</v>
      </c>
      <c r="I139" s="67">
        <v>5524169</v>
      </c>
      <c r="J139" s="67">
        <v>378497</v>
      </c>
      <c r="K139" s="67">
        <v>8951371.2199999988</v>
      </c>
      <c r="L139" s="67">
        <v>3840960.2199999997</v>
      </c>
      <c r="M139" s="67">
        <v>5110410.9999999991</v>
      </c>
      <c r="N139" s="67">
        <v>143610.29999999999</v>
      </c>
    </row>
    <row r="140" spans="1:14" s="1167" customFormat="1" ht="15.75" customHeight="1" outlineLevel="1">
      <c r="A140" s="549" t="str">
        <f t="shared" si="4"/>
        <v>HELLGATE  (Bronx)346Misc Power Plant Equipment</v>
      </c>
      <c r="B140" s="550" t="s">
        <v>1420</v>
      </c>
      <c r="C140" s="551" t="s">
        <v>1342</v>
      </c>
      <c r="D140" s="552" t="s">
        <v>1269</v>
      </c>
      <c r="E140" s="551">
        <v>346</v>
      </c>
      <c r="F140" s="551" t="s">
        <v>1357</v>
      </c>
      <c r="G140" s="67">
        <v>0</v>
      </c>
      <c r="H140" s="67">
        <v>0</v>
      </c>
      <c r="I140" s="67">
        <v>0</v>
      </c>
      <c r="J140" s="67">
        <v>0</v>
      </c>
      <c r="K140" s="67">
        <v>0</v>
      </c>
      <c r="L140" s="67">
        <v>0</v>
      </c>
      <c r="M140" s="67">
        <v>0</v>
      </c>
      <c r="N140" s="67">
        <v>0</v>
      </c>
    </row>
    <row r="141" spans="1:14" s="1167" customFormat="1" ht="15.75" customHeight="1" outlineLevel="1">
      <c r="A141" s="549" t="str">
        <f t="shared" si="4"/>
        <v>KENT  (Brooklyn)341Structures &amp; Improvements</v>
      </c>
      <c r="B141" s="550" t="s">
        <v>1421</v>
      </c>
      <c r="C141" s="551" t="s">
        <v>1342</v>
      </c>
      <c r="D141" s="552" t="s">
        <v>1271</v>
      </c>
      <c r="E141" s="551">
        <v>341</v>
      </c>
      <c r="F141" s="551" t="s">
        <v>308</v>
      </c>
      <c r="G141" s="67">
        <v>1412864</v>
      </c>
      <c r="H141" s="67">
        <v>839721</v>
      </c>
      <c r="I141" s="67">
        <v>573143</v>
      </c>
      <c r="J141" s="67">
        <v>30459</v>
      </c>
      <c r="K141" s="67">
        <v>1412864.17</v>
      </c>
      <c r="L141" s="67">
        <v>809261.81980261439</v>
      </c>
      <c r="M141" s="67">
        <v>603602.35019738553</v>
      </c>
      <c r="N141" s="67">
        <v>24875.064667216742</v>
      </c>
    </row>
    <row r="142" spans="1:14" s="1167" customFormat="1" ht="15.75" customHeight="1" outlineLevel="1">
      <c r="A142" s="549" t="str">
        <f t="shared" si="4"/>
        <v>KENT  (Brooklyn)342FuelHolders, Producers, Accessory</v>
      </c>
      <c r="B142" s="550" t="s">
        <v>1422</v>
      </c>
      <c r="C142" s="551" t="s">
        <v>1342</v>
      </c>
      <c r="D142" s="552" t="s">
        <v>1271</v>
      </c>
      <c r="E142" s="551">
        <v>342</v>
      </c>
      <c r="F142" s="551" t="s">
        <v>1391</v>
      </c>
      <c r="G142" s="67">
        <v>6592762</v>
      </c>
      <c r="H142" s="67">
        <v>3983480</v>
      </c>
      <c r="I142" s="67">
        <v>2609282</v>
      </c>
      <c r="J142" s="67">
        <v>36565</v>
      </c>
      <c r="K142" s="67">
        <v>6389670.7400000002</v>
      </c>
      <c r="L142" s="67">
        <v>3946915.1699479674</v>
      </c>
      <c r="M142" s="67">
        <v>2442755.5700520328</v>
      </c>
      <c r="N142" s="67">
        <v>33833.597763836464</v>
      </c>
    </row>
    <row r="143" spans="1:14" s="1167" customFormat="1" ht="15.75" customHeight="1" outlineLevel="1">
      <c r="A143" s="549" t="str">
        <f t="shared" si="4"/>
        <v>KENT  (Brooklyn)344Generators</v>
      </c>
      <c r="B143" s="550" t="s">
        <v>1423</v>
      </c>
      <c r="C143" s="551" t="s">
        <v>1342</v>
      </c>
      <c r="D143" s="552" t="s">
        <v>1271</v>
      </c>
      <c r="E143" s="551">
        <v>344</v>
      </c>
      <c r="F143" s="551" t="s">
        <v>1393</v>
      </c>
      <c r="G143" s="67">
        <v>43444740</v>
      </c>
      <c r="H143" s="67">
        <v>30413998</v>
      </c>
      <c r="I143" s="67">
        <v>13030742</v>
      </c>
      <c r="J143" s="67">
        <v>25431</v>
      </c>
      <c r="K143" s="67">
        <v>43444740.289999999</v>
      </c>
      <c r="L143" s="67">
        <v>30388566.78026405</v>
      </c>
      <c r="M143" s="67">
        <v>13056173.509735949</v>
      </c>
      <c r="N143" s="67">
        <v>16274.02055071633</v>
      </c>
    </row>
    <row r="144" spans="1:14" s="1167" customFormat="1" ht="15.75" customHeight="1" outlineLevel="1">
      <c r="A144" s="549" t="str">
        <f t="shared" si="4"/>
        <v>KENT  (Brooklyn)345Accessory Electric Equipment</v>
      </c>
      <c r="B144" s="550" t="s">
        <v>1424</v>
      </c>
      <c r="C144" s="551" t="s">
        <v>1342</v>
      </c>
      <c r="D144" s="552" t="s">
        <v>1271</v>
      </c>
      <c r="E144" s="551">
        <v>345</v>
      </c>
      <c r="F144" s="551" t="s">
        <v>1355</v>
      </c>
      <c r="G144" s="67">
        <v>2458706</v>
      </c>
      <c r="H144" s="67">
        <v>1448449</v>
      </c>
      <c r="I144" s="67">
        <v>1010257</v>
      </c>
      <c r="J144" s="67">
        <v>4149</v>
      </c>
      <c r="K144" s="67">
        <v>1987337</v>
      </c>
      <c r="L144" s="67">
        <v>1444300.198790028</v>
      </c>
      <c r="M144" s="67">
        <v>543036.80120997201</v>
      </c>
      <c r="N144" s="67">
        <v>2293.5558228883733</v>
      </c>
    </row>
    <row r="145" spans="1:14" s="1167" customFormat="1" ht="15.75" customHeight="1" outlineLevel="1">
      <c r="A145" s="549" t="str">
        <f t="shared" si="4"/>
        <v>KENT  (Brooklyn)346Misc Power Plant Equipment</v>
      </c>
      <c r="B145" s="550" t="s">
        <v>1425</v>
      </c>
      <c r="C145" s="551" t="s">
        <v>1342</v>
      </c>
      <c r="D145" s="552" t="s">
        <v>1271</v>
      </c>
      <c r="E145" s="551">
        <v>346</v>
      </c>
      <c r="F145" s="551" t="s">
        <v>1357</v>
      </c>
      <c r="G145" s="67">
        <v>0</v>
      </c>
      <c r="H145" s="67">
        <v>0</v>
      </c>
      <c r="I145" s="67">
        <v>0</v>
      </c>
      <c r="J145" s="67">
        <v>0</v>
      </c>
      <c r="K145" s="67">
        <v>0</v>
      </c>
      <c r="L145" s="67">
        <v>0</v>
      </c>
      <c r="M145" s="67">
        <v>0</v>
      </c>
      <c r="N145" s="67">
        <v>0</v>
      </c>
    </row>
    <row r="146" spans="1:14" s="1167" customFormat="1" ht="15.75" customHeight="1" outlineLevel="1">
      <c r="A146" s="549" t="str">
        <f t="shared" si="4"/>
        <v>POLETTI  (Astoria)311Structures &amp; Improvements</v>
      </c>
      <c r="B146" s="550" t="s">
        <v>1426</v>
      </c>
      <c r="C146" s="551" t="s">
        <v>1342</v>
      </c>
      <c r="D146" s="552" t="s">
        <v>1256</v>
      </c>
      <c r="E146" s="551">
        <v>311</v>
      </c>
      <c r="F146" s="551" t="s">
        <v>308</v>
      </c>
      <c r="G146" s="67">
        <v>0</v>
      </c>
      <c r="H146" s="67">
        <v>0</v>
      </c>
      <c r="I146" s="67">
        <v>0</v>
      </c>
      <c r="J146" s="67">
        <v>0</v>
      </c>
      <c r="K146" s="67">
        <v>0</v>
      </c>
      <c r="L146" s="67">
        <v>0</v>
      </c>
      <c r="M146" s="67">
        <v>0</v>
      </c>
      <c r="N146" s="67">
        <v>0</v>
      </c>
    </row>
    <row r="147" spans="1:14" s="1167" customFormat="1" ht="15.75" customHeight="1" outlineLevel="1">
      <c r="A147" s="549" t="str">
        <f t="shared" ref="A147:A210" si="7">CONCATENATE(D147,E147,F147)</f>
        <v>POLETTI  (Astoria)312Boiler Plant Equipment</v>
      </c>
      <c r="B147" s="550" t="s">
        <v>1427</v>
      </c>
      <c r="C147" s="551" t="s">
        <v>1342</v>
      </c>
      <c r="D147" s="552" t="s">
        <v>1256</v>
      </c>
      <c r="E147" s="551">
        <v>312</v>
      </c>
      <c r="F147" s="551" t="s">
        <v>1389</v>
      </c>
      <c r="G147" s="67">
        <v>0</v>
      </c>
      <c r="H147" s="67">
        <v>0</v>
      </c>
      <c r="I147" s="67">
        <v>0</v>
      </c>
      <c r="J147" s="67">
        <v>0</v>
      </c>
      <c r="K147" s="67">
        <v>0</v>
      </c>
      <c r="L147" s="67">
        <v>0</v>
      </c>
      <c r="M147" s="67">
        <v>0</v>
      </c>
      <c r="N147" s="67">
        <v>0</v>
      </c>
    </row>
    <row r="148" spans="1:14" s="1167" customFormat="1" ht="15.75" customHeight="1" outlineLevel="1">
      <c r="A148" s="549" t="str">
        <f t="shared" si="7"/>
        <v>POLETTI  (Astoria)314TurboGenerator Units</v>
      </c>
      <c r="B148" s="550" t="s">
        <v>1428</v>
      </c>
      <c r="C148" s="551" t="s">
        <v>1342</v>
      </c>
      <c r="D148" s="552" t="s">
        <v>1256</v>
      </c>
      <c r="E148" s="551">
        <v>314</v>
      </c>
      <c r="F148" s="551" t="s">
        <v>1390</v>
      </c>
      <c r="G148" s="67">
        <v>0</v>
      </c>
      <c r="H148" s="67">
        <v>0</v>
      </c>
      <c r="I148" s="67">
        <v>0</v>
      </c>
      <c r="J148" s="67">
        <v>0</v>
      </c>
      <c r="K148" s="67">
        <v>0</v>
      </c>
      <c r="L148" s="67">
        <v>0</v>
      </c>
      <c r="M148" s="67">
        <v>0</v>
      </c>
      <c r="N148" s="67">
        <v>0</v>
      </c>
    </row>
    <row r="149" spans="1:14" s="1167" customFormat="1" ht="15.75" customHeight="1" outlineLevel="1">
      <c r="A149" s="549" t="str">
        <f t="shared" si="7"/>
        <v>POLETTI  (Astoria)315Accessory Electric Equipment</v>
      </c>
      <c r="B149" s="550" t="s">
        <v>1429</v>
      </c>
      <c r="C149" s="551" t="s">
        <v>1342</v>
      </c>
      <c r="D149" s="552" t="s">
        <v>1256</v>
      </c>
      <c r="E149" s="551">
        <v>315</v>
      </c>
      <c r="F149" s="551" t="s">
        <v>1355</v>
      </c>
      <c r="G149" s="67">
        <v>0</v>
      </c>
      <c r="H149" s="67">
        <v>0</v>
      </c>
      <c r="I149" s="67">
        <v>0</v>
      </c>
      <c r="J149" s="67">
        <v>0</v>
      </c>
      <c r="K149" s="67">
        <v>0</v>
      </c>
      <c r="L149" s="67">
        <v>0</v>
      </c>
      <c r="M149" s="67">
        <v>0</v>
      </c>
      <c r="N149" s="67">
        <v>0</v>
      </c>
    </row>
    <row r="150" spans="1:14" s="1167" customFormat="1" ht="15.75" customHeight="1" outlineLevel="1">
      <c r="A150" s="549" t="str">
        <f t="shared" si="7"/>
        <v>POLETTI  (Astoria)316Misc Power Plant Equipment</v>
      </c>
      <c r="B150" s="550" t="s">
        <v>1430</v>
      </c>
      <c r="C150" s="551" t="s">
        <v>1342</v>
      </c>
      <c r="D150" s="552" t="s">
        <v>1256</v>
      </c>
      <c r="E150" s="551">
        <v>316</v>
      </c>
      <c r="F150" s="551" t="s">
        <v>1357</v>
      </c>
      <c r="G150" s="67">
        <v>0</v>
      </c>
      <c r="H150" s="67">
        <v>0</v>
      </c>
      <c r="I150" s="67">
        <v>0</v>
      </c>
      <c r="J150" s="67">
        <v>0</v>
      </c>
      <c r="K150" s="67">
        <v>0</v>
      </c>
      <c r="L150" s="67">
        <v>0</v>
      </c>
      <c r="M150" s="67">
        <v>0</v>
      </c>
      <c r="N150" s="67">
        <v>0</v>
      </c>
    </row>
    <row r="151" spans="1:14" s="1167" customFormat="1" ht="15.75" customHeight="1" outlineLevel="1">
      <c r="A151" s="549" t="str">
        <f t="shared" si="7"/>
        <v>POUCH TERMINAL  (Richmond)341Structures &amp; Improvements</v>
      </c>
      <c r="B151" s="550" t="s">
        <v>1431</v>
      </c>
      <c r="C151" s="551" t="s">
        <v>1342</v>
      </c>
      <c r="D151" s="552" t="s">
        <v>1273</v>
      </c>
      <c r="E151" s="551">
        <v>341</v>
      </c>
      <c r="F151" s="551" t="s">
        <v>308</v>
      </c>
      <c r="G151" s="67">
        <v>3518176</v>
      </c>
      <c r="H151" s="67">
        <v>1965902</v>
      </c>
      <c r="I151" s="67">
        <v>1552274</v>
      </c>
      <c r="J151" s="67">
        <v>16095</v>
      </c>
      <c r="K151" s="67">
        <v>3518175.8099999996</v>
      </c>
      <c r="L151" s="67">
        <v>1949807.0916400827</v>
      </c>
      <c r="M151" s="67">
        <v>1568368.7183599169</v>
      </c>
      <c r="N151" s="67">
        <v>3977.4327937188027</v>
      </c>
    </row>
    <row r="152" spans="1:14" s="1167" customFormat="1" ht="15.75" customHeight="1" outlineLevel="1">
      <c r="A152" s="549" t="str">
        <f t="shared" si="7"/>
        <v>POUCH TERMINAL  (Richmond)342FuelHolders, Producers, Accessory</v>
      </c>
      <c r="B152" s="550" t="s">
        <v>1432</v>
      </c>
      <c r="C152" s="551" t="s">
        <v>1342</v>
      </c>
      <c r="D152" s="552" t="s">
        <v>1273</v>
      </c>
      <c r="E152" s="551">
        <v>342</v>
      </c>
      <c r="F152" s="551" t="s">
        <v>1391</v>
      </c>
      <c r="G152" s="67">
        <v>5697619</v>
      </c>
      <c r="H152" s="67">
        <v>2664062</v>
      </c>
      <c r="I152" s="67">
        <v>3033557</v>
      </c>
      <c r="J152" s="67">
        <v>10264</v>
      </c>
      <c r="K152" s="67">
        <v>5494527.5299999993</v>
      </c>
      <c r="L152" s="67">
        <v>2653797.2611177685</v>
      </c>
      <c r="M152" s="67">
        <v>2840730.2688822309</v>
      </c>
      <c r="N152" s="67">
        <v>40203.154551477324</v>
      </c>
    </row>
    <row r="153" spans="1:14" s="1167" customFormat="1" ht="15.75" customHeight="1" outlineLevel="1">
      <c r="A153" s="549" t="str">
        <f t="shared" si="7"/>
        <v>POUCH TERMINAL  (Richmond)344Generators</v>
      </c>
      <c r="B153" s="550" t="s">
        <v>1433</v>
      </c>
      <c r="C153" s="551" t="s">
        <v>1342</v>
      </c>
      <c r="D153" s="552" t="s">
        <v>1273</v>
      </c>
      <c r="E153" s="551">
        <v>344</v>
      </c>
      <c r="F153" s="551" t="s">
        <v>1393</v>
      </c>
      <c r="G153" s="67">
        <v>46487278</v>
      </c>
      <c r="H153" s="67">
        <v>25662509</v>
      </c>
      <c r="I153" s="67">
        <v>20824769</v>
      </c>
      <c r="J153" s="67">
        <v>238636</v>
      </c>
      <c r="K153" s="67">
        <v>46487277.550000004</v>
      </c>
      <c r="L153" s="67">
        <v>25423873.220731094</v>
      </c>
      <c r="M153" s="67">
        <v>21063404.32926891</v>
      </c>
      <c r="N153" s="67">
        <v>16524.346781770484</v>
      </c>
    </row>
    <row r="154" spans="1:14" s="1167" customFormat="1" ht="15.75" customHeight="1" outlineLevel="1">
      <c r="A154" s="549" t="str">
        <f t="shared" si="7"/>
        <v>POUCH TERMINAL  (Richmond)345Accessory Electric Equipment</v>
      </c>
      <c r="B154" s="550" t="s">
        <v>1434</v>
      </c>
      <c r="C154" s="551" t="s">
        <v>1342</v>
      </c>
      <c r="D154" s="552" t="s">
        <v>1273</v>
      </c>
      <c r="E154" s="551">
        <v>345</v>
      </c>
      <c r="F154" s="551" t="s">
        <v>1355</v>
      </c>
      <c r="G154" s="67">
        <v>2438123</v>
      </c>
      <c r="H154" s="67">
        <v>1133669</v>
      </c>
      <c r="I154" s="67">
        <v>1304454</v>
      </c>
      <c r="J154" s="67">
        <v>0</v>
      </c>
      <c r="K154" s="67">
        <v>1908050</v>
      </c>
      <c r="L154" s="67">
        <v>1133668.6606057286</v>
      </c>
      <c r="M154" s="67">
        <v>774381.33939427137</v>
      </c>
      <c r="N154" s="67">
        <v>-3.2290394069423039E-5</v>
      </c>
    </row>
    <row r="155" spans="1:14" s="1167" customFormat="1" ht="15.75" customHeight="1" outlineLevel="1">
      <c r="A155" s="549" t="str">
        <f t="shared" si="7"/>
        <v>POUCH TERMINAL  (Richmond)346Misc Power Plant Equipment</v>
      </c>
      <c r="B155" s="550" t="s">
        <v>1435</v>
      </c>
      <c r="C155" s="551" t="s">
        <v>1342</v>
      </c>
      <c r="D155" s="552" t="s">
        <v>1273</v>
      </c>
      <c r="E155" s="551">
        <v>346</v>
      </c>
      <c r="F155" s="551" t="s">
        <v>1357</v>
      </c>
      <c r="G155" s="67">
        <v>0</v>
      </c>
      <c r="H155" s="67">
        <v>0</v>
      </c>
      <c r="I155" s="67">
        <v>0</v>
      </c>
      <c r="J155" s="67">
        <v>0</v>
      </c>
      <c r="K155" s="67">
        <v>0</v>
      </c>
      <c r="L155" s="67">
        <v>0</v>
      </c>
      <c r="M155" s="67">
        <v>0</v>
      </c>
      <c r="N155" s="67">
        <v>0</v>
      </c>
    </row>
    <row r="156" spans="1:14" s="1167" customFormat="1" ht="15.75" customHeight="1" outlineLevel="1">
      <c r="A156" s="549" t="str">
        <f t="shared" si="7"/>
        <v>VERNON BOULEVARD  (Queens)341Structures &amp; Improvements</v>
      </c>
      <c r="B156" s="550" t="s">
        <v>1436</v>
      </c>
      <c r="C156" s="551" t="s">
        <v>1342</v>
      </c>
      <c r="D156" s="552" t="s">
        <v>1275</v>
      </c>
      <c r="E156" s="551">
        <v>341</v>
      </c>
      <c r="F156" s="551" t="s">
        <v>308</v>
      </c>
      <c r="G156" s="67">
        <v>2766218</v>
      </c>
      <c r="H156" s="67">
        <v>976258</v>
      </c>
      <c r="I156" s="67">
        <v>1789960</v>
      </c>
      <c r="J156" s="67">
        <v>37002</v>
      </c>
      <c r="K156" s="67">
        <v>2766217.58</v>
      </c>
      <c r="L156" s="67">
        <v>939255.74636522878</v>
      </c>
      <c r="M156" s="67">
        <v>1826961.8336347714</v>
      </c>
      <c r="N156" s="67">
        <v>17263.246365228722</v>
      </c>
    </row>
    <row r="157" spans="1:14" s="1167" customFormat="1" ht="15.75" customHeight="1" outlineLevel="1">
      <c r="A157" s="549" t="str">
        <f t="shared" si="7"/>
        <v>VERNON BOULEVARD  (Queens)342FuelHolders, Producers, Accessory</v>
      </c>
      <c r="B157" s="550" t="s">
        <v>1437</v>
      </c>
      <c r="C157" s="551" t="s">
        <v>1342</v>
      </c>
      <c r="D157" s="552" t="s">
        <v>1275</v>
      </c>
      <c r="E157" s="551">
        <v>342</v>
      </c>
      <c r="F157" s="551" t="s">
        <v>1391</v>
      </c>
      <c r="G157" s="67">
        <v>5968898</v>
      </c>
      <c r="H157" s="67">
        <v>2340435</v>
      </c>
      <c r="I157" s="67">
        <v>3628463</v>
      </c>
      <c r="J157" s="67">
        <v>0</v>
      </c>
      <c r="K157" s="67">
        <v>5968898</v>
      </c>
      <c r="L157" s="67">
        <v>2340435</v>
      </c>
      <c r="M157" s="67">
        <v>3628463</v>
      </c>
      <c r="N157" s="67">
        <v>0</v>
      </c>
    </row>
    <row r="158" spans="1:14" s="1167" customFormat="1" ht="15.75" customHeight="1" outlineLevel="1">
      <c r="A158" s="549" t="str">
        <f t="shared" si="7"/>
        <v>VERNON BOULEVARD  (Queens)344Generators</v>
      </c>
      <c r="B158" s="550" t="s">
        <v>1438</v>
      </c>
      <c r="C158" s="551" t="s">
        <v>1342</v>
      </c>
      <c r="D158" s="552" t="s">
        <v>1275</v>
      </c>
      <c r="E158" s="551">
        <v>344</v>
      </c>
      <c r="F158" s="551" t="s">
        <v>1393</v>
      </c>
      <c r="G158" s="67">
        <v>79624201</v>
      </c>
      <c r="H158" s="67">
        <v>33562976</v>
      </c>
      <c r="I158" s="67">
        <v>46061225</v>
      </c>
      <c r="J158" s="67">
        <v>0</v>
      </c>
      <c r="K158" s="67">
        <v>79624201.120000005</v>
      </c>
      <c r="L158" s="67">
        <v>33562975.780000001</v>
      </c>
      <c r="M158" s="67">
        <v>46061225.340000004</v>
      </c>
      <c r="N158" s="67">
        <v>0</v>
      </c>
    </row>
    <row r="159" spans="1:14" s="1167" customFormat="1" ht="15.75" customHeight="1" outlineLevel="1">
      <c r="A159" s="549" t="str">
        <f t="shared" si="7"/>
        <v>VERNON BOULEVARD  (Queens)345Accessory Electric Equipment</v>
      </c>
      <c r="B159" s="550" t="s">
        <v>1439</v>
      </c>
      <c r="C159" s="551" t="s">
        <v>1342</v>
      </c>
      <c r="D159" s="552" t="s">
        <v>1275</v>
      </c>
      <c r="E159" s="551">
        <v>345</v>
      </c>
      <c r="F159" s="551" t="s">
        <v>1355</v>
      </c>
      <c r="G159" s="67">
        <v>3560059</v>
      </c>
      <c r="H159" s="67">
        <v>1508537</v>
      </c>
      <c r="I159" s="67">
        <v>2051522</v>
      </c>
      <c r="J159" s="67">
        <v>0</v>
      </c>
      <c r="K159" s="67">
        <v>3560059</v>
      </c>
      <c r="L159" s="67">
        <v>1508537</v>
      </c>
      <c r="M159" s="67">
        <v>2051522</v>
      </c>
      <c r="N159" s="67">
        <v>0</v>
      </c>
    </row>
    <row r="160" spans="1:14" s="1167" customFormat="1" ht="15.75" customHeight="1" outlineLevel="1">
      <c r="A160" s="549" t="str">
        <f t="shared" si="7"/>
        <v>VERNON BOULEVARD  (Queens)346Misc Power Plant Equipment</v>
      </c>
      <c r="B160" s="550" t="s">
        <v>1440</v>
      </c>
      <c r="C160" s="551" t="s">
        <v>1342</v>
      </c>
      <c r="D160" s="552" t="s">
        <v>1275</v>
      </c>
      <c r="E160" s="551">
        <v>346</v>
      </c>
      <c r="F160" s="551" t="s">
        <v>1357</v>
      </c>
      <c r="G160" s="67">
        <v>14816000</v>
      </c>
      <c r="H160" s="67">
        <v>977708</v>
      </c>
      <c r="I160" s="67">
        <v>13838292</v>
      </c>
      <c r="J160" s="67">
        <v>0</v>
      </c>
      <c r="K160" s="67">
        <v>14816000</v>
      </c>
      <c r="L160" s="67">
        <v>977708.3</v>
      </c>
      <c r="M160" s="67">
        <v>13838291.699999999</v>
      </c>
      <c r="N160" s="67">
        <v>0</v>
      </c>
    </row>
    <row r="161" spans="1:14" s="1167" customFormat="1" ht="15.75" customHeight="1" outlineLevel="1">
      <c r="A161" s="549" t="str">
        <f t="shared" si="7"/>
        <v>Astoria 2 (AE-II) SubstationCapital Lease Asset (Manual)</v>
      </c>
      <c r="B161" s="550" t="s">
        <v>1441</v>
      </c>
      <c r="C161" s="551" t="s">
        <v>1342</v>
      </c>
      <c r="D161" s="552" t="s">
        <v>1250</v>
      </c>
      <c r="E161" s="551"/>
      <c r="F161" s="570" t="s">
        <v>1442</v>
      </c>
      <c r="G161" s="67">
        <v>0</v>
      </c>
      <c r="H161" s="67">
        <v>0</v>
      </c>
      <c r="I161" s="67">
        <v>0</v>
      </c>
      <c r="J161" s="67">
        <v>153717819.62</v>
      </c>
      <c r="K161" s="67">
        <v>1155449919</v>
      </c>
      <c r="L161" s="67">
        <v>606612770</v>
      </c>
      <c r="M161" s="67">
        <v>548837149</v>
      </c>
      <c r="N161" s="67">
        <v>57772692</v>
      </c>
    </row>
    <row r="162" spans="1:14" s="1167" customFormat="1" ht="15.75" customHeight="1" outlineLevel="1">
      <c r="A162" s="549" t="str">
        <f>CONCATENATE(D162,E162,F162)</f>
        <v>AdjustmentsImpairment (Prod)</v>
      </c>
      <c r="B162" s="550" t="s">
        <v>1443</v>
      </c>
      <c r="C162" s="551" t="s">
        <v>1342</v>
      </c>
      <c r="D162" s="568" t="s">
        <v>331</v>
      </c>
      <c r="E162" s="551"/>
      <c r="F162" s="569" t="s">
        <v>1444</v>
      </c>
      <c r="G162" s="67">
        <v>-173816000</v>
      </c>
      <c r="H162" s="67" t="s">
        <v>2087</v>
      </c>
      <c r="I162" s="67">
        <v>-173816000</v>
      </c>
      <c r="J162" s="67">
        <v>0</v>
      </c>
      <c r="K162" s="67">
        <v>-173816000</v>
      </c>
      <c r="L162" s="67">
        <v>0</v>
      </c>
      <c r="M162" s="67">
        <v>-173816000</v>
      </c>
      <c r="N162" s="67">
        <v>0</v>
      </c>
    </row>
    <row r="163" spans="1:14" s="1167" customFormat="1" ht="15.75" customHeight="1" outlineLevel="1">
      <c r="A163" s="549" t="str">
        <f t="shared" ref="A163:A165" si="8">CONCATENATE(D163,E163,F163)</f>
        <v>VERNON BOULEVARD  (Queens)ARO GASB# 83</v>
      </c>
      <c r="B163" s="550" t="s">
        <v>1445</v>
      </c>
      <c r="C163" s="551"/>
      <c r="D163" s="551" t="s">
        <v>1275</v>
      </c>
      <c r="E163" s="67"/>
      <c r="F163" s="551" t="s">
        <v>1446</v>
      </c>
      <c r="G163" s="67">
        <v>-16540201</v>
      </c>
      <c r="H163" s="67" t="s">
        <v>2087</v>
      </c>
      <c r="I163" s="67">
        <v>-16540201</v>
      </c>
      <c r="J163" s="67">
        <v>0</v>
      </c>
      <c r="K163" s="67">
        <v>-16540201</v>
      </c>
      <c r="L163" s="67">
        <v>0</v>
      </c>
      <c r="M163" s="67">
        <v>-16540201</v>
      </c>
      <c r="N163" s="67">
        <v>0</v>
      </c>
    </row>
    <row r="164" spans="1:14" s="1167" customFormat="1" ht="15.75" customHeight="1" outlineLevel="1">
      <c r="A164" s="549" t="str">
        <f t="shared" ref="A164" si="9">CONCATENATE(D164,E164,F164)</f>
        <v/>
      </c>
      <c r="B164" s="554" t="s">
        <v>146</v>
      </c>
      <c r="C164" s="551"/>
      <c r="D164" s="551"/>
      <c r="E164" s="67"/>
      <c r="F164" s="551"/>
      <c r="G164" s="67"/>
      <c r="H164" s="67"/>
      <c r="I164" s="67"/>
      <c r="J164" s="67"/>
      <c r="K164" s="67"/>
      <c r="L164" s="67"/>
      <c r="M164" s="67"/>
      <c r="N164" s="67"/>
    </row>
    <row r="165" spans="1:14" s="1167" customFormat="1" ht="15.75" customHeight="1" outlineLevel="1" thickBot="1">
      <c r="A165" s="549" t="str">
        <f t="shared" si="8"/>
        <v/>
      </c>
      <c r="B165" s="554" t="s">
        <v>146</v>
      </c>
      <c r="C165" s="551"/>
      <c r="D165" s="551"/>
      <c r="E165" s="67"/>
      <c r="F165" s="551"/>
      <c r="G165" s="67"/>
      <c r="H165" s="67"/>
      <c r="I165" s="67"/>
      <c r="J165" s="67"/>
      <c r="K165" s="67"/>
      <c r="L165" s="67"/>
      <c r="M165" s="67"/>
      <c r="N165" s="67"/>
    </row>
    <row r="166" spans="1:14" s="1168" customFormat="1" ht="34.5" customHeight="1" thickBot="1">
      <c r="A166" s="549" t="str">
        <f t="shared" si="7"/>
        <v>Production - Gas turbine/combined cycle Total</v>
      </c>
      <c r="B166" s="1390">
        <v>9</v>
      </c>
      <c r="C166" s="1391"/>
      <c r="D166" s="1391"/>
      <c r="E166" s="1391"/>
      <c r="F166" s="1398" t="s">
        <v>1447</v>
      </c>
      <c r="G166" s="1393">
        <f t="shared" ref="G166:N166" si="10">SUBTOTAL(9,G108:G165)</f>
        <v>1251760454</v>
      </c>
      <c r="H166" s="1393">
        <f t="shared" si="10"/>
        <v>896209006</v>
      </c>
      <c r="I166" s="1393">
        <f t="shared" si="10"/>
        <v>355551446</v>
      </c>
      <c r="J166" s="1393">
        <f t="shared" si="10"/>
        <v>187581075.62</v>
      </c>
      <c r="K166" s="1393">
        <f t="shared" si="10"/>
        <v>2399695600.5</v>
      </c>
      <c r="L166" s="1393">
        <f t="shared" si="10"/>
        <v>1468958517.4201913</v>
      </c>
      <c r="M166" s="1393">
        <f t="shared" si="10"/>
        <v>930737083.07980895</v>
      </c>
      <c r="N166" s="1393">
        <f t="shared" si="10"/>
        <v>87411180.900191173</v>
      </c>
    </row>
    <row r="167" spans="1:14" s="1167" customFormat="1" ht="15.75" customHeight="1" outlineLevel="1">
      <c r="A167" s="549" t="str">
        <f t="shared" si="7"/>
        <v/>
      </c>
      <c r="B167" s="555"/>
      <c r="C167" s="556"/>
      <c r="D167" s="566"/>
      <c r="E167" s="556"/>
      <c r="F167" s="385"/>
      <c r="G167" s="68"/>
      <c r="H167" s="68"/>
      <c r="I167" s="68"/>
      <c r="J167" s="68"/>
      <c r="K167" s="68"/>
      <c r="L167" s="68"/>
      <c r="M167" s="68"/>
      <c r="N167" s="68"/>
    </row>
    <row r="168" spans="1:14" s="1167" customFormat="1" ht="15.75" customHeight="1" outlineLevel="1">
      <c r="A168" s="549" t="str">
        <f t="shared" si="7"/>
        <v/>
      </c>
      <c r="B168" s="555"/>
      <c r="C168" s="556"/>
      <c r="D168" s="566"/>
      <c r="E168" s="556"/>
      <c r="F168" s="385"/>
      <c r="G168" s="68"/>
      <c r="H168" s="68"/>
      <c r="I168" s="68"/>
      <c r="J168" s="68"/>
      <c r="K168" s="68"/>
      <c r="L168" s="68"/>
      <c r="M168" s="68"/>
      <c r="N168" s="68"/>
    </row>
    <row r="169" spans="1:14" s="1168" customFormat="1" ht="16.5" customHeight="1" outlineLevel="1" thickBot="1">
      <c r="A169" s="549" t="str">
        <f t="shared" si="7"/>
        <v>Transmission</v>
      </c>
      <c r="B169" s="559">
        <v>10</v>
      </c>
      <c r="C169" s="560"/>
      <c r="D169" s="561"/>
      <c r="E169" s="560"/>
      <c r="F169" s="562" t="s">
        <v>220</v>
      </c>
      <c r="G169" s="563"/>
      <c r="H169" s="563"/>
      <c r="I169" s="563"/>
      <c r="J169" s="563"/>
      <c r="K169" s="563"/>
      <c r="L169" s="563"/>
      <c r="M169" s="563"/>
      <c r="N169" s="563"/>
    </row>
    <row r="170" spans="1:14" s="1167" customFormat="1" ht="15.75" customHeight="1" outlineLevel="1">
      <c r="A170" s="549" t="str">
        <f t="shared" si="7"/>
        <v>BLENHEIM - GILBOA352Structures &amp; Improvements</v>
      </c>
      <c r="B170" s="550" t="s">
        <v>1264</v>
      </c>
      <c r="C170" s="551" t="s">
        <v>220</v>
      </c>
      <c r="D170" s="552" t="s">
        <v>1122</v>
      </c>
      <c r="E170" s="551">
        <v>352</v>
      </c>
      <c r="F170" s="551" t="s">
        <v>308</v>
      </c>
      <c r="G170" s="67">
        <v>4733437</v>
      </c>
      <c r="H170" s="67">
        <v>3744102</v>
      </c>
      <c r="I170" s="67">
        <v>989335</v>
      </c>
      <c r="J170" s="67">
        <v>76278</v>
      </c>
      <c r="K170" s="67">
        <v>4733436.66</v>
      </c>
      <c r="L170" s="67">
        <v>3667823.8564239689</v>
      </c>
      <c r="M170" s="67">
        <v>1065612.8035760312</v>
      </c>
      <c r="N170" s="67">
        <v>67229.740335051538</v>
      </c>
    </row>
    <row r="171" spans="1:14" s="1167" customFormat="1" ht="15.75" customHeight="1" outlineLevel="1">
      <c r="A171" s="549" t="str">
        <f t="shared" si="7"/>
        <v>BLENHEIM - GILBOA353Station Equipment</v>
      </c>
      <c r="B171" s="550" t="s">
        <v>1266</v>
      </c>
      <c r="C171" s="551" t="s">
        <v>220</v>
      </c>
      <c r="D171" s="552" t="s">
        <v>1122</v>
      </c>
      <c r="E171" s="551">
        <v>353</v>
      </c>
      <c r="F171" s="551" t="s">
        <v>189</v>
      </c>
      <c r="G171" s="67">
        <v>72369255</v>
      </c>
      <c r="H171" s="67">
        <v>19732825</v>
      </c>
      <c r="I171" s="67">
        <v>52636430</v>
      </c>
      <c r="J171" s="67">
        <v>1404827</v>
      </c>
      <c r="K171" s="67">
        <v>72368176.140000001</v>
      </c>
      <c r="L171" s="67">
        <v>18327998.147693299</v>
      </c>
      <c r="M171" s="67">
        <v>54040177.992306702</v>
      </c>
      <c r="N171" s="67">
        <v>1075555.385927835</v>
      </c>
    </row>
    <row r="172" spans="1:14" s="1167" customFormat="1" ht="15.75" customHeight="1" outlineLevel="1">
      <c r="A172" s="549" t="str">
        <f t="shared" si="7"/>
        <v>BLENHEIM - GILBOA354Towers &amp; Fixtures</v>
      </c>
      <c r="B172" s="550" t="s">
        <v>1268</v>
      </c>
      <c r="C172" s="551" t="s">
        <v>220</v>
      </c>
      <c r="D172" s="552" t="s">
        <v>1122</v>
      </c>
      <c r="E172" s="551">
        <v>354</v>
      </c>
      <c r="F172" s="551" t="s">
        <v>310</v>
      </c>
      <c r="G172" s="67">
        <v>22612274</v>
      </c>
      <c r="H172" s="67">
        <v>22858103</v>
      </c>
      <c r="I172" s="67">
        <v>-245829</v>
      </c>
      <c r="J172" s="67">
        <v>503988</v>
      </c>
      <c r="K172" s="67">
        <v>22612274</v>
      </c>
      <c r="L172" s="67">
        <v>22354114.166011598</v>
      </c>
      <c r="M172" s="67">
        <v>258159.83398840204</v>
      </c>
      <c r="N172" s="67">
        <v>450343.87435567018</v>
      </c>
    </row>
    <row r="173" spans="1:14" s="1167" customFormat="1" ht="15.75" customHeight="1" outlineLevel="1">
      <c r="A173" s="549" t="str">
        <f t="shared" si="7"/>
        <v>BLENHEIM - GILBOA355Poles &amp; Fixtures</v>
      </c>
      <c r="B173" s="550" t="s">
        <v>1270</v>
      </c>
      <c r="C173" s="551" t="s">
        <v>220</v>
      </c>
      <c r="D173" s="552" t="s">
        <v>1122</v>
      </c>
      <c r="E173" s="551">
        <v>355</v>
      </c>
      <c r="F173" s="551" t="s">
        <v>311</v>
      </c>
      <c r="G173" s="67">
        <v>2053118</v>
      </c>
      <c r="H173" s="67">
        <v>2240449</v>
      </c>
      <c r="I173" s="67">
        <v>-187331</v>
      </c>
      <c r="J173" s="67">
        <v>46444</v>
      </c>
      <c r="K173" s="67">
        <v>2053118</v>
      </c>
      <c r="L173" s="67">
        <v>2194004.6973582474</v>
      </c>
      <c r="M173" s="67">
        <v>-140886.69735824736</v>
      </c>
      <c r="N173" s="67">
        <v>38666.952319587625</v>
      </c>
    </row>
    <row r="174" spans="1:14" s="1167" customFormat="1" ht="15.75" customHeight="1" outlineLevel="1">
      <c r="A174" s="549" t="str">
        <f t="shared" si="7"/>
        <v>BLENHEIM - GILBOA356Overhead Conductors &amp; Devices</v>
      </c>
      <c r="B174" s="550" t="s">
        <v>1272</v>
      </c>
      <c r="C174" s="551" t="s">
        <v>220</v>
      </c>
      <c r="D174" s="552" t="s">
        <v>1122</v>
      </c>
      <c r="E174" s="551">
        <v>356</v>
      </c>
      <c r="F174" s="551" t="s">
        <v>312</v>
      </c>
      <c r="G174" s="67">
        <v>9403929</v>
      </c>
      <c r="H174" s="67">
        <v>9149901</v>
      </c>
      <c r="I174" s="67">
        <v>254028</v>
      </c>
      <c r="J174" s="67">
        <v>140561</v>
      </c>
      <c r="K174" s="67">
        <v>9403929</v>
      </c>
      <c r="L174" s="67">
        <v>9009340.4500322174</v>
      </c>
      <c r="M174" s="67">
        <v>394588.54996778257</v>
      </c>
      <c r="N174" s="67">
        <v>104604.31765463919</v>
      </c>
    </row>
    <row r="175" spans="1:14" s="1167" customFormat="1" ht="15.75" customHeight="1" outlineLevel="1">
      <c r="A175" s="549" t="str">
        <f t="shared" si="7"/>
        <v>BLENHEIM - GILBOA359Roads &amp; Trails</v>
      </c>
      <c r="B175" s="550" t="s">
        <v>1274</v>
      </c>
      <c r="C175" s="551" t="s">
        <v>220</v>
      </c>
      <c r="D175" s="552" t="s">
        <v>1122</v>
      </c>
      <c r="E175" s="551">
        <v>359</v>
      </c>
      <c r="F175" s="551" t="s">
        <v>315</v>
      </c>
      <c r="G175" s="67">
        <v>670808</v>
      </c>
      <c r="H175" s="67">
        <v>444164</v>
      </c>
      <c r="I175" s="67">
        <v>226644</v>
      </c>
      <c r="J175" s="67">
        <v>8212</v>
      </c>
      <c r="K175" s="67">
        <v>670808</v>
      </c>
      <c r="L175" s="67">
        <v>435951.70248067018</v>
      </c>
      <c r="M175" s="67">
        <v>234856.29751932982</v>
      </c>
      <c r="N175" s="67">
        <v>7666.4594072164946</v>
      </c>
    </row>
    <row r="176" spans="1:14" s="1167" customFormat="1" ht="15.75" customHeight="1" outlineLevel="1">
      <c r="A176" s="549" t="str">
        <f t="shared" si="7"/>
        <v>J. A. FITZPATRICK352Structures &amp; Improvements</v>
      </c>
      <c r="B176" s="550" t="s">
        <v>1276</v>
      </c>
      <c r="C176" s="551" t="s">
        <v>220</v>
      </c>
      <c r="D176" s="552" t="s">
        <v>1184</v>
      </c>
      <c r="E176" s="551">
        <v>352</v>
      </c>
      <c r="F176" s="551" t="s">
        <v>308</v>
      </c>
      <c r="G176" s="67">
        <v>0</v>
      </c>
      <c r="H176" s="67">
        <v>77356</v>
      </c>
      <c r="I176" s="67">
        <v>-77356</v>
      </c>
      <c r="J176" s="67">
        <v>0</v>
      </c>
      <c r="K176" s="67">
        <v>0</v>
      </c>
      <c r="L176" s="67">
        <v>77356</v>
      </c>
      <c r="M176" s="67">
        <v>-77356</v>
      </c>
      <c r="N176" s="67">
        <v>0</v>
      </c>
    </row>
    <row r="177" spans="1:14" s="1167" customFormat="1" ht="15.75" customHeight="1" outlineLevel="1">
      <c r="A177" s="549" t="str">
        <f t="shared" si="7"/>
        <v>J. A. FITZPATRICK353Station Equipment</v>
      </c>
      <c r="B177" s="550" t="s">
        <v>1448</v>
      </c>
      <c r="C177" s="551" t="s">
        <v>220</v>
      </c>
      <c r="D177" s="552" t="s">
        <v>1184</v>
      </c>
      <c r="E177" s="551">
        <v>353</v>
      </c>
      <c r="F177" s="551" t="s">
        <v>189</v>
      </c>
      <c r="G177" s="67">
        <v>0</v>
      </c>
      <c r="H177" s="67">
        <v>0</v>
      </c>
      <c r="I177" s="67">
        <v>0</v>
      </c>
      <c r="J177" s="67">
        <v>0</v>
      </c>
      <c r="K177" s="67">
        <v>0</v>
      </c>
      <c r="L177" s="67">
        <v>0</v>
      </c>
      <c r="M177" s="67">
        <v>0</v>
      </c>
      <c r="N177" s="67">
        <v>0</v>
      </c>
    </row>
    <row r="178" spans="1:14" s="1167" customFormat="1" ht="15.75" customHeight="1" outlineLevel="1">
      <c r="A178" s="549" t="str">
        <f t="shared" si="7"/>
        <v>J. A. FITZPATRICK354Towers &amp; Fixtures</v>
      </c>
      <c r="B178" s="550" t="s">
        <v>1449</v>
      </c>
      <c r="C178" s="551" t="s">
        <v>220</v>
      </c>
      <c r="D178" s="552" t="s">
        <v>1184</v>
      </c>
      <c r="E178" s="551">
        <v>354</v>
      </c>
      <c r="F178" s="551" t="s">
        <v>310</v>
      </c>
      <c r="G178" s="67">
        <v>10051183</v>
      </c>
      <c r="H178" s="67">
        <v>12912308</v>
      </c>
      <c r="I178" s="67">
        <v>-2861125</v>
      </c>
      <c r="J178" s="67">
        <v>100518</v>
      </c>
      <c r="K178" s="67">
        <v>10051183</v>
      </c>
      <c r="L178" s="67">
        <v>12811789.747664157</v>
      </c>
      <c r="M178" s="67">
        <v>-2760606.7476641573</v>
      </c>
      <c r="N178" s="67">
        <v>105031.45122746035</v>
      </c>
    </row>
    <row r="179" spans="1:14" s="1167" customFormat="1" ht="15.75" customHeight="1" outlineLevel="1">
      <c r="A179" s="549" t="str">
        <f t="shared" si="7"/>
        <v>J. A. FITZPATRICK356Overhead Conductors &amp; Devices</v>
      </c>
      <c r="B179" s="550" t="s">
        <v>1450</v>
      </c>
      <c r="C179" s="551" t="s">
        <v>220</v>
      </c>
      <c r="D179" s="552" t="s">
        <v>1184</v>
      </c>
      <c r="E179" s="551">
        <v>356</v>
      </c>
      <c r="F179" s="551" t="s">
        <v>312</v>
      </c>
      <c r="G179" s="67">
        <v>5926677</v>
      </c>
      <c r="H179" s="67">
        <v>6822304</v>
      </c>
      <c r="I179" s="67">
        <v>-895627</v>
      </c>
      <c r="J179" s="67">
        <v>47317</v>
      </c>
      <c r="K179" s="67">
        <v>5926677</v>
      </c>
      <c r="L179" s="67">
        <v>6774986.7471969854</v>
      </c>
      <c r="M179" s="67">
        <v>-848309.74719698541</v>
      </c>
      <c r="N179" s="67">
        <v>35958.246361068843</v>
      </c>
    </row>
    <row r="180" spans="1:14" s="1167" customFormat="1" ht="15.75" customHeight="1" outlineLevel="1">
      <c r="A180" s="549" t="str">
        <f t="shared" si="7"/>
        <v>J. A. FITZPATRICK359Roads &amp; Trails</v>
      </c>
      <c r="B180" s="550" t="s">
        <v>1451</v>
      </c>
      <c r="C180" s="551" t="s">
        <v>220</v>
      </c>
      <c r="D180" s="552" t="s">
        <v>1184</v>
      </c>
      <c r="E180" s="551">
        <v>359</v>
      </c>
      <c r="F180" s="551" t="s">
        <v>315</v>
      </c>
      <c r="G180" s="67">
        <v>80335</v>
      </c>
      <c r="H180" s="67">
        <v>78845</v>
      </c>
      <c r="I180" s="67">
        <v>1490</v>
      </c>
      <c r="J180" s="67">
        <v>769</v>
      </c>
      <c r="K180" s="67">
        <v>80335</v>
      </c>
      <c r="L180" s="67">
        <v>78076.105138855331</v>
      </c>
      <c r="M180" s="67">
        <v>2258.8948611446685</v>
      </c>
      <c r="N180" s="67">
        <v>995.90241147077961</v>
      </c>
    </row>
    <row r="181" spans="1:14" s="1167" customFormat="1" ht="15.75" customHeight="1" outlineLevel="1">
      <c r="A181" s="549" t="str">
        <f t="shared" si="7"/>
        <v>LONG ISLAND SOUND CABLE352Structures &amp; Improvements</v>
      </c>
      <c r="B181" s="550" t="s">
        <v>1452</v>
      </c>
      <c r="C181" s="551" t="s">
        <v>220</v>
      </c>
      <c r="D181" s="552" t="s">
        <v>1163</v>
      </c>
      <c r="E181" s="551">
        <v>352</v>
      </c>
      <c r="F181" s="551" t="s">
        <v>308</v>
      </c>
      <c r="G181" s="67">
        <v>6286201</v>
      </c>
      <c r="H181" s="67">
        <v>6086072</v>
      </c>
      <c r="I181" s="67">
        <v>200128</v>
      </c>
      <c r="J181" s="67">
        <v>105855</v>
      </c>
      <c r="K181" s="67">
        <v>6286200.6100000003</v>
      </c>
      <c r="L181" s="67">
        <v>5980217.6100000003</v>
      </c>
      <c r="M181" s="67">
        <v>305983</v>
      </c>
      <c r="N181" s="67">
        <v>209542</v>
      </c>
    </row>
    <row r="182" spans="1:14" s="1167" customFormat="1" ht="15.75" customHeight="1" outlineLevel="1">
      <c r="A182" s="549" t="str">
        <f t="shared" si="7"/>
        <v>LONG ISLAND SOUND CABLE353Station Equipment</v>
      </c>
      <c r="B182" s="550" t="s">
        <v>1453</v>
      </c>
      <c r="C182" s="551" t="s">
        <v>220</v>
      </c>
      <c r="D182" s="552" t="s">
        <v>1163</v>
      </c>
      <c r="E182" s="551">
        <v>353</v>
      </c>
      <c r="F182" s="551" t="s">
        <v>189</v>
      </c>
      <c r="G182" s="67">
        <v>70801797</v>
      </c>
      <c r="H182" s="67">
        <v>59934632</v>
      </c>
      <c r="I182" s="67">
        <v>10867165</v>
      </c>
      <c r="J182" s="67">
        <v>563473</v>
      </c>
      <c r="K182" s="67">
        <v>68327864.799999997</v>
      </c>
      <c r="L182" s="67">
        <v>59371158.799999997</v>
      </c>
      <c r="M182" s="67">
        <v>8956706</v>
      </c>
      <c r="N182" s="67">
        <v>1474119.3</v>
      </c>
    </row>
    <row r="183" spans="1:14" s="1167" customFormat="1" ht="15.75" customHeight="1" outlineLevel="1">
      <c r="A183" s="549" t="str">
        <f t="shared" si="7"/>
        <v>LONG ISLAND SOUND CABLE357Underground Conduit</v>
      </c>
      <c r="B183" s="550" t="s">
        <v>1454</v>
      </c>
      <c r="C183" s="551" t="s">
        <v>220</v>
      </c>
      <c r="D183" s="552" t="s">
        <v>1163</v>
      </c>
      <c r="E183" s="551">
        <v>357</v>
      </c>
      <c r="F183" s="551" t="s">
        <v>313</v>
      </c>
      <c r="G183" s="67">
        <v>60722320</v>
      </c>
      <c r="H183" s="67">
        <v>60770265</v>
      </c>
      <c r="I183" s="67">
        <v>-47945</v>
      </c>
      <c r="J183" s="67">
        <v>47945</v>
      </c>
      <c r="K183" s="67">
        <v>60722320</v>
      </c>
      <c r="L183" s="67">
        <v>60722320</v>
      </c>
      <c r="M183" s="67">
        <v>0</v>
      </c>
      <c r="N183" s="67">
        <v>738351</v>
      </c>
    </row>
    <row r="184" spans="1:14" s="1167" customFormat="1" ht="15.75" customHeight="1" outlineLevel="1">
      <c r="A184" s="549" t="str">
        <f t="shared" si="7"/>
        <v>LONG ISLAND SOUND CABLE358Underground Conductors &amp; Devices</v>
      </c>
      <c r="B184" s="550" t="s">
        <v>1455</v>
      </c>
      <c r="C184" s="551" t="s">
        <v>220</v>
      </c>
      <c r="D184" s="552" t="s">
        <v>1163</v>
      </c>
      <c r="E184" s="551">
        <v>358</v>
      </c>
      <c r="F184" s="551" t="s">
        <v>314</v>
      </c>
      <c r="G184" s="67">
        <v>162719243</v>
      </c>
      <c r="H184" s="67">
        <v>163019279</v>
      </c>
      <c r="I184" s="67">
        <v>-300036</v>
      </c>
      <c r="J184" s="67">
        <v>300035</v>
      </c>
      <c r="K184" s="67">
        <v>162719243</v>
      </c>
      <c r="L184" s="67">
        <v>162719244</v>
      </c>
      <c r="M184" s="67">
        <v>-1</v>
      </c>
      <c r="N184" s="67">
        <v>2759063</v>
      </c>
    </row>
    <row r="185" spans="1:14" s="1167" customFormat="1" ht="15.75" customHeight="1" outlineLevel="1">
      <c r="A185" s="549" t="str">
        <f t="shared" si="7"/>
        <v>MARCY-SOUTH352Structures &amp; Improvements</v>
      </c>
      <c r="B185" s="550" t="s">
        <v>1456</v>
      </c>
      <c r="C185" s="551" t="s">
        <v>220</v>
      </c>
      <c r="D185" s="552" t="s">
        <v>1125</v>
      </c>
      <c r="E185" s="551">
        <v>352</v>
      </c>
      <c r="F185" s="551" t="s">
        <v>308</v>
      </c>
      <c r="G185" s="67">
        <v>0</v>
      </c>
      <c r="H185" s="67">
        <v>0</v>
      </c>
      <c r="I185" s="67">
        <v>0</v>
      </c>
      <c r="J185" s="67">
        <v>0</v>
      </c>
      <c r="K185" s="67">
        <v>0</v>
      </c>
      <c r="L185" s="67">
        <v>0</v>
      </c>
      <c r="M185" s="67">
        <v>0</v>
      </c>
      <c r="N185" s="67">
        <v>0</v>
      </c>
    </row>
    <row r="186" spans="1:14" s="1167" customFormat="1" ht="15.75" customHeight="1" outlineLevel="1">
      <c r="A186" s="549" t="str">
        <f t="shared" si="7"/>
        <v>MARCY-SOUTH353Station Equipment</v>
      </c>
      <c r="B186" s="550" t="s">
        <v>1457</v>
      </c>
      <c r="C186" s="551" t="s">
        <v>220</v>
      </c>
      <c r="D186" s="552" t="s">
        <v>1125</v>
      </c>
      <c r="E186" s="551">
        <v>353</v>
      </c>
      <c r="F186" s="551" t="s">
        <v>189</v>
      </c>
      <c r="G186" s="67">
        <v>72013625</v>
      </c>
      <c r="H186" s="67">
        <v>20504269</v>
      </c>
      <c r="I186" s="67">
        <v>51509356</v>
      </c>
      <c r="J186" s="67">
        <v>1286718</v>
      </c>
      <c r="K186" s="67">
        <v>72013291.689999998</v>
      </c>
      <c r="L186" s="67">
        <v>19217551.212661032</v>
      </c>
      <c r="M186" s="67">
        <v>52795740.47733897</v>
      </c>
      <c r="N186" s="67">
        <v>1015584.3377608124</v>
      </c>
    </row>
    <row r="187" spans="1:14" s="1167" customFormat="1" ht="15.75" customHeight="1" outlineLevel="1">
      <c r="A187" s="549" t="str">
        <f t="shared" si="7"/>
        <v>MARCY-SOUTH354Towers &amp; Fixtures</v>
      </c>
      <c r="B187" s="550" t="s">
        <v>1458</v>
      </c>
      <c r="C187" s="551" t="s">
        <v>220</v>
      </c>
      <c r="D187" s="552" t="s">
        <v>1125</v>
      </c>
      <c r="E187" s="551">
        <v>354</v>
      </c>
      <c r="F187" s="551" t="s">
        <v>310</v>
      </c>
      <c r="G187" s="67">
        <v>75439776</v>
      </c>
      <c r="H187" s="67">
        <v>54177858</v>
      </c>
      <c r="I187" s="67">
        <v>21261918</v>
      </c>
      <c r="J187" s="67">
        <v>1496510</v>
      </c>
      <c r="K187" s="67">
        <v>75439776</v>
      </c>
      <c r="L187" s="67">
        <v>52681347.763323404</v>
      </c>
      <c r="M187" s="67">
        <v>22758428.236676596</v>
      </c>
      <c r="N187" s="67">
        <v>1462226.8639096415</v>
      </c>
    </row>
    <row r="188" spans="1:14" s="1167" customFormat="1" ht="15.75" customHeight="1" outlineLevel="1">
      <c r="A188" s="549" t="str">
        <f t="shared" si="7"/>
        <v>MARCY-SOUTH355Poles &amp; Fixtures</v>
      </c>
      <c r="B188" s="550" t="s">
        <v>1459</v>
      </c>
      <c r="C188" s="551" t="s">
        <v>220</v>
      </c>
      <c r="D188" s="552" t="s">
        <v>1125</v>
      </c>
      <c r="E188" s="551">
        <v>355</v>
      </c>
      <c r="F188" s="551" t="s">
        <v>311</v>
      </c>
      <c r="G188" s="67">
        <v>210096383</v>
      </c>
      <c r="H188" s="67">
        <v>182354568</v>
      </c>
      <c r="I188" s="67">
        <v>27741815</v>
      </c>
      <c r="J188" s="67">
        <v>4308389</v>
      </c>
      <c r="K188" s="67">
        <v>210096383</v>
      </c>
      <c r="L188" s="67">
        <v>178046179.54601952</v>
      </c>
      <c r="M188" s="67">
        <v>32050203.453980476</v>
      </c>
      <c r="N188" s="67">
        <v>4145863.2185139903</v>
      </c>
    </row>
    <row r="189" spans="1:14" s="1167" customFormat="1" ht="15.75" customHeight="1" outlineLevel="1">
      <c r="A189" s="549" t="str">
        <f t="shared" si="7"/>
        <v>MARCY-SOUTH356Overhead Conductors &amp; Devices</v>
      </c>
      <c r="B189" s="550" t="s">
        <v>1460</v>
      </c>
      <c r="C189" s="551" t="s">
        <v>220</v>
      </c>
      <c r="D189" s="552" t="s">
        <v>1125</v>
      </c>
      <c r="E189" s="551">
        <v>356</v>
      </c>
      <c r="F189" s="551" t="s">
        <v>312</v>
      </c>
      <c r="G189" s="67">
        <v>130439658</v>
      </c>
      <c r="H189" s="67">
        <v>74474066</v>
      </c>
      <c r="I189" s="67">
        <v>55965592</v>
      </c>
      <c r="J189" s="67">
        <v>2235221</v>
      </c>
      <c r="K189" s="67">
        <v>116584296</v>
      </c>
      <c r="L189" s="67">
        <v>72238844.671273157</v>
      </c>
      <c r="M189" s="67">
        <v>44345451.328726843</v>
      </c>
      <c r="N189" s="67">
        <v>1746698.7723896902</v>
      </c>
    </row>
    <row r="190" spans="1:14" s="1167" customFormat="1" ht="15.75" customHeight="1" outlineLevel="1">
      <c r="A190" s="549" t="str">
        <f t="shared" si="7"/>
        <v>MARCY-SOUTH357Underground Conduit</v>
      </c>
      <c r="B190" s="550" t="s">
        <v>1461</v>
      </c>
      <c r="C190" s="551" t="s">
        <v>220</v>
      </c>
      <c r="D190" s="552" t="s">
        <v>1125</v>
      </c>
      <c r="E190" s="551">
        <v>357</v>
      </c>
      <c r="F190" s="551" t="s">
        <v>313</v>
      </c>
      <c r="G190" s="67">
        <v>43951419</v>
      </c>
      <c r="H190" s="67">
        <v>24230389</v>
      </c>
      <c r="I190" s="67">
        <v>19721030</v>
      </c>
      <c r="J190" s="67">
        <v>601301</v>
      </c>
      <c r="K190" s="67">
        <v>43951419</v>
      </c>
      <c r="L190" s="67">
        <v>23629088.0125806</v>
      </c>
      <c r="M190" s="67">
        <v>20322330.9874194</v>
      </c>
      <c r="N190" s="67">
        <v>544255.6118268508</v>
      </c>
    </row>
    <row r="191" spans="1:14" s="1167" customFormat="1" ht="15.75" customHeight="1" outlineLevel="1">
      <c r="A191" s="549" t="str">
        <f t="shared" si="7"/>
        <v>MARCY-SOUTH358Underground Conductors &amp; Devices</v>
      </c>
      <c r="B191" s="550" t="s">
        <v>1462</v>
      </c>
      <c r="C191" s="551" t="s">
        <v>220</v>
      </c>
      <c r="D191" s="552" t="s">
        <v>1125</v>
      </c>
      <c r="E191" s="551">
        <v>358</v>
      </c>
      <c r="F191" s="551" t="s">
        <v>314</v>
      </c>
      <c r="G191" s="67">
        <v>12314493</v>
      </c>
      <c r="H191" s="67">
        <v>9252748</v>
      </c>
      <c r="I191" s="67">
        <v>3061745</v>
      </c>
      <c r="J191" s="67">
        <v>241026</v>
      </c>
      <c r="K191" s="67">
        <v>12314493</v>
      </c>
      <c r="L191" s="67">
        <v>9011721.75414229</v>
      </c>
      <c r="M191" s="67">
        <v>3302771.24585771</v>
      </c>
      <c r="N191" s="67">
        <v>201783.45559901505</v>
      </c>
    </row>
    <row r="192" spans="1:14" s="1167" customFormat="1" ht="15.75" customHeight="1" outlineLevel="1">
      <c r="A192" s="549" t="str">
        <f t="shared" si="7"/>
        <v>MARCY-SOUTH359Roads &amp; Trails</v>
      </c>
      <c r="B192" s="550" t="s">
        <v>1463</v>
      </c>
      <c r="C192" s="551" t="s">
        <v>220</v>
      </c>
      <c r="D192" s="552" t="s">
        <v>1125</v>
      </c>
      <c r="E192" s="551">
        <v>359</v>
      </c>
      <c r="F192" s="551" t="s">
        <v>315</v>
      </c>
      <c r="G192" s="67">
        <v>22421909</v>
      </c>
      <c r="H192" s="67">
        <v>9124633</v>
      </c>
      <c r="I192" s="67">
        <v>13297276</v>
      </c>
      <c r="J192" s="67">
        <v>230625</v>
      </c>
      <c r="K192" s="67">
        <v>22421909</v>
      </c>
      <c r="L192" s="67">
        <v>8894008</v>
      </c>
      <c r="M192" s="67">
        <v>13527901</v>
      </c>
      <c r="N192" s="67">
        <v>201148</v>
      </c>
    </row>
    <row r="193" spans="1:14" s="1167" customFormat="1" ht="15.75" customHeight="1" outlineLevel="1">
      <c r="A193" s="549" t="str">
        <f t="shared" si="7"/>
        <v>MASSENA - MARCY  (Clark)352Structures &amp; Improvements</v>
      </c>
      <c r="B193" s="550" t="s">
        <v>1464</v>
      </c>
      <c r="C193" s="551" t="s">
        <v>220</v>
      </c>
      <c r="D193" s="552" t="s">
        <v>1126</v>
      </c>
      <c r="E193" s="551">
        <v>352</v>
      </c>
      <c r="F193" s="551" t="s">
        <v>308</v>
      </c>
      <c r="G193" s="67">
        <v>40705098</v>
      </c>
      <c r="H193" s="67">
        <v>29585622</v>
      </c>
      <c r="I193" s="67">
        <v>11119476</v>
      </c>
      <c r="J193" s="67">
        <v>851616</v>
      </c>
      <c r="K193" s="67">
        <v>40705098.289999999</v>
      </c>
      <c r="L193" s="67">
        <v>28734005.636544563</v>
      </c>
      <c r="M193" s="67">
        <v>11971092.653455436</v>
      </c>
      <c r="N193" s="67">
        <v>611424.3719884851</v>
      </c>
    </row>
    <row r="194" spans="1:14" s="1167" customFormat="1" ht="15.75" customHeight="1" outlineLevel="1">
      <c r="A194" s="549" t="str">
        <f t="shared" si="7"/>
        <v>MASSENA - MARCY  (Clark)353Station Equipment</v>
      </c>
      <c r="B194" s="550" t="s">
        <v>1465</v>
      </c>
      <c r="C194" s="551" t="s">
        <v>220</v>
      </c>
      <c r="D194" s="552" t="s">
        <v>1126</v>
      </c>
      <c r="E194" s="551">
        <v>353</v>
      </c>
      <c r="F194" s="551" t="s">
        <v>189</v>
      </c>
      <c r="G194" s="67">
        <v>282383566</v>
      </c>
      <c r="H194" s="67">
        <v>144932695</v>
      </c>
      <c r="I194" s="67">
        <v>137450870</v>
      </c>
      <c r="J194" s="67">
        <v>5153307</v>
      </c>
      <c r="K194" s="67">
        <v>281362658.59000003</v>
      </c>
      <c r="L194" s="67">
        <v>139779388.35371193</v>
      </c>
      <c r="M194" s="67">
        <v>141583270.2362881</v>
      </c>
      <c r="N194" s="67">
        <v>3978978.057509176</v>
      </c>
    </row>
    <row r="195" spans="1:14" s="1167" customFormat="1" ht="15.75" customHeight="1" outlineLevel="1">
      <c r="A195" s="549" t="str">
        <f t="shared" si="7"/>
        <v>MASSENA - MARCY  (Clark)353Station Equipment - Windfarm Assets acq. 12-1-11</v>
      </c>
      <c r="B195" s="550" t="s">
        <v>1466</v>
      </c>
      <c r="C195" s="551" t="s">
        <v>220</v>
      </c>
      <c r="D195" s="552" t="s">
        <v>1126</v>
      </c>
      <c r="E195" s="551">
        <v>353</v>
      </c>
      <c r="F195" s="551" t="s">
        <v>1197</v>
      </c>
      <c r="G195" s="67">
        <v>83102899</v>
      </c>
      <c r="H195" s="67">
        <v>17384916</v>
      </c>
      <c r="I195" s="67">
        <v>65717983</v>
      </c>
      <c r="J195" s="67">
        <v>1838654</v>
      </c>
      <c r="K195" s="67">
        <v>83102898.969999999</v>
      </c>
      <c r="L195" s="67">
        <v>15546261.970000001</v>
      </c>
      <c r="M195" s="67">
        <v>67556637</v>
      </c>
      <c r="N195" s="67">
        <v>1663426</v>
      </c>
    </row>
    <row r="196" spans="1:14" s="1167" customFormat="1" ht="15.75" customHeight="1" outlineLevel="1">
      <c r="A196" s="549" t="str">
        <f t="shared" si="7"/>
        <v>MASSENA - MARCY  (Clark)354Towers &amp; Fixtures</v>
      </c>
      <c r="B196" s="550" t="s">
        <v>1467</v>
      </c>
      <c r="C196" s="551" t="s">
        <v>220</v>
      </c>
      <c r="D196" s="552" t="s">
        <v>1126</v>
      </c>
      <c r="E196" s="551">
        <v>354</v>
      </c>
      <c r="F196" s="551" t="s">
        <v>310</v>
      </c>
      <c r="G196" s="67">
        <v>64465654</v>
      </c>
      <c r="H196" s="67">
        <v>59928906</v>
      </c>
      <c r="I196" s="67">
        <v>4536748</v>
      </c>
      <c r="J196" s="67">
        <v>1263495</v>
      </c>
      <c r="K196" s="67">
        <v>64465654</v>
      </c>
      <c r="L196" s="67">
        <v>58665411.478646286</v>
      </c>
      <c r="M196" s="67">
        <v>5800242.5213537142</v>
      </c>
      <c r="N196" s="67">
        <v>1288389.8355422816</v>
      </c>
    </row>
    <row r="197" spans="1:14" s="1167" customFormat="1" ht="15.75" customHeight="1" outlineLevel="1">
      <c r="A197" s="549" t="str">
        <f t="shared" si="7"/>
        <v>MASSENA - MARCY  (Clark)355Poles &amp; Fixtures</v>
      </c>
      <c r="B197" s="550" t="s">
        <v>1468</v>
      </c>
      <c r="C197" s="551" t="s">
        <v>220</v>
      </c>
      <c r="D197" s="552" t="s">
        <v>1126</v>
      </c>
      <c r="E197" s="551">
        <v>355</v>
      </c>
      <c r="F197" s="551" t="s">
        <v>311</v>
      </c>
      <c r="G197" s="67">
        <v>19615058</v>
      </c>
      <c r="H197" s="67">
        <v>22115917</v>
      </c>
      <c r="I197" s="67">
        <v>-2500859</v>
      </c>
      <c r="J197" s="67">
        <v>358995</v>
      </c>
      <c r="K197" s="67">
        <v>19615058</v>
      </c>
      <c r="L197" s="67">
        <v>21756921.643401701</v>
      </c>
      <c r="M197" s="67">
        <v>-2141863.643401701</v>
      </c>
      <c r="N197" s="67">
        <v>363973.45941705653</v>
      </c>
    </row>
    <row r="198" spans="1:14" s="1167" customFormat="1" ht="15.75" customHeight="1" outlineLevel="1">
      <c r="A198" s="549" t="str">
        <f t="shared" si="7"/>
        <v>MASSENA - MARCY  (Clark)356Overhead Conductors &amp; Devices</v>
      </c>
      <c r="B198" s="550" t="s">
        <v>1469</v>
      </c>
      <c r="C198" s="551" t="s">
        <v>220</v>
      </c>
      <c r="D198" s="552" t="s">
        <v>1126</v>
      </c>
      <c r="E198" s="551">
        <v>356</v>
      </c>
      <c r="F198" s="551" t="s">
        <v>312</v>
      </c>
      <c r="G198" s="67">
        <v>53118133</v>
      </c>
      <c r="H198" s="67">
        <v>27319405</v>
      </c>
      <c r="I198" s="67">
        <v>25798729</v>
      </c>
      <c r="J198" s="67">
        <v>1035135</v>
      </c>
      <c r="K198" s="67">
        <v>52631771.079999998</v>
      </c>
      <c r="L198" s="67">
        <v>26284269.637695577</v>
      </c>
      <c r="M198" s="67">
        <v>26347501.442304421</v>
      </c>
      <c r="N198" s="67">
        <v>751048.98554300121</v>
      </c>
    </row>
    <row r="199" spans="1:14" s="1167" customFormat="1" ht="15.75" customHeight="1" outlineLevel="1">
      <c r="A199" s="549" t="str">
        <f t="shared" si="7"/>
        <v>MASSENA - MARCY  (Clark)359Roads &amp; Trails</v>
      </c>
      <c r="B199" s="550" t="s">
        <v>1470</v>
      </c>
      <c r="C199" s="551" t="s">
        <v>220</v>
      </c>
      <c r="D199" s="552" t="s">
        <v>1126</v>
      </c>
      <c r="E199" s="551">
        <v>359</v>
      </c>
      <c r="F199" s="551" t="s">
        <v>315</v>
      </c>
      <c r="G199" s="67">
        <v>5105433</v>
      </c>
      <c r="H199" s="67">
        <v>2940142</v>
      </c>
      <c r="I199" s="67">
        <v>2165291</v>
      </c>
      <c r="J199" s="67">
        <v>43652</v>
      </c>
      <c r="K199" s="67">
        <v>5105433</v>
      </c>
      <c r="L199" s="67">
        <v>2896490</v>
      </c>
      <c r="M199" s="67">
        <v>2208943</v>
      </c>
      <c r="N199" s="67">
        <v>37248</v>
      </c>
    </row>
    <row r="200" spans="1:14" s="1167" customFormat="1" ht="15.75" customHeight="1" outlineLevel="1">
      <c r="A200" s="549" t="str">
        <f t="shared" si="7"/>
        <v>NIAGARA352Structures &amp; Improvements</v>
      </c>
      <c r="B200" s="550" t="s">
        <v>1471</v>
      </c>
      <c r="C200" s="551" t="s">
        <v>220</v>
      </c>
      <c r="D200" s="552" t="s">
        <v>1127</v>
      </c>
      <c r="E200" s="551">
        <v>352</v>
      </c>
      <c r="F200" s="551" t="s">
        <v>308</v>
      </c>
      <c r="G200" s="67">
        <v>24449344</v>
      </c>
      <c r="H200" s="67">
        <v>22265764</v>
      </c>
      <c r="I200" s="67">
        <v>2183580</v>
      </c>
      <c r="J200" s="67">
        <v>466699</v>
      </c>
      <c r="K200" s="67">
        <v>24449344</v>
      </c>
      <c r="L200" s="67">
        <v>21799065.254388634</v>
      </c>
      <c r="M200" s="67">
        <v>2650278.7456113659</v>
      </c>
      <c r="N200" s="67">
        <v>476979.44931506854</v>
      </c>
    </row>
    <row r="201" spans="1:14" s="1167" customFormat="1" ht="15.75" customHeight="1" outlineLevel="1">
      <c r="A201" s="549" t="str">
        <f t="shared" si="7"/>
        <v>NIAGARA353Station Equipment</v>
      </c>
      <c r="B201" s="550" t="s">
        <v>1472</v>
      </c>
      <c r="C201" s="551" t="s">
        <v>220</v>
      </c>
      <c r="D201" s="552" t="s">
        <v>1127</v>
      </c>
      <c r="E201" s="551">
        <v>353</v>
      </c>
      <c r="F201" s="551" t="s">
        <v>189</v>
      </c>
      <c r="G201" s="67">
        <v>284316979</v>
      </c>
      <c r="H201" s="67">
        <v>73595836</v>
      </c>
      <c r="I201" s="67">
        <v>210721143</v>
      </c>
      <c r="J201" s="67">
        <v>4729935</v>
      </c>
      <c r="K201" s="67">
        <v>253351592.38000005</v>
      </c>
      <c r="L201" s="67">
        <v>68865900.849736169</v>
      </c>
      <c r="M201" s="67">
        <v>184485691.5302639</v>
      </c>
      <c r="N201" s="67">
        <v>3114544.8376712329</v>
      </c>
    </row>
    <row r="202" spans="1:14" s="1167" customFormat="1" ht="15.75" customHeight="1" outlineLevel="1">
      <c r="A202" s="549" t="str">
        <f t="shared" si="7"/>
        <v>NIAGARA354Towers &amp; Fixtures</v>
      </c>
      <c r="B202" s="550" t="s">
        <v>1473</v>
      </c>
      <c r="C202" s="551" t="s">
        <v>220</v>
      </c>
      <c r="D202" s="552" t="s">
        <v>1127</v>
      </c>
      <c r="E202" s="551">
        <v>354</v>
      </c>
      <c r="F202" s="551" t="s">
        <v>310</v>
      </c>
      <c r="G202" s="67">
        <v>24594124</v>
      </c>
      <c r="H202" s="67">
        <v>22381739</v>
      </c>
      <c r="I202" s="67">
        <v>2212385</v>
      </c>
      <c r="J202" s="67">
        <v>549594</v>
      </c>
      <c r="K202" s="67">
        <v>18743984</v>
      </c>
      <c r="L202" s="67">
        <v>21832144.365520045</v>
      </c>
      <c r="M202" s="67">
        <v>-3088160.3655200452</v>
      </c>
      <c r="N202" s="67">
        <v>598792.86410958902</v>
      </c>
    </row>
    <row r="203" spans="1:14" s="1167" customFormat="1" ht="15.75" customHeight="1" outlineLevel="1">
      <c r="A203" s="549" t="str">
        <f t="shared" si="7"/>
        <v>NIAGARA355Poles &amp; Fixtures</v>
      </c>
      <c r="B203" s="550" t="s">
        <v>1474</v>
      </c>
      <c r="C203" s="551" t="s">
        <v>220</v>
      </c>
      <c r="D203" s="552" t="s">
        <v>1127</v>
      </c>
      <c r="E203" s="551">
        <v>355</v>
      </c>
      <c r="F203" s="551" t="s">
        <v>311</v>
      </c>
      <c r="G203" s="67">
        <v>19726</v>
      </c>
      <c r="H203" s="67">
        <v>24247</v>
      </c>
      <c r="I203" s="67">
        <v>-4521</v>
      </c>
      <c r="J203" s="67">
        <v>673</v>
      </c>
      <c r="K203" s="67">
        <v>19726</v>
      </c>
      <c r="L203" s="67">
        <v>23574.156154236422</v>
      </c>
      <c r="M203" s="67">
        <v>-3848.1561542364216</v>
      </c>
      <c r="N203" s="67">
        <v>746.13643835616426</v>
      </c>
    </row>
    <row r="204" spans="1:14" s="1167" customFormat="1" ht="15.75" customHeight="1" outlineLevel="1">
      <c r="A204" s="549" t="str">
        <f t="shared" si="7"/>
        <v>NIAGARA356Overhead Conductors &amp; Devices</v>
      </c>
      <c r="B204" s="550" t="s">
        <v>1475</v>
      </c>
      <c r="C204" s="551" t="s">
        <v>220</v>
      </c>
      <c r="D204" s="552" t="s">
        <v>1127</v>
      </c>
      <c r="E204" s="551">
        <v>356</v>
      </c>
      <c r="F204" s="551" t="s">
        <v>312</v>
      </c>
      <c r="G204" s="67">
        <v>67267410</v>
      </c>
      <c r="H204" s="67">
        <v>33045175</v>
      </c>
      <c r="I204" s="67">
        <v>34222235</v>
      </c>
      <c r="J204" s="67">
        <v>1664861</v>
      </c>
      <c r="K204" s="67">
        <v>64449341</v>
      </c>
      <c r="L204" s="67">
        <v>31380314.673668195</v>
      </c>
      <c r="M204" s="67">
        <v>33069026.326331805</v>
      </c>
      <c r="N204" s="67">
        <v>1345387.5041095896</v>
      </c>
    </row>
    <row r="205" spans="1:14" s="1167" customFormat="1" ht="15.75" customHeight="1" outlineLevel="1">
      <c r="A205" s="549" t="str">
        <f t="shared" si="7"/>
        <v>NIAGARA359Roads &amp; Trails</v>
      </c>
      <c r="B205" s="550" t="s">
        <v>1476</v>
      </c>
      <c r="C205" s="551" t="s">
        <v>220</v>
      </c>
      <c r="D205" s="552" t="s">
        <v>1127</v>
      </c>
      <c r="E205" s="551">
        <v>359</v>
      </c>
      <c r="F205" s="551" t="s">
        <v>315</v>
      </c>
      <c r="G205" s="67">
        <v>42797</v>
      </c>
      <c r="H205" s="67">
        <v>39452</v>
      </c>
      <c r="I205" s="67">
        <v>3345</v>
      </c>
      <c r="J205" s="67">
        <v>302</v>
      </c>
      <c r="K205" s="67">
        <v>42797</v>
      </c>
      <c r="L205" s="67">
        <v>39150.610532724502</v>
      </c>
      <c r="M205" s="67">
        <v>3646.3894672754977</v>
      </c>
      <c r="N205" s="67">
        <v>326.67835616438322</v>
      </c>
    </row>
    <row r="206" spans="1:14" s="1167" customFormat="1" ht="15.75" customHeight="1" outlineLevel="1">
      <c r="A206" s="549" t="str">
        <f t="shared" si="7"/>
        <v>St.  LAWRENCE / FDR352Structures &amp; Improvements</v>
      </c>
      <c r="B206" s="550" t="s">
        <v>1477</v>
      </c>
      <c r="C206" s="551" t="s">
        <v>220</v>
      </c>
      <c r="D206" s="552" t="s">
        <v>1128</v>
      </c>
      <c r="E206" s="551">
        <v>352</v>
      </c>
      <c r="F206" s="551" t="s">
        <v>308</v>
      </c>
      <c r="G206" s="67">
        <v>18587894</v>
      </c>
      <c r="H206" s="67">
        <v>9258000</v>
      </c>
      <c r="I206" s="67">
        <v>9329894</v>
      </c>
      <c r="J206" s="67">
        <v>360086</v>
      </c>
      <c r="K206" s="67">
        <v>18524523.269999996</v>
      </c>
      <c r="L206" s="67">
        <v>8897913.672152387</v>
      </c>
      <c r="M206" s="67">
        <v>9626609.5978476088</v>
      </c>
      <c r="N206" s="67">
        <v>353605.90523618896</v>
      </c>
    </row>
    <row r="207" spans="1:14" s="1167" customFormat="1" ht="15.75" customHeight="1" outlineLevel="1">
      <c r="A207" s="549" t="str">
        <f t="shared" si="7"/>
        <v>St.  LAWRENCE / FDR353Station Equipment</v>
      </c>
      <c r="B207" s="550" t="s">
        <v>1478</v>
      </c>
      <c r="C207" s="551" t="s">
        <v>220</v>
      </c>
      <c r="D207" s="552" t="s">
        <v>1128</v>
      </c>
      <c r="E207" s="551">
        <v>353</v>
      </c>
      <c r="F207" s="551" t="s">
        <v>189</v>
      </c>
      <c r="G207" s="67">
        <v>362859956</v>
      </c>
      <c r="H207" s="67">
        <v>94722565</v>
      </c>
      <c r="I207" s="67">
        <v>268137390</v>
      </c>
      <c r="J207" s="67">
        <v>7330807</v>
      </c>
      <c r="K207" s="67">
        <v>399064670.49000007</v>
      </c>
      <c r="L207" s="67">
        <v>83928758.171520784</v>
      </c>
      <c r="M207" s="67">
        <v>315135912.3184793</v>
      </c>
      <c r="N207" s="67">
        <v>5599006.3942514006</v>
      </c>
    </row>
    <row r="208" spans="1:14" s="1167" customFormat="1" ht="15.75" customHeight="1" outlineLevel="1">
      <c r="A208" s="549" t="str">
        <f t="shared" si="7"/>
        <v>St.  LAWRENCE / FDR354Towers &amp; Fixtures</v>
      </c>
      <c r="B208" s="550" t="s">
        <v>1479</v>
      </c>
      <c r="C208" s="551" t="s">
        <v>220</v>
      </c>
      <c r="D208" s="552" t="s">
        <v>1128</v>
      </c>
      <c r="E208" s="551">
        <v>354</v>
      </c>
      <c r="F208" s="551" t="s">
        <v>310</v>
      </c>
      <c r="G208" s="67">
        <v>15185237</v>
      </c>
      <c r="H208" s="67">
        <v>16271352</v>
      </c>
      <c r="I208" s="67">
        <v>-1086115</v>
      </c>
      <c r="J208" s="67">
        <v>414243</v>
      </c>
      <c r="K208" s="67">
        <v>15185237</v>
      </c>
      <c r="L208" s="67">
        <v>15857108.725499511</v>
      </c>
      <c r="M208" s="67">
        <v>-671871.72549951077</v>
      </c>
      <c r="N208" s="67">
        <v>469704.07401120901</v>
      </c>
    </row>
    <row r="209" spans="1:14" s="1167" customFormat="1" ht="15.75" customHeight="1" outlineLevel="1">
      <c r="A209" s="549" t="str">
        <f t="shared" si="7"/>
        <v>St.  LAWRENCE / FDR355Poles &amp; Fixtures</v>
      </c>
      <c r="B209" s="550" t="s">
        <v>1480</v>
      </c>
      <c r="C209" s="551" t="s">
        <v>220</v>
      </c>
      <c r="D209" s="552" t="s">
        <v>1128</v>
      </c>
      <c r="E209" s="551">
        <v>355</v>
      </c>
      <c r="F209" s="551" t="s">
        <v>311</v>
      </c>
      <c r="G209" s="67">
        <v>356954782</v>
      </c>
      <c r="H209" s="67">
        <v>13171154</v>
      </c>
      <c r="I209" s="67">
        <v>343783628</v>
      </c>
      <c r="J209" s="67">
        <v>6318383</v>
      </c>
      <c r="K209" s="67">
        <v>142821490.41</v>
      </c>
      <c r="L209" s="67">
        <v>9633709.6698247492</v>
      </c>
      <c r="M209" s="67">
        <v>133187780.74017525</v>
      </c>
      <c r="N209" s="67">
        <v>2384241.6949239392</v>
      </c>
    </row>
    <row r="210" spans="1:14" s="1167" customFormat="1" ht="15.75" customHeight="1" outlineLevel="1">
      <c r="A210" s="549" t="str">
        <f t="shared" si="7"/>
        <v>St.  LAWRENCE / FDR356Overhead Conductors &amp; Devices</v>
      </c>
      <c r="B210" s="550" t="s">
        <v>1481</v>
      </c>
      <c r="C210" s="551" t="s">
        <v>220</v>
      </c>
      <c r="D210" s="552" t="s">
        <v>1128</v>
      </c>
      <c r="E210" s="551">
        <v>356</v>
      </c>
      <c r="F210" s="551" t="s">
        <v>312</v>
      </c>
      <c r="G210" s="67">
        <v>69188347</v>
      </c>
      <c r="H210" s="67">
        <v>20172539</v>
      </c>
      <c r="I210" s="67">
        <v>49015808</v>
      </c>
      <c r="J210" s="67">
        <v>1904550</v>
      </c>
      <c r="K210" s="67">
        <v>52408095.850000001</v>
      </c>
      <c r="L210" s="67">
        <v>18267988.397357885</v>
      </c>
      <c r="M210" s="67">
        <v>34140107.452642113</v>
      </c>
      <c r="N210" s="67">
        <v>1711846.0705284227</v>
      </c>
    </row>
    <row r="211" spans="1:14" s="1167" customFormat="1" ht="15.75" customHeight="1" outlineLevel="1">
      <c r="A211" s="549" t="str">
        <f t="shared" ref="A211:A274" si="11">CONCATENATE(D211,E211,F211)</f>
        <v>St.  LAWRENCE / FDR357Underground Conduit</v>
      </c>
      <c r="B211" s="550" t="s">
        <v>1482</v>
      </c>
      <c r="C211" s="551" t="s">
        <v>220</v>
      </c>
      <c r="D211" s="552" t="s">
        <v>1128</v>
      </c>
      <c r="E211" s="551">
        <v>357</v>
      </c>
      <c r="F211" s="551" t="s">
        <v>313</v>
      </c>
      <c r="G211" s="67">
        <v>61047</v>
      </c>
      <c r="H211" s="67">
        <v>62042</v>
      </c>
      <c r="I211" s="67">
        <v>-995</v>
      </c>
      <c r="J211" s="67">
        <v>261</v>
      </c>
      <c r="K211" s="67">
        <v>61047</v>
      </c>
      <c r="L211" s="67">
        <v>61781.782530468823</v>
      </c>
      <c r="M211" s="67">
        <v>-734.7825304688231</v>
      </c>
      <c r="N211" s="67">
        <v>137.62293835068053</v>
      </c>
    </row>
    <row r="212" spans="1:14" s="1167" customFormat="1" ht="15.75" customHeight="1" outlineLevel="1">
      <c r="A212" s="549" t="str">
        <f t="shared" si="11"/>
        <v>St.  LAWRENCE / FDR358Underground Conductors &amp; Devices</v>
      </c>
      <c r="B212" s="550" t="s">
        <v>1483</v>
      </c>
      <c r="C212" s="551" t="s">
        <v>220</v>
      </c>
      <c r="D212" s="552" t="s">
        <v>1128</v>
      </c>
      <c r="E212" s="551">
        <v>358</v>
      </c>
      <c r="F212" s="551" t="s">
        <v>314</v>
      </c>
      <c r="G212" s="67">
        <v>29908686</v>
      </c>
      <c r="H212" s="67">
        <v>3692865</v>
      </c>
      <c r="I212" s="67">
        <v>26215821</v>
      </c>
      <c r="J212" s="67">
        <v>550727</v>
      </c>
      <c r="K212" s="67">
        <v>29908686.399999999</v>
      </c>
      <c r="L212" s="67">
        <v>3142137.7425535982</v>
      </c>
      <c r="M212" s="67">
        <v>26766548.657446399</v>
      </c>
      <c r="N212" s="67">
        <v>486041.53604483587</v>
      </c>
    </row>
    <row r="213" spans="1:14" s="1167" customFormat="1" ht="15.75" customHeight="1" outlineLevel="1">
      <c r="A213" s="549" t="str">
        <f t="shared" si="11"/>
        <v>St.  LAWRENCE / FDR359Roads &amp; Trails</v>
      </c>
      <c r="B213" s="550" t="s">
        <v>1484</v>
      </c>
      <c r="C213" s="551" t="s">
        <v>220</v>
      </c>
      <c r="D213" s="552" t="s">
        <v>1128</v>
      </c>
      <c r="E213" s="551">
        <v>359</v>
      </c>
      <c r="F213" s="551" t="s">
        <v>315</v>
      </c>
      <c r="G213" s="67">
        <v>76584794</v>
      </c>
      <c r="H213" s="67">
        <v>764541</v>
      </c>
      <c r="I213" s="67">
        <v>75820253</v>
      </c>
      <c r="J213" s="67">
        <v>468392</v>
      </c>
      <c r="K213" s="67">
        <v>35851835.039999999</v>
      </c>
      <c r="L213" s="67">
        <v>296149.03856062633</v>
      </c>
      <c r="M213" s="67">
        <v>35555686.00143937</v>
      </c>
      <c r="N213" s="67">
        <v>152464.30206565253</v>
      </c>
    </row>
    <row r="214" spans="1:14" s="1167" customFormat="1" ht="15.75" customHeight="1" outlineLevel="1">
      <c r="A214" s="549" t="str">
        <f t="shared" si="11"/>
        <v>500mW C - C at Astoria353Station Equip - Transmission</v>
      </c>
      <c r="B214" s="550" t="s">
        <v>1485</v>
      </c>
      <c r="C214" s="551" t="s">
        <v>220</v>
      </c>
      <c r="D214" s="552" t="s">
        <v>1247</v>
      </c>
      <c r="E214" s="551">
        <v>353</v>
      </c>
      <c r="F214" s="551" t="s">
        <v>1248</v>
      </c>
      <c r="G214" s="67">
        <v>94674093</v>
      </c>
      <c r="H214" s="67">
        <v>44630412</v>
      </c>
      <c r="I214" s="67">
        <v>50043682</v>
      </c>
      <c r="J214" s="67">
        <v>2646357</v>
      </c>
      <c r="K214" s="67">
        <v>87822364.659999996</v>
      </c>
      <c r="L214" s="67">
        <v>41984054.359999999</v>
      </c>
      <c r="M214" s="67">
        <v>45838310.299999997</v>
      </c>
      <c r="N214" s="67">
        <v>2818673</v>
      </c>
    </row>
    <row r="215" spans="1:14" s="1167" customFormat="1" ht="15.75" customHeight="1" outlineLevel="1">
      <c r="A215" s="549" t="str">
        <f t="shared" si="11"/>
        <v>Astoria 2 (AE-II) Substation352Structures &amp; Improvements</v>
      </c>
      <c r="B215" s="550" t="s">
        <v>1486</v>
      </c>
      <c r="C215" s="551" t="s">
        <v>220</v>
      </c>
      <c r="D215" s="552" t="s">
        <v>1250</v>
      </c>
      <c r="E215" s="551">
        <v>352</v>
      </c>
      <c r="F215" s="551" t="s">
        <v>308</v>
      </c>
      <c r="G215" s="67">
        <v>0</v>
      </c>
      <c r="H215" s="67">
        <v>0</v>
      </c>
      <c r="I215" s="67">
        <v>0</v>
      </c>
      <c r="J215" s="67">
        <v>0</v>
      </c>
      <c r="K215" s="67">
        <v>0</v>
      </c>
      <c r="L215" s="67">
        <v>0</v>
      </c>
      <c r="M215" s="67">
        <v>0</v>
      </c>
      <c r="N215" s="67">
        <v>0</v>
      </c>
    </row>
    <row r="216" spans="1:14" s="1167" customFormat="1" ht="15.75" customHeight="1" outlineLevel="1">
      <c r="A216" s="549" t="str">
        <f t="shared" si="11"/>
        <v>Astoria 2 (AE-II) Substation353Station Equipment</v>
      </c>
      <c r="B216" s="550" t="s">
        <v>1487</v>
      </c>
      <c r="C216" s="551" t="s">
        <v>220</v>
      </c>
      <c r="D216" s="552" t="s">
        <v>1250</v>
      </c>
      <c r="E216" s="551">
        <v>353</v>
      </c>
      <c r="F216" s="551" t="s">
        <v>189</v>
      </c>
      <c r="G216" s="67">
        <v>0</v>
      </c>
      <c r="H216" s="67">
        <v>0</v>
      </c>
      <c r="I216" s="67">
        <v>0</v>
      </c>
      <c r="J216" s="67">
        <v>0</v>
      </c>
      <c r="K216" s="67">
        <v>60481915</v>
      </c>
      <c r="L216" s="67">
        <v>31676663</v>
      </c>
      <c r="M216" s="67">
        <v>28805252</v>
      </c>
      <c r="N216" s="67">
        <v>3011360</v>
      </c>
    </row>
    <row r="217" spans="1:14" s="1167" customFormat="1" ht="15.75" customHeight="1" outlineLevel="1">
      <c r="A217" s="549" t="str">
        <f t="shared" si="11"/>
        <v>Astoria 2 (AE-II) Substation354Towers &amp; Fixtures</v>
      </c>
      <c r="B217" s="550" t="s">
        <v>1488</v>
      </c>
      <c r="C217" s="551" t="s">
        <v>220</v>
      </c>
      <c r="D217" s="552" t="s">
        <v>1250</v>
      </c>
      <c r="E217" s="551">
        <v>354</v>
      </c>
      <c r="F217" s="551" t="s">
        <v>310</v>
      </c>
      <c r="G217" s="67">
        <v>0</v>
      </c>
      <c r="H217" s="67">
        <v>0</v>
      </c>
      <c r="I217" s="67">
        <v>0</v>
      </c>
      <c r="J217" s="67">
        <v>0</v>
      </c>
      <c r="K217" s="67">
        <v>0</v>
      </c>
      <c r="L217" s="67">
        <v>0</v>
      </c>
      <c r="M217" s="67">
        <v>0</v>
      </c>
      <c r="N217" s="67">
        <v>0</v>
      </c>
    </row>
    <row r="218" spans="1:14" s="1167" customFormat="1" ht="15.75" customHeight="1" outlineLevel="1">
      <c r="A218" s="549" t="str">
        <f t="shared" si="11"/>
        <v>Astoria 2 (AE-II) Substation355Poles &amp; Fixtures</v>
      </c>
      <c r="B218" s="550" t="s">
        <v>1489</v>
      </c>
      <c r="C218" s="551" t="s">
        <v>220</v>
      </c>
      <c r="D218" s="552" t="s">
        <v>1250</v>
      </c>
      <c r="E218" s="551">
        <v>355</v>
      </c>
      <c r="F218" s="551" t="s">
        <v>311</v>
      </c>
      <c r="G218" s="67">
        <v>0</v>
      </c>
      <c r="H218" s="67">
        <v>0</v>
      </c>
      <c r="I218" s="67">
        <v>0</v>
      </c>
      <c r="J218" s="67">
        <v>0</v>
      </c>
      <c r="K218" s="67">
        <v>0</v>
      </c>
      <c r="L218" s="67">
        <v>0</v>
      </c>
      <c r="M218" s="67">
        <v>0</v>
      </c>
      <c r="N218" s="67">
        <v>0</v>
      </c>
    </row>
    <row r="219" spans="1:14" s="1167" customFormat="1" ht="15.75" customHeight="1" outlineLevel="1">
      <c r="A219" s="549" t="str">
        <f t="shared" si="11"/>
        <v>Astoria 2 (AE-II) Substation356Overhead Conductors &amp; Devices</v>
      </c>
      <c r="B219" s="550" t="s">
        <v>1490</v>
      </c>
      <c r="C219" s="551" t="s">
        <v>220</v>
      </c>
      <c r="D219" s="552" t="s">
        <v>1250</v>
      </c>
      <c r="E219" s="551">
        <v>356</v>
      </c>
      <c r="F219" s="551" t="s">
        <v>312</v>
      </c>
      <c r="G219" s="67">
        <v>0</v>
      </c>
      <c r="H219" s="67">
        <v>0</v>
      </c>
      <c r="I219" s="67">
        <v>0</v>
      </c>
      <c r="J219" s="67">
        <v>0</v>
      </c>
      <c r="K219" s="67">
        <v>0</v>
      </c>
      <c r="L219" s="67">
        <v>0</v>
      </c>
      <c r="M219" s="67">
        <v>0</v>
      </c>
      <c r="N219" s="67">
        <v>0</v>
      </c>
    </row>
    <row r="220" spans="1:14" s="1167" customFormat="1" ht="15.75" customHeight="1" outlineLevel="1">
      <c r="A220" s="549" t="str">
        <f t="shared" si="11"/>
        <v>Astoria 2 (AE-II) Substation357Underground Conduit</v>
      </c>
      <c r="B220" s="550" t="s">
        <v>1491</v>
      </c>
      <c r="C220" s="551" t="s">
        <v>220</v>
      </c>
      <c r="D220" s="552" t="s">
        <v>1250</v>
      </c>
      <c r="E220" s="551">
        <v>357</v>
      </c>
      <c r="F220" s="551" t="s">
        <v>313</v>
      </c>
      <c r="G220" s="67">
        <v>0</v>
      </c>
      <c r="H220" s="67">
        <v>0</v>
      </c>
      <c r="I220" s="67">
        <v>0</v>
      </c>
      <c r="J220" s="67">
        <v>0</v>
      </c>
      <c r="K220" s="67">
        <v>24644166</v>
      </c>
      <c r="L220" s="67">
        <v>12938195</v>
      </c>
      <c r="M220" s="67">
        <v>11705971</v>
      </c>
      <c r="N220" s="67">
        <v>1232209</v>
      </c>
    </row>
    <row r="221" spans="1:14" s="1167" customFormat="1" ht="15.75" customHeight="1" outlineLevel="1">
      <c r="A221" s="549" t="str">
        <f t="shared" si="11"/>
        <v>Astoria 2 (AE-II) Substation358Underground Conductors &amp; Devices</v>
      </c>
      <c r="B221" s="550" t="s">
        <v>1492</v>
      </c>
      <c r="C221" s="551" t="s">
        <v>220</v>
      </c>
      <c r="D221" s="552" t="s">
        <v>1250</v>
      </c>
      <c r="E221" s="551">
        <v>358</v>
      </c>
      <c r="F221" s="551" t="s">
        <v>314</v>
      </c>
      <c r="G221" s="67">
        <v>0</v>
      </c>
      <c r="H221" s="67">
        <v>0</v>
      </c>
      <c r="I221" s="67">
        <v>0</v>
      </c>
      <c r="J221" s="67">
        <v>0</v>
      </c>
      <c r="K221" s="67">
        <v>0</v>
      </c>
      <c r="L221" s="67">
        <v>0</v>
      </c>
      <c r="M221" s="67">
        <v>0</v>
      </c>
      <c r="N221" s="67">
        <v>0</v>
      </c>
    </row>
    <row r="222" spans="1:14" s="1167" customFormat="1" ht="15.75" customHeight="1" outlineLevel="1">
      <c r="A222" s="549" t="str">
        <f t="shared" si="11"/>
        <v>Astoria 2 (AE-II) Substation359Roads &amp; Trails</v>
      </c>
      <c r="B222" s="550" t="s">
        <v>1493</v>
      </c>
      <c r="C222" s="551" t="s">
        <v>220</v>
      </c>
      <c r="D222" s="552" t="s">
        <v>1250</v>
      </c>
      <c r="E222" s="551">
        <v>359</v>
      </c>
      <c r="F222" s="551" t="s">
        <v>315</v>
      </c>
      <c r="G222" s="67">
        <v>0</v>
      </c>
      <c r="H222" s="67">
        <v>0</v>
      </c>
      <c r="I222" s="67">
        <v>0</v>
      </c>
      <c r="J222" s="67">
        <v>0</v>
      </c>
      <c r="K222" s="67">
        <v>0</v>
      </c>
      <c r="L222" s="67">
        <v>0</v>
      </c>
      <c r="M222" s="67">
        <v>0</v>
      </c>
      <c r="N222" s="67">
        <v>0</v>
      </c>
    </row>
    <row r="223" spans="1:14" s="1167" customFormat="1" ht="15.75" customHeight="1" outlineLevel="1">
      <c r="A223" s="549" t="str">
        <f t="shared" si="11"/>
        <v>BRENTWOOD  (Long Island)353Station Equip - Transmission</v>
      </c>
      <c r="B223" s="550" t="s">
        <v>1494</v>
      </c>
      <c r="C223" s="551" t="s">
        <v>220</v>
      </c>
      <c r="D223" s="552" t="s">
        <v>1263</v>
      </c>
      <c r="E223" s="551">
        <v>353</v>
      </c>
      <c r="F223" s="551" t="s">
        <v>1248</v>
      </c>
      <c r="G223" s="67">
        <v>6883706</v>
      </c>
      <c r="H223" s="67">
        <v>5919671</v>
      </c>
      <c r="I223" s="67">
        <v>964035</v>
      </c>
      <c r="J223" s="67">
        <v>50474</v>
      </c>
      <c r="K223" s="67">
        <v>6883705.7699999996</v>
      </c>
      <c r="L223" s="67">
        <v>5869197</v>
      </c>
      <c r="M223" s="67">
        <v>1014508.7699999996</v>
      </c>
      <c r="N223" s="67">
        <v>37305</v>
      </c>
    </row>
    <row r="224" spans="1:14" s="1167" customFormat="1" ht="15.75" customHeight="1" outlineLevel="1">
      <c r="A224" s="549" t="str">
        <f t="shared" si="11"/>
        <v>Crescent353Station Equip - Transmission</v>
      </c>
      <c r="B224" s="550" t="s">
        <v>1495</v>
      </c>
      <c r="C224" s="551" t="s">
        <v>220</v>
      </c>
      <c r="D224" s="552" t="s">
        <v>955</v>
      </c>
      <c r="E224" s="551">
        <v>353</v>
      </c>
      <c r="F224" s="551" t="s">
        <v>1248</v>
      </c>
      <c r="G224" s="67">
        <v>2395536</v>
      </c>
      <c r="H224" s="67">
        <v>1296108</v>
      </c>
      <c r="I224" s="67">
        <v>1099428</v>
      </c>
      <c r="J224" s="67">
        <v>73507</v>
      </c>
      <c r="K224" s="67">
        <v>2395536</v>
      </c>
      <c r="L224" s="67">
        <v>1222601</v>
      </c>
      <c r="M224" s="67">
        <v>1172935</v>
      </c>
      <c r="N224" s="67">
        <v>39926</v>
      </c>
    </row>
    <row r="225" spans="1:14" s="1167" customFormat="1" ht="15" customHeight="1" outlineLevel="1">
      <c r="A225" s="549" t="str">
        <f t="shared" si="11"/>
        <v>FLYNN  (Holtsville)353Station Equip - Transmission</v>
      </c>
      <c r="B225" s="550" t="s">
        <v>1496</v>
      </c>
      <c r="C225" s="551" t="s">
        <v>220</v>
      </c>
      <c r="D225" s="554" t="s">
        <v>1254</v>
      </c>
      <c r="E225" s="551">
        <v>353</v>
      </c>
      <c r="F225" s="551" t="s">
        <v>1248</v>
      </c>
      <c r="G225" s="67">
        <v>11982220</v>
      </c>
      <c r="H225" s="67">
        <v>6051367</v>
      </c>
      <c r="I225" s="67">
        <v>5930853</v>
      </c>
      <c r="J225" s="67">
        <v>323136</v>
      </c>
      <c r="K225" s="67">
        <v>11982219.839999998</v>
      </c>
      <c r="L225" s="67">
        <v>5728230.7800000003</v>
      </c>
      <c r="M225" s="67">
        <v>6253989.0599999977</v>
      </c>
      <c r="N225" s="67">
        <v>318111</v>
      </c>
    </row>
    <row r="226" spans="1:14" s="1167" customFormat="1" ht="15.75" customHeight="1" outlineLevel="1">
      <c r="A226" s="549" t="str">
        <f t="shared" si="11"/>
        <v>GOWANUS  (Brooklyn)353Station Equip - Transmission</v>
      </c>
      <c r="B226" s="550" t="s">
        <v>1497</v>
      </c>
      <c r="C226" s="551" t="s">
        <v>220</v>
      </c>
      <c r="D226" s="552" t="s">
        <v>1265</v>
      </c>
      <c r="E226" s="551">
        <v>353</v>
      </c>
      <c r="F226" s="551" t="s">
        <v>1248</v>
      </c>
      <c r="G226" s="67">
        <v>28715227</v>
      </c>
      <c r="H226" s="67">
        <v>27640774</v>
      </c>
      <c r="I226" s="67">
        <v>1074453</v>
      </c>
      <c r="J226" s="67">
        <v>60421</v>
      </c>
      <c r="K226" s="67">
        <v>28715227.16</v>
      </c>
      <c r="L226" s="67">
        <v>27580353.329999998</v>
      </c>
      <c r="M226" s="67">
        <v>1134873.8300000019</v>
      </c>
      <c r="N226" s="67">
        <v>0</v>
      </c>
    </row>
    <row r="227" spans="1:14" s="1167" customFormat="1" ht="15.75" customHeight="1" outlineLevel="1">
      <c r="A227" s="549" t="str">
        <f t="shared" si="11"/>
        <v>HARLEM RIVER YARDS  (Bronx)353Station Equip - Transmission</v>
      </c>
      <c r="B227" s="550" t="s">
        <v>1498</v>
      </c>
      <c r="C227" s="551" t="s">
        <v>220</v>
      </c>
      <c r="D227" s="552" t="s">
        <v>1267</v>
      </c>
      <c r="E227" s="551">
        <v>353</v>
      </c>
      <c r="F227" s="551" t="s">
        <v>1248</v>
      </c>
      <c r="G227" s="67">
        <v>25080072</v>
      </c>
      <c r="H227" s="67">
        <v>21534820</v>
      </c>
      <c r="I227" s="67">
        <v>3545252</v>
      </c>
      <c r="J227" s="67">
        <v>391430</v>
      </c>
      <c r="K227" s="67">
        <v>25080072.09</v>
      </c>
      <c r="L227" s="67">
        <v>21143390</v>
      </c>
      <c r="M227" s="67">
        <v>3936682.09</v>
      </c>
      <c r="N227" s="67">
        <v>487234</v>
      </c>
    </row>
    <row r="228" spans="1:14" s="1167" customFormat="1" ht="15.75" customHeight="1" outlineLevel="1">
      <c r="A228" s="549" t="str">
        <f t="shared" si="11"/>
        <v>HELLGATE  (Bronx)353Station Equip - Transmission</v>
      </c>
      <c r="B228" s="550" t="s">
        <v>1499</v>
      </c>
      <c r="C228" s="551" t="s">
        <v>220</v>
      </c>
      <c r="D228" s="552" t="s">
        <v>1269</v>
      </c>
      <c r="E228" s="551">
        <v>353</v>
      </c>
      <c r="F228" s="551" t="s">
        <v>1248</v>
      </c>
      <c r="G228" s="67">
        <v>25061553</v>
      </c>
      <c r="H228" s="67">
        <v>21326325</v>
      </c>
      <c r="I228" s="67">
        <v>3735228</v>
      </c>
      <c r="J228" s="67">
        <v>2273130</v>
      </c>
      <c r="K228" s="67">
        <v>25061552.949999999</v>
      </c>
      <c r="L228" s="67">
        <v>19053195</v>
      </c>
      <c r="M228" s="67">
        <v>6008357.9499999993</v>
      </c>
      <c r="N228" s="67">
        <v>684730</v>
      </c>
    </row>
    <row r="229" spans="1:14" s="1167" customFormat="1" ht="15.75" customHeight="1" outlineLevel="1">
      <c r="A229" s="549" t="str">
        <f t="shared" si="11"/>
        <v>Jarvis353Station Equip - Transmission</v>
      </c>
      <c r="B229" s="550" t="s">
        <v>1500</v>
      </c>
      <c r="C229" s="551" t="s">
        <v>220</v>
      </c>
      <c r="D229" s="552" t="s">
        <v>954</v>
      </c>
      <c r="E229" s="551">
        <v>353</v>
      </c>
      <c r="F229" s="551" t="s">
        <v>1248</v>
      </c>
      <c r="G229" s="67">
        <v>4403688</v>
      </c>
      <c r="H229" s="67">
        <v>2343572</v>
      </c>
      <c r="I229" s="67">
        <v>2060116</v>
      </c>
      <c r="J229" s="67">
        <v>142772</v>
      </c>
      <c r="K229" s="67">
        <v>4403687.68</v>
      </c>
      <c r="L229" s="67">
        <v>2200799.6800000002</v>
      </c>
      <c r="M229" s="67">
        <v>2202887.9999999995</v>
      </c>
      <c r="N229" s="67">
        <v>74241</v>
      </c>
    </row>
    <row r="230" spans="1:14" s="1167" customFormat="1" ht="15.75" customHeight="1" outlineLevel="1">
      <c r="A230" s="549" t="str">
        <f t="shared" si="11"/>
        <v>KENT  (Brooklyn)353Station Equip - Transmission</v>
      </c>
      <c r="B230" s="550" t="s">
        <v>1501</v>
      </c>
      <c r="C230" s="551" t="s">
        <v>220</v>
      </c>
      <c r="D230" s="552" t="s">
        <v>1271</v>
      </c>
      <c r="E230" s="551">
        <v>353</v>
      </c>
      <c r="F230" s="551" t="s">
        <v>1248</v>
      </c>
      <c r="G230" s="67">
        <v>10506622</v>
      </c>
      <c r="H230" s="67">
        <v>9829017</v>
      </c>
      <c r="I230" s="67">
        <v>677605</v>
      </c>
      <c r="J230" s="67">
        <v>29903</v>
      </c>
      <c r="K230" s="67">
        <v>10506622.24</v>
      </c>
      <c r="L230" s="67">
        <v>9799114.2400000002</v>
      </c>
      <c r="M230" s="67">
        <v>707508</v>
      </c>
      <c r="N230" s="67">
        <v>4695</v>
      </c>
    </row>
    <row r="231" spans="1:14" s="1167" customFormat="1" ht="15.75" customHeight="1" outlineLevel="1">
      <c r="A231" s="549" t="str">
        <f t="shared" si="11"/>
        <v>POLETTI  (Astoria)352Structures &amp; Improvements</v>
      </c>
      <c r="B231" s="550" t="s">
        <v>1502</v>
      </c>
      <c r="C231" s="551" t="s">
        <v>220</v>
      </c>
      <c r="D231" s="552" t="s">
        <v>1256</v>
      </c>
      <c r="E231" s="551">
        <v>352</v>
      </c>
      <c r="F231" s="551" t="s">
        <v>308</v>
      </c>
      <c r="G231" s="67">
        <v>69748</v>
      </c>
      <c r="H231" s="67">
        <v>59998</v>
      </c>
      <c r="I231" s="67">
        <v>9750</v>
      </c>
      <c r="J231" s="67">
        <v>314</v>
      </c>
      <c r="K231" s="67">
        <v>69748</v>
      </c>
      <c r="L231" s="67">
        <v>59684.639999999999</v>
      </c>
      <c r="M231" s="67">
        <v>10063.36</v>
      </c>
      <c r="N231" s="67">
        <v>0</v>
      </c>
    </row>
    <row r="232" spans="1:14" s="1167" customFormat="1" ht="15.75" customHeight="1" outlineLevel="1">
      <c r="A232" s="549" t="str">
        <f t="shared" si="11"/>
        <v>POLETTI  (Astoria)353Station Equipment</v>
      </c>
      <c r="B232" s="550" t="s">
        <v>1503</v>
      </c>
      <c r="C232" s="551" t="s">
        <v>220</v>
      </c>
      <c r="D232" s="552" t="s">
        <v>1256</v>
      </c>
      <c r="E232" s="551">
        <v>353</v>
      </c>
      <c r="F232" s="551" t="s">
        <v>189</v>
      </c>
      <c r="G232" s="67">
        <v>14716023</v>
      </c>
      <c r="H232" s="67">
        <v>15488169</v>
      </c>
      <c r="I232" s="67">
        <v>-772146</v>
      </c>
      <c r="J232" s="67">
        <v>109791</v>
      </c>
      <c r="K232" s="67">
        <v>14716023</v>
      </c>
      <c r="L232" s="67">
        <v>15378377.59</v>
      </c>
      <c r="M232" s="67">
        <v>-662354.58999999985</v>
      </c>
      <c r="N232" s="67">
        <v>0</v>
      </c>
    </row>
    <row r="233" spans="1:14" s="1167" customFormat="1" ht="15.75" customHeight="1" outlineLevel="1">
      <c r="A233" s="549" t="str">
        <f t="shared" si="11"/>
        <v>POLETTI  (Astoria)357Underground Conduit</v>
      </c>
      <c r="B233" s="550" t="s">
        <v>1504</v>
      </c>
      <c r="C233" s="551" t="s">
        <v>220</v>
      </c>
      <c r="D233" s="552" t="s">
        <v>1256</v>
      </c>
      <c r="E233" s="551">
        <v>357</v>
      </c>
      <c r="F233" s="551" t="s">
        <v>313</v>
      </c>
      <c r="G233" s="67">
        <v>16192845</v>
      </c>
      <c r="H233" s="67">
        <v>16539663</v>
      </c>
      <c r="I233" s="67">
        <v>-346818</v>
      </c>
      <c r="J233" s="67">
        <v>14687</v>
      </c>
      <c r="K233" s="67">
        <v>16192845</v>
      </c>
      <c r="L233" s="67">
        <v>16524976.029999999</v>
      </c>
      <c r="M233" s="67">
        <v>-332131.02999999933</v>
      </c>
      <c r="N233" s="67">
        <v>0</v>
      </c>
    </row>
    <row r="234" spans="1:14" s="1167" customFormat="1" ht="15.75" customHeight="1" outlineLevel="1">
      <c r="A234" s="549" t="str">
        <f t="shared" si="11"/>
        <v>POLETTI  (Astoria)358Underground Conductors &amp; Devices</v>
      </c>
      <c r="B234" s="550" t="s">
        <v>1505</v>
      </c>
      <c r="C234" s="551" t="s">
        <v>220</v>
      </c>
      <c r="D234" s="552" t="s">
        <v>1256</v>
      </c>
      <c r="E234" s="551">
        <v>358</v>
      </c>
      <c r="F234" s="551" t="s">
        <v>314</v>
      </c>
      <c r="G234" s="67">
        <v>14726135</v>
      </c>
      <c r="H234" s="67">
        <v>14538660</v>
      </c>
      <c r="I234" s="67">
        <v>187475</v>
      </c>
      <c r="J234" s="67">
        <v>84435</v>
      </c>
      <c r="K234" s="67">
        <v>14726135</v>
      </c>
      <c r="L234" s="67">
        <v>14454224.74</v>
      </c>
      <c r="M234" s="67">
        <v>271910.25999999978</v>
      </c>
      <c r="N234" s="67">
        <v>30451</v>
      </c>
    </row>
    <row r="235" spans="1:14" s="1167" customFormat="1" ht="15.75" customHeight="1" outlineLevel="1">
      <c r="A235" s="549" t="str">
        <f t="shared" si="11"/>
        <v>POUCH TERMINAL  (Richmond)353Station Equip - Transmission</v>
      </c>
      <c r="B235" s="550" t="s">
        <v>1506</v>
      </c>
      <c r="C235" s="551" t="s">
        <v>220</v>
      </c>
      <c r="D235" s="552" t="s">
        <v>1273</v>
      </c>
      <c r="E235" s="551">
        <v>353</v>
      </c>
      <c r="F235" s="551" t="s">
        <v>1248</v>
      </c>
      <c r="G235" s="67">
        <v>11520027</v>
      </c>
      <c r="H235" s="67">
        <v>10500554</v>
      </c>
      <c r="I235" s="67">
        <v>1019473</v>
      </c>
      <c r="J235" s="67">
        <v>31875</v>
      </c>
      <c r="K235" s="67">
        <v>11520027</v>
      </c>
      <c r="L235" s="67">
        <v>10468678.050000001</v>
      </c>
      <c r="M235" s="67">
        <v>1051348.9499999993</v>
      </c>
      <c r="N235" s="67">
        <v>0</v>
      </c>
    </row>
    <row r="236" spans="1:14" s="1167" customFormat="1" ht="15.75" customHeight="1" outlineLevel="1">
      <c r="A236" s="549" t="str">
        <f t="shared" si="11"/>
        <v>VERNON BOULEVARD  (Queens)353Station Equip - Transmission</v>
      </c>
      <c r="B236" s="550" t="s">
        <v>1507</v>
      </c>
      <c r="C236" s="551" t="s">
        <v>220</v>
      </c>
      <c r="D236" s="552" t="s">
        <v>1275</v>
      </c>
      <c r="E236" s="551">
        <v>353</v>
      </c>
      <c r="F236" s="551" t="s">
        <v>1248</v>
      </c>
      <c r="G236" s="67">
        <v>16526683</v>
      </c>
      <c r="H236" s="67">
        <v>6635443</v>
      </c>
      <c r="I236" s="67">
        <v>9891240</v>
      </c>
      <c r="J236" s="67">
        <v>0</v>
      </c>
      <c r="K236" s="67">
        <v>16526683</v>
      </c>
      <c r="L236" s="67">
        <v>6635442.8499999996</v>
      </c>
      <c r="M236" s="67">
        <v>9891240.1500000004</v>
      </c>
      <c r="N236" s="67">
        <v>0</v>
      </c>
    </row>
    <row r="237" spans="1:14" s="1167" customFormat="1" ht="15.75" customHeight="1" outlineLevel="1">
      <c r="A237" s="549" t="str">
        <f t="shared" si="11"/>
        <v>Vischer Ferry353Station Equip - Transmission</v>
      </c>
      <c r="B237" s="550" t="s">
        <v>1508</v>
      </c>
      <c r="C237" s="551" t="s">
        <v>220</v>
      </c>
      <c r="D237" s="552" t="s">
        <v>956</v>
      </c>
      <c r="E237" s="551">
        <v>353</v>
      </c>
      <c r="F237" s="551" t="s">
        <v>1248</v>
      </c>
      <c r="G237" s="67">
        <v>663158</v>
      </c>
      <c r="H237" s="67">
        <v>358809</v>
      </c>
      <c r="I237" s="67">
        <v>304349</v>
      </c>
      <c r="J237" s="67">
        <v>20349</v>
      </c>
      <c r="K237" s="67">
        <v>663158</v>
      </c>
      <c r="L237" s="67">
        <v>338460</v>
      </c>
      <c r="M237" s="67">
        <v>324698</v>
      </c>
      <c r="N237" s="67">
        <v>11053</v>
      </c>
    </row>
    <row r="238" spans="1:14" s="1167" customFormat="1" ht="15.75" customHeight="1" outlineLevel="1">
      <c r="A238" s="549" t="str">
        <f>CONCATENATE(D238,E238,F238)</f>
        <v>Asset ImpairmentImpairment (Trans)</v>
      </c>
      <c r="B238" s="550" t="s">
        <v>1509</v>
      </c>
      <c r="C238" s="551" t="s">
        <v>220</v>
      </c>
      <c r="D238" s="568" t="s">
        <v>1510</v>
      </c>
      <c r="E238" s="551"/>
      <c r="F238" s="569" t="s">
        <v>1511</v>
      </c>
      <c r="G238" s="67">
        <v>-30000000</v>
      </c>
      <c r="H238" s="67">
        <v>0</v>
      </c>
      <c r="I238" s="67">
        <v>-30000000</v>
      </c>
      <c r="J238" s="67">
        <v>0</v>
      </c>
      <c r="K238" s="67">
        <v>-30000000</v>
      </c>
      <c r="L238" s="67">
        <v>0</v>
      </c>
      <c r="M238" s="67">
        <v>-30000000</v>
      </c>
      <c r="N238" s="67">
        <v>0</v>
      </c>
    </row>
    <row r="239" spans="1:14" s="1167" customFormat="1" ht="31.2" outlineLevel="1">
      <c r="A239" s="549" t="str">
        <f>CONCATENATE(D239,E239,F239)</f>
        <v>Reclassification to deferred liabilityCost of Removal Deprec to Reg Assets (Trans)</v>
      </c>
      <c r="B239" s="550" t="s">
        <v>1512</v>
      </c>
      <c r="C239" s="551" t="s">
        <v>220</v>
      </c>
      <c r="D239" s="568" t="s">
        <v>1513</v>
      </c>
      <c r="E239" s="551"/>
      <c r="F239" s="571" t="s">
        <v>1514</v>
      </c>
      <c r="G239" s="67">
        <v>0</v>
      </c>
      <c r="H239" s="67">
        <v>-156190323</v>
      </c>
      <c r="I239" s="67">
        <v>156190323</v>
      </c>
      <c r="J239" s="67">
        <v>0</v>
      </c>
      <c r="K239" s="67">
        <v>0</v>
      </c>
      <c r="L239" s="67">
        <v>-143886520</v>
      </c>
      <c r="M239" s="67">
        <v>143886520</v>
      </c>
      <c r="N239" s="67">
        <v>0</v>
      </c>
    </row>
    <row r="240" spans="1:14" s="1167" customFormat="1" ht="15.75" customHeight="1" outlineLevel="1">
      <c r="A240" s="549" t="str">
        <f t="shared" ref="A240:A241" si="12">CONCATENATE(D240,E240,F240)</f>
        <v/>
      </c>
      <c r="B240" s="554" t="s">
        <v>146</v>
      </c>
      <c r="C240" s="551"/>
      <c r="D240" s="551"/>
      <c r="E240" s="67"/>
      <c r="F240" s="551"/>
      <c r="G240" s="67"/>
      <c r="H240" s="67"/>
      <c r="I240" s="67"/>
      <c r="J240" s="67"/>
      <c r="K240" s="67"/>
      <c r="L240" s="67"/>
      <c r="M240" s="67"/>
      <c r="N240" s="67"/>
    </row>
    <row r="241" spans="1:14" s="1167" customFormat="1" ht="15.75" customHeight="1" outlineLevel="1" thickBot="1">
      <c r="A241" s="549" t="str">
        <f t="shared" si="12"/>
        <v/>
      </c>
      <c r="B241" s="554" t="s">
        <v>146</v>
      </c>
      <c r="C241" s="551"/>
      <c r="D241" s="551"/>
      <c r="E241" s="67"/>
      <c r="F241" s="551"/>
      <c r="G241" s="67"/>
      <c r="H241" s="67"/>
      <c r="I241" s="67"/>
      <c r="J241" s="67"/>
      <c r="K241" s="67"/>
      <c r="L241" s="67"/>
      <c r="M241" s="67"/>
      <c r="N241" s="67"/>
    </row>
    <row r="242" spans="1:14" s="1168" customFormat="1" ht="16.5" customHeight="1" thickBot="1">
      <c r="A242" s="549" t="str">
        <f t="shared" si="11"/>
        <v>Transmission Total</v>
      </c>
      <c r="B242" s="1390">
        <v>11</v>
      </c>
      <c r="C242" s="1391"/>
      <c r="D242" s="1391"/>
      <c r="E242" s="1391"/>
      <c r="F242" s="1395" t="s">
        <v>1515</v>
      </c>
      <c r="G242" s="1393">
        <f t="shared" ref="G242:N242" si="13">SUBTOTAL(9,G170:G241)</f>
        <v>3127742140</v>
      </c>
      <c r="H242" s="1393">
        <f t="shared" si="13"/>
        <v>1404167049</v>
      </c>
      <c r="I242" s="1393">
        <f t="shared" si="13"/>
        <v>1723575090</v>
      </c>
      <c r="J242" s="1393">
        <f t="shared" si="13"/>
        <v>55302960</v>
      </c>
      <c r="K242" s="1393">
        <f t="shared" si="13"/>
        <v>2913039763.0599995</v>
      </c>
      <c r="L242" s="1393">
        <f t="shared" si="13"/>
        <v>1405100686.1100001</v>
      </c>
      <c r="M242" s="1393">
        <f t="shared" si="13"/>
        <v>1507939076.95</v>
      </c>
      <c r="N242" s="1393">
        <f t="shared" si="13"/>
        <v>50522989.669999994</v>
      </c>
    </row>
    <row r="243" spans="1:14" s="1167" customFormat="1" ht="15.75" customHeight="1" outlineLevel="1">
      <c r="A243" s="549" t="str">
        <f t="shared" si="11"/>
        <v/>
      </c>
      <c r="B243" s="555"/>
      <c r="C243" s="556"/>
      <c r="D243" s="556"/>
      <c r="E243" s="556"/>
      <c r="F243" s="385"/>
      <c r="G243" s="572"/>
      <c r="H243" s="68"/>
      <c r="I243" s="68"/>
      <c r="J243" s="68"/>
      <c r="K243" s="68"/>
      <c r="L243" s="68"/>
      <c r="M243" s="68"/>
      <c r="N243" s="68">
        <f>J242-N242</f>
        <v>4779970.3300000057</v>
      </c>
    </row>
    <row r="244" spans="1:14" s="1167" customFormat="1" ht="15.75" customHeight="1" outlineLevel="1">
      <c r="A244" s="549" t="str">
        <f t="shared" si="11"/>
        <v/>
      </c>
      <c r="B244" s="555"/>
      <c r="C244" s="556"/>
      <c r="D244" s="566"/>
      <c r="E244" s="556"/>
      <c r="F244" s="573"/>
      <c r="G244" s="68"/>
      <c r="H244" s="68"/>
      <c r="I244" s="68"/>
      <c r="J244" s="68"/>
      <c r="K244" s="68"/>
      <c r="L244" s="68"/>
      <c r="M244" s="68"/>
      <c r="N244" s="68"/>
    </row>
    <row r="245" spans="1:14" s="1168" customFormat="1" ht="16.5" customHeight="1" outlineLevel="1" thickBot="1">
      <c r="A245" s="549" t="str">
        <f t="shared" si="11"/>
        <v>General</v>
      </c>
      <c r="B245" s="559">
        <v>12</v>
      </c>
      <c r="C245" s="560"/>
      <c r="D245" s="561"/>
      <c r="E245" s="560"/>
      <c r="F245" s="562" t="s">
        <v>396</v>
      </c>
      <c r="G245" s="563"/>
      <c r="H245" s="563"/>
      <c r="I245" s="563"/>
      <c r="J245" s="563"/>
      <c r="K245" s="563"/>
      <c r="L245" s="563"/>
      <c r="M245" s="563"/>
      <c r="N245" s="563"/>
    </row>
    <row r="246" spans="1:14" s="1167" customFormat="1" ht="15.75" customHeight="1" outlineLevel="1">
      <c r="A246" s="549" t="str">
        <f t="shared" si="11"/>
        <v>BLENHEIM - GILBOA390Structures &amp; Improvements</v>
      </c>
      <c r="B246" s="550" t="s">
        <v>1516</v>
      </c>
      <c r="C246" s="551" t="s">
        <v>396</v>
      </c>
      <c r="D246" s="552" t="s">
        <v>1122</v>
      </c>
      <c r="E246" s="551">
        <v>390</v>
      </c>
      <c r="F246" s="551" t="s">
        <v>308</v>
      </c>
      <c r="G246" s="67">
        <v>41068313</v>
      </c>
      <c r="H246" s="67">
        <v>10858392</v>
      </c>
      <c r="I246" s="67">
        <v>30209921</v>
      </c>
      <c r="J246" s="67">
        <v>661483</v>
      </c>
      <c r="K246" s="67">
        <v>41060864.799999997</v>
      </c>
      <c r="L246" s="67">
        <v>10196909.48</v>
      </c>
      <c r="M246" s="67">
        <v>30863955.319999997</v>
      </c>
      <c r="N246" s="67">
        <v>653442.56000000006</v>
      </c>
    </row>
    <row r="247" spans="1:14" s="1167" customFormat="1" ht="15.75" customHeight="1" outlineLevel="1">
      <c r="A247" s="549" t="str">
        <f t="shared" si="11"/>
        <v>BLENHEIM - GILBOA391Office Furniture &amp; Equipment</v>
      </c>
      <c r="B247" s="550" t="s">
        <v>1517</v>
      </c>
      <c r="C247" s="551" t="s">
        <v>396</v>
      </c>
      <c r="D247" s="552" t="s">
        <v>1122</v>
      </c>
      <c r="E247" s="551">
        <v>391</v>
      </c>
      <c r="F247" s="551" t="s">
        <v>317</v>
      </c>
      <c r="G247" s="67">
        <v>78430</v>
      </c>
      <c r="H247" s="67">
        <v>626</v>
      </c>
      <c r="I247" s="67">
        <v>77804</v>
      </c>
      <c r="J247" s="67">
        <v>3767</v>
      </c>
      <c r="K247" s="67">
        <v>29827.920000000158</v>
      </c>
      <c r="L247" s="67">
        <v>-3140.3199999998324</v>
      </c>
      <c r="M247" s="67">
        <v>32968.239999999991</v>
      </c>
      <c r="N247" s="67">
        <v>2407</v>
      </c>
    </row>
    <row r="248" spans="1:14" s="1167" customFormat="1" ht="15.75" customHeight="1" outlineLevel="1">
      <c r="A248" s="549" t="str">
        <f t="shared" si="11"/>
        <v>BLENHEIM - GILBOA391.2Computer Equipment 5 yr</v>
      </c>
      <c r="B248" s="550" t="s">
        <v>1518</v>
      </c>
      <c r="C248" s="551" t="s">
        <v>396</v>
      </c>
      <c r="D248" s="552" t="s">
        <v>1122</v>
      </c>
      <c r="E248" s="551">
        <v>391.2</v>
      </c>
      <c r="F248" s="551" t="s">
        <v>442</v>
      </c>
      <c r="G248" s="67">
        <v>33378</v>
      </c>
      <c r="H248" s="67">
        <v>34889</v>
      </c>
      <c r="I248" s="67">
        <v>-1511</v>
      </c>
      <c r="J248" s="67">
        <v>5551</v>
      </c>
      <c r="K248" s="67">
        <v>33378.300000000017</v>
      </c>
      <c r="L248" s="67">
        <v>29338.299999999988</v>
      </c>
      <c r="M248" s="67">
        <v>4040.0000000000291</v>
      </c>
      <c r="N248" s="67">
        <v>10394</v>
      </c>
    </row>
    <row r="249" spans="1:14" s="1167" customFormat="1" ht="15.75" customHeight="1" outlineLevel="1">
      <c r="A249" s="549" t="str">
        <f t="shared" si="11"/>
        <v>BLENHEIM - GILBOA392Transportation Equipment</v>
      </c>
      <c r="B249" s="550" t="s">
        <v>1519</v>
      </c>
      <c r="C249" s="551" t="s">
        <v>396</v>
      </c>
      <c r="D249" s="552" t="s">
        <v>1122</v>
      </c>
      <c r="E249" s="551">
        <v>392</v>
      </c>
      <c r="F249" s="551" t="s">
        <v>318</v>
      </c>
      <c r="G249" s="67">
        <v>7521389</v>
      </c>
      <c r="H249" s="67">
        <v>4562553</v>
      </c>
      <c r="I249" s="67">
        <v>2958836</v>
      </c>
      <c r="J249" s="67">
        <v>387274</v>
      </c>
      <c r="K249" s="67">
        <v>6365523.8599999985</v>
      </c>
      <c r="L249" s="67">
        <v>4445765.419999999</v>
      </c>
      <c r="M249" s="67">
        <v>1919758.4399999995</v>
      </c>
      <c r="N249" s="67">
        <v>526894.31000000006</v>
      </c>
    </row>
    <row r="250" spans="1:14" s="1167" customFormat="1" ht="15.75" customHeight="1" outlineLevel="1">
      <c r="A250" s="549" t="str">
        <f t="shared" si="11"/>
        <v>BLENHEIM - GILBOA393Stores Equipment</v>
      </c>
      <c r="B250" s="550" t="s">
        <v>1520</v>
      </c>
      <c r="C250" s="551" t="s">
        <v>396</v>
      </c>
      <c r="D250" s="552" t="s">
        <v>1122</v>
      </c>
      <c r="E250" s="551">
        <v>393</v>
      </c>
      <c r="F250" s="551" t="s">
        <v>319</v>
      </c>
      <c r="G250" s="67">
        <v>511332</v>
      </c>
      <c r="H250" s="67">
        <v>392444</v>
      </c>
      <c r="I250" s="67">
        <v>118888</v>
      </c>
      <c r="J250" s="67">
        <v>16195</v>
      </c>
      <c r="K250" s="67">
        <v>511332.30000000005</v>
      </c>
      <c r="L250" s="67">
        <v>376248.47</v>
      </c>
      <c r="M250" s="67">
        <v>135083.83000000007</v>
      </c>
      <c r="N250" s="67">
        <v>16348</v>
      </c>
    </row>
    <row r="251" spans="1:14" s="1167" customFormat="1" ht="15.75" customHeight="1" outlineLevel="1">
      <c r="A251" s="549" t="str">
        <f t="shared" si="11"/>
        <v>BLENHEIM - GILBOA394Tools, Shop &amp; Garage Equipment</v>
      </c>
      <c r="B251" s="550" t="s">
        <v>1521</v>
      </c>
      <c r="C251" s="551" t="s">
        <v>396</v>
      </c>
      <c r="D251" s="552" t="s">
        <v>1122</v>
      </c>
      <c r="E251" s="551">
        <v>394</v>
      </c>
      <c r="F251" s="551" t="s">
        <v>320</v>
      </c>
      <c r="G251" s="67">
        <v>1904328</v>
      </c>
      <c r="H251" s="67">
        <v>845543</v>
      </c>
      <c r="I251" s="67">
        <v>1058786</v>
      </c>
      <c r="J251" s="67">
        <v>92305</v>
      </c>
      <c r="K251" s="67">
        <v>1877648.4500000002</v>
      </c>
      <c r="L251" s="67">
        <v>753237.2100000002</v>
      </c>
      <c r="M251" s="67">
        <v>1124411.24</v>
      </c>
      <c r="N251" s="67">
        <v>89290.69</v>
      </c>
    </row>
    <row r="252" spans="1:14" s="1167" customFormat="1" ht="15.75" customHeight="1" outlineLevel="1">
      <c r="A252" s="549" t="str">
        <f t="shared" si="11"/>
        <v>BLENHEIM - GILBOA395Laboratory Equipment</v>
      </c>
      <c r="B252" s="550" t="s">
        <v>1522</v>
      </c>
      <c r="C252" s="551" t="s">
        <v>396</v>
      </c>
      <c r="D252" s="552" t="s">
        <v>1122</v>
      </c>
      <c r="E252" s="551">
        <v>395</v>
      </c>
      <c r="F252" s="551" t="s">
        <v>321</v>
      </c>
      <c r="G252" s="67">
        <v>888841</v>
      </c>
      <c r="H252" s="67">
        <v>311562</v>
      </c>
      <c r="I252" s="67">
        <v>577278</v>
      </c>
      <c r="J252" s="67">
        <v>37272</v>
      </c>
      <c r="K252" s="67">
        <v>689891.96000000008</v>
      </c>
      <c r="L252" s="67">
        <v>274290.73999999993</v>
      </c>
      <c r="M252" s="67">
        <v>415601.22000000015</v>
      </c>
      <c r="N252" s="67">
        <v>35527</v>
      </c>
    </row>
    <row r="253" spans="1:14" s="1167" customFormat="1" ht="15.75" customHeight="1" outlineLevel="1">
      <c r="A253" s="549" t="str">
        <f t="shared" si="11"/>
        <v>BLENHEIM - GILBOA396Power Operated Equipment</v>
      </c>
      <c r="B253" s="550" t="s">
        <v>1523</v>
      </c>
      <c r="C253" s="551" t="s">
        <v>396</v>
      </c>
      <c r="D253" s="552" t="s">
        <v>1122</v>
      </c>
      <c r="E253" s="551">
        <v>396</v>
      </c>
      <c r="F253" s="551" t="s">
        <v>323</v>
      </c>
      <c r="G253" s="67">
        <v>3551911</v>
      </c>
      <c r="H253" s="67">
        <v>2562500</v>
      </c>
      <c r="I253" s="67">
        <v>989411</v>
      </c>
      <c r="J253" s="67">
        <v>53592</v>
      </c>
      <c r="K253" s="67">
        <v>2763842.6599999992</v>
      </c>
      <c r="L253" s="67">
        <v>2791684.66</v>
      </c>
      <c r="M253" s="67">
        <v>-27842.000000000931</v>
      </c>
      <c r="N253" s="67">
        <v>69352</v>
      </c>
    </row>
    <row r="254" spans="1:14" s="1167" customFormat="1" ht="15.75" customHeight="1" outlineLevel="1">
      <c r="A254" s="549" t="str">
        <f t="shared" si="11"/>
        <v>BLENHEIM - GILBOA397Communication Equipment</v>
      </c>
      <c r="B254" s="550" t="s">
        <v>1524</v>
      </c>
      <c r="C254" s="551" t="s">
        <v>396</v>
      </c>
      <c r="D254" s="552" t="s">
        <v>1122</v>
      </c>
      <c r="E254" s="551">
        <v>397</v>
      </c>
      <c r="F254" s="551" t="s">
        <v>325</v>
      </c>
      <c r="G254" s="67">
        <v>803422</v>
      </c>
      <c r="H254" s="67">
        <v>272490</v>
      </c>
      <c r="I254" s="67">
        <v>530932</v>
      </c>
      <c r="J254" s="67">
        <v>60260</v>
      </c>
      <c r="K254" s="67">
        <v>803422.14999999991</v>
      </c>
      <c r="L254" s="67">
        <v>212230.57999999984</v>
      </c>
      <c r="M254" s="67">
        <v>591191.57000000007</v>
      </c>
      <c r="N254" s="67">
        <v>53563</v>
      </c>
    </row>
    <row r="255" spans="1:14" s="1167" customFormat="1" ht="15.75" customHeight="1" outlineLevel="1">
      <c r="A255" s="549" t="str">
        <f t="shared" si="11"/>
        <v>BLENHEIM - GILBOA398Miscellaneous Equipment</v>
      </c>
      <c r="B255" s="550" t="s">
        <v>1525</v>
      </c>
      <c r="C255" s="551" t="s">
        <v>396</v>
      </c>
      <c r="D255" s="552" t="s">
        <v>1122</v>
      </c>
      <c r="E255" s="551">
        <v>398</v>
      </c>
      <c r="F255" s="551" t="s">
        <v>327</v>
      </c>
      <c r="G255" s="67">
        <v>40960620</v>
      </c>
      <c r="H255" s="67">
        <v>5310644</v>
      </c>
      <c r="I255" s="67">
        <v>35649976</v>
      </c>
      <c r="J255" s="67">
        <v>1260044</v>
      </c>
      <c r="K255" s="67">
        <v>40281622.379999995</v>
      </c>
      <c r="L255" s="67">
        <v>4050599.7800000003</v>
      </c>
      <c r="M255" s="67">
        <v>36231022.599999994</v>
      </c>
      <c r="N255" s="67">
        <v>957974.5</v>
      </c>
    </row>
    <row r="256" spans="1:14" s="1167" customFormat="1" ht="15.75" customHeight="1" outlineLevel="1">
      <c r="A256" s="549" t="str">
        <f t="shared" si="11"/>
        <v>HEADQUARTERS390Structures &amp; Improvements</v>
      </c>
      <c r="B256" s="550" t="s">
        <v>1526</v>
      </c>
      <c r="C256" s="551" t="s">
        <v>396</v>
      </c>
      <c r="D256" s="552" t="s">
        <v>1124</v>
      </c>
      <c r="E256" s="551">
        <v>390</v>
      </c>
      <c r="F256" s="551" t="s">
        <v>308</v>
      </c>
      <c r="G256" s="67">
        <v>106698684</v>
      </c>
      <c r="H256" s="67">
        <v>53470622</v>
      </c>
      <c r="I256" s="67">
        <v>53228062</v>
      </c>
      <c r="J256" s="67">
        <v>4026679</v>
      </c>
      <c r="K256" s="67">
        <v>95755960.519999996</v>
      </c>
      <c r="L256" s="67">
        <v>47313445.519999996</v>
      </c>
      <c r="M256" s="67">
        <v>48442515</v>
      </c>
      <c r="N256" s="553">
        <v>1163423.0500000003</v>
      </c>
    </row>
    <row r="257" spans="1:14" s="1167" customFormat="1" ht="15.75" customHeight="1" outlineLevel="1">
      <c r="A257" s="549" t="str">
        <f t="shared" si="11"/>
        <v>HEADQUARTERS391Office Furniture &amp; Equipment</v>
      </c>
      <c r="B257" s="550" t="s">
        <v>1527</v>
      </c>
      <c r="C257" s="551" t="s">
        <v>396</v>
      </c>
      <c r="D257" s="552" t="s">
        <v>1124</v>
      </c>
      <c r="E257" s="551">
        <v>391</v>
      </c>
      <c r="F257" s="551" t="s">
        <v>317</v>
      </c>
      <c r="G257" s="67">
        <v>11954483</v>
      </c>
      <c r="H257" s="67">
        <v>10512796</v>
      </c>
      <c r="I257" s="67">
        <v>1441687</v>
      </c>
      <c r="J257" s="67">
        <v>793973</v>
      </c>
      <c r="K257" s="67">
        <v>11905880.559999961</v>
      </c>
      <c r="L257" s="67">
        <v>9718823.1099999845</v>
      </c>
      <c r="M257" s="67">
        <v>2187057.4499999769</v>
      </c>
      <c r="N257" s="553">
        <v>662411</v>
      </c>
    </row>
    <row r="258" spans="1:14" s="1167" customFormat="1" ht="15.75" customHeight="1" outlineLevel="1">
      <c r="A258" s="549" t="str">
        <f t="shared" si="11"/>
        <v>HEADQUARTERS391.2Computer Equipment 5 yr</v>
      </c>
      <c r="B258" s="550" t="s">
        <v>1528</v>
      </c>
      <c r="C258" s="551" t="s">
        <v>396</v>
      </c>
      <c r="D258" s="552" t="s">
        <v>1124</v>
      </c>
      <c r="E258" s="551">
        <v>391.2</v>
      </c>
      <c r="F258" s="551" t="s">
        <v>442</v>
      </c>
      <c r="G258" s="67">
        <v>58150070</v>
      </c>
      <c r="H258" s="67">
        <v>14386064</v>
      </c>
      <c r="I258" s="67">
        <v>43764006</v>
      </c>
      <c r="J258" s="67">
        <v>3198592</v>
      </c>
      <c r="K258" s="67">
        <v>13743160.389999991</v>
      </c>
      <c r="L258" s="67">
        <v>11187472.159999998</v>
      </c>
      <c r="M258" s="67">
        <v>2555688.229999993</v>
      </c>
      <c r="N258" s="553">
        <v>2476022.88</v>
      </c>
    </row>
    <row r="259" spans="1:14" s="1167" customFormat="1" ht="15.75" customHeight="1" outlineLevel="1">
      <c r="A259" s="549" t="str">
        <f t="shared" si="11"/>
        <v>HEADQUARTERS391.3Computer Equipment 10 yr</v>
      </c>
      <c r="B259" s="550" t="s">
        <v>1529</v>
      </c>
      <c r="C259" s="551" t="s">
        <v>396</v>
      </c>
      <c r="D259" s="552" t="s">
        <v>1124</v>
      </c>
      <c r="E259" s="551">
        <v>391.3</v>
      </c>
      <c r="F259" s="551" t="s">
        <v>444</v>
      </c>
      <c r="G259" s="67">
        <v>279018169</v>
      </c>
      <c r="H259" s="67">
        <v>95106571.549999997</v>
      </c>
      <c r="I259" s="67">
        <v>183911597</v>
      </c>
      <c r="J259" s="67">
        <v>32013551</v>
      </c>
      <c r="K259" s="67">
        <v>265084337.56420001</v>
      </c>
      <c r="L259" s="67">
        <v>63093020.090000004</v>
      </c>
      <c r="M259" s="67">
        <v>201991317.62</v>
      </c>
      <c r="N259" s="553">
        <v>24595852.920000002</v>
      </c>
    </row>
    <row r="260" spans="1:14" s="1167" customFormat="1" ht="15.75" customHeight="1" outlineLevel="1">
      <c r="A260" s="549" t="str">
        <f t="shared" si="11"/>
        <v>HEADQUARTERS392Transportation Equipment</v>
      </c>
      <c r="B260" s="550" t="s">
        <v>1530</v>
      </c>
      <c r="C260" s="551" t="s">
        <v>396</v>
      </c>
      <c r="D260" s="552" t="s">
        <v>1124</v>
      </c>
      <c r="E260" s="551">
        <v>392</v>
      </c>
      <c r="F260" s="551" t="s">
        <v>318</v>
      </c>
      <c r="G260" s="67">
        <v>13822876</v>
      </c>
      <c r="H260" s="67">
        <v>6046221</v>
      </c>
      <c r="I260" s="67">
        <v>7776655</v>
      </c>
      <c r="J260" s="67">
        <v>84921</v>
      </c>
      <c r="K260" s="67">
        <v>12509325.769999996</v>
      </c>
      <c r="L260" s="67">
        <v>12622387.689999998</v>
      </c>
      <c r="M260" s="67">
        <v>-113061.92000000179</v>
      </c>
      <c r="N260" s="553">
        <v>116474.51000000001</v>
      </c>
    </row>
    <row r="261" spans="1:14" s="1167" customFormat="1" ht="15.75" customHeight="1" outlineLevel="1">
      <c r="A261" s="549" t="str">
        <f t="shared" si="11"/>
        <v>HEADQUARTERS394Tools, Shop &amp; Garage Equipment</v>
      </c>
      <c r="B261" s="550" t="s">
        <v>1531</v>
      </c>
      <c r="C261" s="551" t="s">
        <v>396</v>
      </c>
      <c r="D261" s="552" t="s">
        <v>1124</v>
      </c>
      <c r="E261" s="551">
        <v>394</v>
      </c>
      <c r="F261" s="551" t="s">
        <v>320</v>
      </c>
      <c r="G261" s="67">
        <v>1090758</v>
      </c>
      <c r="H261" s="67">
        <v>341058</v>
      </c>
      <c r="I261" s="67">
        <v>749700</v>
      </c>
      <c r="J261" s="67">
        <v>56349</v>
      </c>
      <c r="K261" s="67">
        <v>1015285.2799999999</v>
      </c>
      <c r="L261" s="67">
        <v>284708.92000000004</v>
      </c>
      <c r="M261" s="67">
        <v>730576.35999999987</v>
      </c>
      <c r="N261" s="553">
        <v>59046.36</v>
      </c>
    </row>
    <row r="262" spans="1:14" s="1167" customFormat="1" ht="15.75" customHeight="1" outlineLevel="1">
      <c r="A262" s="549" t="str">
        <f t="shared" si="11"/>
        <v>HEADQUARTERS395Laboratory Equipment</v>
      </c>
      <c r="B262" s="550" t="s">
        <v>1532</v>
      </c>
      <c r="C262" s="551" t="s">
        <v>396</v>
      </c>
      <c r="D262" s="552" t="s">
        <v>1124</v>
      </c>
      <c r="E262" s="551">
        <v>395</v>
      </c>
      <c r="F262" s="551" t="s">
        <v>321</v>
      </c>
      <c r="G262" s="67">
        <v>1591560</v>
      </c>
      <c r="H262" s="67">
        <v>926699</v>
      </c>
      <c r="I262" s="67">
        <v>664861</v>
      </c>
      <c r="J262" s="67">
        <v>5406</v>
      </c>
      <c r="K262" s="67">
        <v>968802.38999999932</v>
      </c>
      <c r="L262" s="67">
        <v>921293.39</v>
      </c>
      <c r="M262" s="67">
        <v>47508.999999999302</v>
      </c>
      <c r="N262" s="553">
        <v>4586.01</v>
      </c>
    </row>
    <row r="263" spans="1:14" s="1167" customFormat="1" ht="15.75" customHeight="1" outlineLevel="1">
      <c r="A263" s="549" t="str">
        <f t="shared" si="11"/>
        <v>HEADQUARTERS397Communication Equipment</v>
      </c>
      <c r="B263" s="550" t="s">
        <v>1533</v>
      </c>
      <c r="C263" s="551" t="s">
        <v>396</v>
      </c>
      <c r="D263" s="552" t="s">
        <v>1124</v>
      </c>
      <c r="E263" s="551">
        <v>397</v>
      </c>
      <c r="F263" s="551" t="s">
        <v>325</v>
      </c>
      <c r="G263" s="67">
        <v>18378802</v>
      </c>
      <c r="H263" s="67">
        <v>3849789</v>
      </c>
      <c r="I263" s="67">
        <v>14529014</v>
      </c>
      <c r="J263" s="67">
        <v>1163701</v>
      </c>
      <c r="K263" s="67">
        <v>14052628.459999999</v>
      </c>
      <c r="L263" s="67">
        <v>2686087.459999999</v>
      </c>
      <c r="M263" s="67">
        <v>11366541</v>
      </c>
      <c r="N263" s="67">
        <v>797780.51</v>
      </c>
    </row>
    <row r="264" spans="1:14" s="1167" customFormat="1" ht="15.75" customHeight="1" outlineLevel="1">
      <c r="A264" s="549" t="str">
        <f t="shared" si="11"/>
        <v>HEADQUARTERS398Miscellaneous Equipment</v>
      </c>
      <c r="B264" s="550" t="s">
        <v>1534</v>
      </c>
      <c r="C264" s="551" t="s">
        <v>396</v>
      </c>
      <c r="D264" s="552" t="s">
        <v>1124</v>
      </c>
      <c r="E264" s="551">
        <v>398</v>
      </c>
      <c r="F264" s="551" t="s">
        <v>327</v>
      </c>
      <c r="G264" s="67">
        <v>639010</v>
      </c>
      <c r="H264" s="67">
        <v>153450</v>
      </c>
      <c r="I264" s="67">
        <v>485560</v>
      </c>
      <c r="J264" s="67">
        <v>41764</v>
      </c>
      <c r="K264" s="67">
        <v>364579.83999999985</v>
      </c>
      <c r="L264" s="67">
        <v>111686.10000000268</v>
      </c>
      <c r="M264" s="67">
        <v>252893.73999999717</v>
      </c>
      <c r="N264" s="67">
        <v>37954</v>
      </c>
    </row>
    <row r="265" spans="1:14" s="1167" customFormat="1" ht="15.75" customHeight="1" outlineLevel="1">
      <c r="A265" s="549" t="str">
        <f t="shared" si="11"/>
        <v>LONG ISLAND SOUND CABLE397Communication Equipment</v>
      </c>
      <c r="B265" s="550" t="s">
        <v>1535</v>
      </c>
      <c r="C265" s="551" t="s">
        <v>396</v>
      </c>
      <c r="D265" s="552" t="s">
        <v>1163</v>
      </c>
      <c r="E265" s="551">
        <v>397</v>
      </c>
      <c r="F265" s="551" t="s">
        <v>325</v>
      </c>
      <c r="G265" s="67">
        <v>4471303</v>
      </c>
      <c r="H265" s="67">
        <v>4524857</v>
      </c>
      <c r="I265" s="67">
        <v>-53554</v>
      </c>
      <c r="J265" s="67">
        <v>110828</v>
      </c>
      <c r="K265" s="67">
        <v>4414029</v>
      </c>
      <c r="L265" s="67">
        <v>4414029</v>
      </c>
      <c r="M265" s="67">
        <v>0</v>
      </c>
      <c r="N265" s="67">
        <v>0</v>
      </c>
    </row>
    <row r="266" spans="1:14" s="1167" customFormat="1" ht="15.75" customHeight="1" outlineLevel="1">
      <c r="A266" s="549" t="str">
        <f t="shared" si="11"/>
        <v>MARCY-SOUTH396Power Operated Equipment</v>
      </c>
      <c r="B266" s="550" t="s">
        <v>1536</v>
      </c>
      <c r="C266" s="551" t="s">
        <v>396</v>
      </c>
      <c r="D266" s="552" t="s">
        <v>1125</v>
      </c>
      <c r="E266" s="551">
        <v>396</v>
      </c>
      <c r="F266" s="551" t="s">
        <v>323</v>
      </c>
      <c r="G266" s="67">
        <v>763</v>
      </c>
      <c r="H266" s="67">
        <v>-254987</v>
      </c>
      <c r="I266" s="67">
        <v>255750</v>
      </c>
      <c r="J266" s="67">
        <v>23250</v>
      </c>
      <c r="K266" s="67">
        <v>763</v>
      </c>
      <c r="L266" s="67">
        <v>-278237</v>
      </c>
      <c r="M266" s="67">
        <v>279000</v>
      </c>
      <c r="N266" s="67">
        <v>0</v>
      </c>
    </row>
    <row r="267" spans="1:14" s="1167" customFormat="1" ht="15.75" customHeight="1" outlineLevel="1">
      <c r="A267" s="549" t="str">
        <f t="shared" si="11"/>
        <v>MARCY-SOUTH397Communication Equipment</v>
      </c>
      <c r="B267" s="550" t="s">
        <v>1537</v>
      </c>
      <c r="C267" s="551" t="s">
        <v>396</v>
      </c>
      <c r="D267" s="552" t="s">
        <v>1125</v>
      </c>
      <c r="E267" s="551">
        <v>397</v>
      </c>
      <c r="F267" s="551" t="s">
        <v>325</v>
      </c>
      <c r="G267" s="67">
        <v>0</v>
      </c>
      <c r="H267" s="67">
        <v>0</v>
      </c>
      <c r="I267" s="67">
        <v>0</v>
      </c>
      <c r="J267" s="67">
        <v>0</v>
      </c>
      <c r="K267" s="67">
        <v>0</v>
      </c>
      <c r="L267" s="67">
        <v>0</v>
      </c>
      <c r="M267" s="67">
        <v>0</v>
      </c>
      <c r="N267" s="67">
        <v>0</v>
      </c>
    </row>
    <row r="268" spans="1:14" s="1167" customFormat="1" ht="15.75" customHeight="1" outlineLevel="1">
      <c r="A268" s="549" t="str">
        <f t="shared" si="11"/>
        <v>MASSENA - MARCY  (Clark)390Structures &amp; Improvements</v>
      </c>
      <c r="B268" s="550" t="s">
        <v>1538</v>
      </c>
      <c r="C268" s="551" t="s">
        <v>396</v>
      </c>
      <c r="D268" s="552" t="s">
        <v>1126</v>
      </c>
      <c r="E268" s="551">
        <v>390</v>
      </c>
      <c r="F268" s="551" t="s">
        <v>308</v>
      </c>
      <c r="G268" s="67">
        <v>48940396</v>
      </c>
      <c r="H268" s="67">
        <v>3122659</v>
      </c>
      <c r="I268" s="67">
        <v>45817737</v>
      </c>
      <c r="J268" s="67">
        <v>767303</v>
      </c>
      <c r="K268" s="67">
        <v>46005026.139999993</v>
      </c>
      <c r="L268" s="67">
        <v>2355356.14</v>
      </c>
      <c r="M268" s="67">
        <v>43649669.999999993</v>
      </c>
      <c r="N268" s="67">
        <v>736960.40000000014</v>
      </c>
    </row>
    <row r="269" spans="1:14" s="1167" customFormat="1" ht="15.75" customHeight="1" outlineLevel="1">
      <c r="A269" s="549" t="str">
        <f t="shared" si="11"/>
        <v>MASSENA - MARCY  (Clark)391Office Furniture &amp; Equipment</v>
      </c>
      <c r="B269" s="550" t="s">
        <v>1539</v>
      </c>
      <c r="C269" s="551" t="s">
        <v>396</v>
      </c>
      <c r="D269" s="552" t="s">
        <v>1126</v>
      </c>
      <c r="E269" s="551">
        <v>391</v>
      </c>
      <c r="F269" s="551" t="s">
        <v>317</v>
      </c>
      <c r="G269" s="67">
        <v>-1671967</v>
      </c>
      <c r="H269" s="67">
        <v>875190</v>
      </c>
      <c r="I269" s="67">
        <v>-2547157</v>
      </c>
      <c r="J269" s="67">
        <v>-36298</v>
      </c>
      <c r="K269" s="67">
        <v>-1671966.6900000009</v>
      </c>
      <c r="L269" s="67">
        <v>911488.00000000023</v>
      </c>
      <c r="M269" s="67">
        <v>-2583454.6900000013</v>
      </c>
      <c r="N269" s="67">
        <v>6863.33</v>
      </c>
    </row>
    <row r="270" spans="1:14" s="1167" customFormat="1" ht="15.75" customHeight="1" outlineLevel="1">
      <c r="A270" s="549" t="str">
        <f t="shared" si="11"/>
        <v>MASSENA - MARCY  (Clark)391.2Computer Equipment 5 yr</v>
      </c>
      <c r="B270" s="550" t="s">
        <v>1540</v>
      </c>
      <c r="C270" s="551" t="s">
        <v>396</v>
      </c>
      <c r="D270" s="552" t="s">
        <v>1126</v>
      </c>
      <c r="E270" s="551">
        <v>391.2</v>
      </c>
      <c r="F270" s="551" t="s">
        <v>442</v>
      </c>
      <c r="G270" s="67">
        <v>-1905645</v>
      </c>
      <c r="H270" s="67">
        <v>33758</v>
      </c>
      <c r="I270" s="67">
        <v>-1939403</v>
      </c>
      <c r="J270" s="67">
        <v>-82627</v>
      </c>
      <c r="K270" s="67">
        <v>-2155998.4700000002</v>
      </c>
      <c r="L270" s="67">
        <v>116385.60000000005</v>
      </c>
      <c r="M270" s="67">
        <v>-2272384.0700000003</v>
      </c>
      <c r="N270" s="67">
        <v>32302</v>
      </c>
    </row>
    <row r="271" spans="1:14" s="1167" customFormat="1" ht="15.75" customHeight="1" outlineLevel="1">
      <c r="A271" s="549" t="str">
        <f t="shared" si="11"/>
        <v>MASSENA - MARCY  (Clark)391.3Computer Equipment 10 yr</v>
      </c>
      <c r="B271" s="550" t="s">
        <v>1541</v>
      </c>
      <c r="C271" s="551" t="s">
        <v>396</v>
      </c>
      <c r="D271" s="552" t="s">
        <v>1126</v>
      </c>
      <c r="E271" s="551">
        <v>391.3</v>
      </c>
      <c r="F271" s="551" t="s">
        <v>444</v>
      </c>
      <c r="G271" s="67">
        <v>8881588</v>
      </c>
      <c r="H271" s="67">
        <v>6226490</v>
      </c>
      <c r="I271" s="67">
        <v>2655097</v>
      </c>
      <c r="J271" s="67">
        <v>991383</v>
      </c>
      <c r="K271" s="67">
        <v>8881587.7100000009</v>
      </c>
      <c r="L271" s="67">
        <v>5235107.7200000007</v>
      </c>
      <c r="M271" s="67">
        <v>3646479.99</v>
      </c>
      <c r="N271" s="67">
        <v>1025790</v>
      </c>
    </row>
    <row r="272" spans="1:14" s="1167" customFormat="1" ht="15.75" customHeight="1" outlineLevel="1">
      <c r="A272" s="549" t="str">
        <f t="shared" si="11"/>
        <v>MASSENA - MARCY  (Clark)392Transportation Equipment</v>
      </c>
      <c r="B272" s="550" t="s">
        <v>1542</v>
      </c>
      <c r="C272" s="551" t="s">
        <v>396</v>
      </c>
      <c r="D272" s="552" t="s">
        <v>1126</v>
      </c>
      <c r="E272" s="551">
        <v>392</v>
      </c>
      <c r="F272" s="551" t="s">
        <v>318</v>
      </c>
      <c r="G272" s="67">
        <v>9363313</v>
      </c>
      <c r="H272" s="67">
        <v>5714303</v>
      </c>
      <c r="I272" s="67">
        <v>3649009</v>
      </c>
      <c r="J272" s="67">
        <v>490118</v>
      </c>
      <c r="K272" s="67">
        <v>7756261.0300000021</v>
      </c>
      <c r="L272" s="67">
        <v>5547415.7600000007</v>
      </c>
      <c r="M272" s="67">
        <v>2208845.2700000014</v>
      </c>
      <c r="N272" s="67">
        <v>565896.49</v>
      </c>
    </row>
    <row r="273" spans="1:14" s="1167" customFormat="1" ht="15.75" customHeight="1" outlineLevel="1">
      <c r="A273" s="549" t="str">
        <f t="shared" si="11"/>
        <v>MASSENA - MARCY  (Clark)393Stores Equipment</v>
      </c>
      <c r="B273" s="550" t="s">
        <v>1543</v>
      </c>
      <c r="C273" s="551" t="s">
        <v>396</v>
      </c>
      <c r="D273" s="552" t="s">
        <v>1126</v>
      </c>
      <c r="E273" s="551">
        <v>393</v>
      </c>
      <c r="F273" s="551" t="s">
        <v>319</v>
      </c>
      <c r="G273" s="67">
        <v>299434</v>
      </c>
      <c r="H273" s="67">
        <v>216216</v>
      </c>
      <c r="I273" s="67">
        <v>83218</v>
      </c>
      <c r="J273" s="67">
        <v>9009</v>
      </c>
      <c r="K273" s="67">
        <v>299434.21999999997</v>
      </c>
      <c r="L273" s="67">
        <v>207206.69</v>
      </c>
      <c r="M273" s="67">
        <v>92227.52999999997</v>
      </c>
      <c r="N273" s="67">
        <v>9904</v>
      </c>
    </row>
    <row r="274" spans="1:14" s="1167" customFormat="1" ht="15.75" customHeight="1" outlineLevel="1">
      <c r="A274" s="549" t="str">
        <f t="shared" si="11"/>
        <v>MASSENA - MARCY  (Clark)394Tools, Shop &amp; Garage Equipment</v>
      </c>
      <c r="B274" s="550" t="s">
        <v>1544</v>
      </c>
      <c r="C274" s="551" t="s">
        <v>396</v>
      </c>
      <c r="D274" s="552" t="s">
        <v>1126</v>
      </c>
      <c r="E274" s="551">
        <v>394</v>
      </c>
      <c r="F274" s="551" t="s">
        <v>320</v>
      </c>
      <c r="G274" s="67">
        <v>726725</v>
      </c>
      <c r="H274" s="67">
        <v>367294</v>
      </c>
      <c r="I274" s="67">
        <v>359432</v>
      </c>
      <c r="J274" s="67">
        <v>29950</v>
      </c>
      <c r="K274" s="67">
        <v>715878.64000000013</v>
      </c>
      <c r="L274" s="67">
        <v>337343.64999999985</v>
      </c>
      <c r="M274" s="67">
        <v>378534.99000000028</v>
      </c>
      <c r="N274" s="67">
        <v>30893</v>
      </c>
    </row>
    <row r="275" spans="1:14" s="1167" customFormat="1" ht="15.75" customHeight="1" outlineLevel="1">
      <c r="A275" s="549" t="str">
        <f t="shared" ref="A275:A334" si="14">CONCATENATE(D275,E275,F275)</f>
        <v>MASSENA - MARCY  (Clark)395Laboratory Equipment</v>
      </c>
      <c r="B275" s="550" t="s">
        <v>1545</v>
      </c>
      <c r="C275" s="551" t="s">
        <v>396</v>
      </c>
      <c r="D275" s="552" t="s">
        <v>1126</v>
      </c>
      <c r="E275" s="551">
        <v>395</v>
      </c>
      <c r="F275" s="551" t="s">
        <v>321</v>
      </c>
      <c r="G275" s="67">
        <v>990745</v>
      </c>
      <c r="H275" s="67">
        <v>295838</v>
      </c>
      <c r="I275" s="67">
        <v>694907</v>
      </c>
      <c r="J275" s="67">
        <v>34130</v>
      </c>
      <c r="K275" s="67">
        <v>801439.35000000021</v>
      </c>
      <c r="L275" s="67">
        <v>261708.50000000012</v>
      </c>
      <c r="M275" s="67">
        <v>539730.85000000009</v>
      </c>
      <c r="N275" s="67">
        <v>27417</v>
      </c>
    </row>
    <row r="276" spans="1:14" s="1167" customFormat="1" ht="15.75" customHeight="1" outlineLevel="1">
      <c r="A276" s="549" t="str">
        <f t="shared" si="14"/>
        <v>MASSENA - MARCY  (Clark)396Power Operated Equipment</v>
      </c>
      <c r="B276" s="550" t="s">
        <v>1546</v>
      </c>
      <c r="C276" s="551" t="s">
        <v>396</v>
      </c>
      <c r="D276" s="552" t="s">
        <v>1126</v>
      </c>
      <c r="E276" s="551">
        <v>396</v>
      </c>
      <c r="F276" s="551" t="s">
        <v>323</v>
      </c>
      <c r="G276" s="67">
        <v>3872091</v>
      </c>
      <c r="H276" s="67">
        <v>2455322</v>
      </c>
      <c r="I276" s="67">
        <v>1416769</v>
      </c>
      <c r="J276" s="67">
        <v>172609</v>
      </c>
      <c r="K276" s="67">
        <v>3872091.4299999997</v>
      </c>
      <c r="L276" s="67">
        <v>2282713.0900000003</v>
      </c>
      <c r="M276" s="67">
        <v>1589378.3399999994</v>
      </c>
      <c r="N276" s="67">
        <v>178788.27</v>
      </c>
    </row>
    <row r="277" spans="1:14" s="1167" customFormat="1" ht="15.75" customHeight="1" outlineLevel="1">
      <c r="A277" s="549" t="str">
        <f t="shared" si="14"/>
        <v>MASSENA - MARCY  (Clark)397Communication Equipment</v>
      </c>
      <c r="B277" s="550" t="s">
        <v>1547</v>
      </c>
      <c r="C277" s="551" t="s">
        <v>396</v>
      </c>
      <c r="D277" s="552" t="s">
        <v>1126</v>
      </c>
      <c r="E277" s="551">
        <v>397</v>
      </c>
      <c r="F277" s="551" t="s">
        <v>325</v>
      </c>
      <c r="G277" s="67">
        <v>9060139</v>
      </c>
      <c r="H277" s="67">
        <v>1217822</v>
      </c>
      <c r="I277" s="67">
        <v>7842317</v>
      </c>
      <c r="J277" s="67">
        <v>631859</v>
      </c>
      <c r="K277" s="67">
        <v>8331853.2400000002</v>
      </c>
      <c r="L277" s="67">
        <v>585962.23999999999</v>
      </c>
      <c r="M277" s="67">
        <v>7745891</v>
      </c>
      <c r="N277" s="67">
        <v>514318.4</v>
      </c>
    </row>
    <row r="278" spans="1:14" s="1167" customFormat="1" ht="15.75" customHeight="1" outlineLevel="1">
      <c r="A278" s="549" t="str">
        <f t="shared" si="14"/>
        <v>MASSENA - MARCY  (Clark)398Miscellaneous Equipment</v>
      </c>
      <c r="B278" s="550" t="s">
        <v>1548</v>
      </c>
      <c r="C278" s="551" t="s">
        <v>396</v>
      </c>
      <c r="D278" s="552" t="s">
        <v>1126</v>
      </c>
      <c r="E278" s="551">
        <v>398</v>
      </c>
      <c r="F278" s="551" t="s">
        <v>327</v>
      </c>
      <c r="G278" s="67">
        <v>389966</v>
      </c>
      <c r="H278" s="67">
        <v>-23606</v>
      </c>
      <c r="I278" s="67">
        <v>413572</v>
      </c>
      <c r="J278" s="67">
        <v>36836</v>
      </c>
      <c r="K278" s="67">
        <v>80334.880000000121</v>
      </c>
      <c r="L278" s="67">
        <v>-60442.119999999879</v>
      </c>
      <c r="M278" s="67">
        <v>140777</v>
      </c>
      <c r="N278" s="67">
        <v>11306.5</v>
      </c>
    </row>
    <row r="279" spans="1:14" s="1167" customFormat="1" ht="15.75" customHeight="1" outlineLevel="1">
      <c r="A279" s="549" t="str">
        <f t="shared" si="14"/>
        <v>NIAGARA390Structures &amp; Improvements</v>
      </c>
      <c r="B279" s="550" t="s">
        <v>1549</v>
      </c>
      <c r="C279" s="551" t="s">
        <v>396</v>
      </c>
      <c r="D279" s="552" t="s">
        <v>1127</v>
      </c>
      <c r="E279" s="551">
        <v>390</v>
      </c>
      <c r="F279" s="551" t="s">
        <v>308</v>
      </c>
      <c r="G279" s="67">
        <v>51809510</v>
      </c>
      <c r="H279" s="67">
        <v>24593712</v>
      </c>
      <c r="I279" s="67">
        <v>27215798</v>
      </c>
      <c r="J279" s="67">
        <v>783525</v>
      </c>
      <c r="K279" s="67">
        <v>51671520.759999998</v>
      </c>
      <c r="L279" s="67">
        <v>23810187.710000001</v>
      </c>
      <c r="M279" s="67">
        <v>27861333.049999997</v>
      </c>
      <c r="N279" s="67">
        <v>769672.44000000006</v>
      </c>
    </row>
    <row r="280" spans="1:14" s="1167" customFormat="1" ht="15.75" customHeight="1" outlineLevel="1">
      <c r="A280" s="549" t="str">
        <f t="shared" si="14"/>
        <v>NIAGARA391Office Furniture &amp; Equipment</v>
      </c>
      <c r="B280" s="550" t="s">
        <v>1550</v>
      </c>
      <c r="C280" s="551" t="s">
        <v>396</v>
      </c>
      <c r="D280" s="552" t="s">
        <v>1127</v>
      </c>
      <c r="E280" s="551">
        <v>391</v>
      </c>
      <c r="F280" s="551" t="s">
        <v>317</v>
      </c>
      <c r="G280" s="67">
        <v>2491015</v>
      </c>
      <c r="H280" s="67">
        <v>33610</v>
      </c>
      <c r="I280" s="67">
        <v>2457405</v>
      </c>
      <c r="J280" s="67">
        <v>23146</v>
      </c>
      <c r="K280" s="67">
        <v>20961.399999999907</v>
      </c>
      <c r="L280" s="67">
        <v>10464.029999999591</v>
      </c>
      <c r="M280" s="67">
        <v>10497.370000000315</v>
      </c>
      <c r="N280" s="67">
        <v>2003</v>
      </c>
    </row>
    <row r="281" spans="1:14" s="1167" customFormat="1" ht="15.75" customHeight="1" outlineLevel="1">
      <c r="A281" s="549" t="str">
        <f t="shared" si="14"/>
        <v>NIAGARA391.2Computer Equipment 5 yr</v>
      </c>
      <c r="B281" s="550" t="s">
        <v>1551</v>
      </c>
      <c r="C281" s="551" t="s">
        <v>396</v>
      </c>
      <c r="D281" s="552" t="s">
        <v>1127</v>
      </c>
      <c r="E281" s="551">
        <v>391.2</v>
      </c>
      <c r="F281" s="551" t="s">
        <v>442</v>
      </c>
      <c r="G281" s="67">
        <v>715074</v>
      </c>
      <c r="H281" s="67">
        <v>184002</v>
      </c>
      <c r="I281" s="67">
        <v>531072</v>
      </c>
      <c r="J281" s="67">
        <v>21849</v>
      </c>
      <c r="K281" s="67">
        <v>170702.59000000003</v>
      </c>
      <c r="L281" s="67">
        <v>162152.79000000004</v>
      </c>
      <c r="M281" s="67">
        <v>8549.7999999999884</v>
      </c>
      <c r="N281" s="67">
        <v>25560</v>
      </c>
    </row>
    <row r="282" spans="1:14" s="1167" customFormat="1" ht="15.75" customHeight="1" outlineLevel="1">
      <c r="A282" s="549" t="str">
        <f t="shared" si="14"/>
        <v>NIAGARA391.3Computer Equipment 10 yr</v>
      </c>
      <c r="B282" s="550" t="s">
        <v>1552</v>
      </c>
      <c r="C282" s="551" t="s">
        <v>396</v>
      </c>
      <c r="D282" s="552" t="s">
        <v>1127</v>
      </c>
      <c r="E282" s="551">
        <v>391.3</v>
      </c>
      <c r="F282" s="551" t="s">
        <v>444</v>
      </c>
      <c r="G282" s="67">
        <v>2024367</v>
      </c>
      <c r="H282" s="67">
        <v>791863</v>
      </c>
      <c r="I282" s="67">
        <v>1232504</v>
      </c>
      <c r="J282" s="67">
        <v>202438</v>
      </c>
      <c r="K282" s="67">
        <v>2024367.2300000002</v>
      </c>
      <c r="L282" s="67">
        <v>589425.23</v>
      </c>
      <c r="M282" s="67">
        <v>1434942.0000000002</v>
      </c>
      <c r="N282" s="67">
        <v>202438</v>
      </c>
    </row>
    <row r="283" spans="1:14" s="1167" customFormat="1" ht="15.75" customHeight="1" outlineLevel="1">
      <c r="A283" s="549" t="str">
        <f t="shared" si="14"/>
        <v>NIAGARA392Transportation Equipment</v>
      </c>
      <c r="B283" s="550" t="s">
        <v>1553</v>
      </c>
      <c r="C283" s="551" t="s">
        <v>396</v>
      </c>
      <c r="D283" s="552" t="s">
        <v>1127</v>
      </c>
      <c r="E283" s="551">
        <v>392</v>
      </c>
      <c r="F283" s="551" t="s">
        <v>318</v>
      </c>
      <c r="G283" s="67">
        <v>12123493</v>
      </c>
      <c r="H283" s="67">
        <v>7955517</v>
      </c>
      <c r="I283" s="67">
        <v>4167976</v>
      </c>
      <c r="J283" s="67">
        <v>347074</v>
      </c>
      <c r="K283" s="67">
        <v>10426485.99</v>
      </c>
      <c r="L283" s="67">
        <v>8307055.4399999995</v>
      </c>
      <c r="M283" s="67">
        <v>2119430.5500000007</v>
      </c>
      <c r="N283" s="67">
        <v>257614.89</v>
      </c>
    </row>
    <row r="284" spans="1:14" s="1167" customFormat="1" ht="15.75" customHeight="1" outlineLevel="1">
      <c r="A284" s="549" t="str">
        <f t="shared" si="14"/>
        <v>NIAGARA393Stores Equipment</v>
      </c>
      <c r="B284" s="550" t="s">
        <v>1554</v>
      </c>
      <c r="C284" s="551" t="s">
        <v>396</v>
      </c>
      <c r="D284" s="552" t="s">
        <v>1127</v>
      </c>
      <c r="E284" s="551">
        <v>393</v>
      </c>
      <c r="F284" s="551" t="s">
        <v>319</v>
      </c>
      <c r="G284" s="67">
        <v>0</v>
      </c>
      <c r="H284" s="67">
        <v>0</v>
      </c>
      <c r="I284" s="67">
        <v>0</v>
      </c>
      <c r="J284" s="67">
        <v>0</v>
      </c>
      <c r="K284" s="67">
        <v>0</v>
      </c>
      <c r="L284" s="67">
        <v>0</v>
      </c>
      <c r="M284" s="67">
        <v>0</v>
      </c>
      <c r="N284" s="67">
        <v>0</v>
      </c>
    </row>
    <row r="285" spans="1:14" s="1167" customFormat="1" ht="15.75" customHeight="1" outlineLevel="1">
      <c r="A285" s="549" t="str">
        <f t="shared" si="14"/>
        <v>NIAGARA394Tools, Shop &amp; Garage Equipment</v>
      </c>
      <c r="B285" s="550" t="s">
        <v>1555</v>
      </c>
      <c r="C285" s="551" t="s">
        <v>396</v>
      </c>
      <c r="D285" s="552" t="s">
        <v>1127</v>
      </c>
      <c r="E285" s="551">
        <v>394</v>
      </c>
      <c r="F285" s="551" t="s">
        <v>320</v>
      </c>
      <c r="G285" s="67">
        <v>5103560</v>
      </c>
      <c r="H285" s="67">
        <v>4268990</v>
      </c>
      <c r="I285" s="67">
        <v>834570</v>
      </c>
      <c r="J285" s="67">
        <v>68578</v>
      </c>
      <c r="K285" s="67">
        <v>4958847.6999999993</v>
      </c>
      <c r="L285" s="67">
        <v>4200412.1100000013</v>
      </c>
      <c r="M285" s="67">
        <v>758435.58999999799</v>
      </c>
      <c r="N285" s="67">
        <v>46067</v>
      </c>
    </row>
    <row r="286" spans="1:14" s="1167" customFormat="1" ht="15.75" customHeight="1" outlineLevel="1">
      <c r="A286" s="549" t="str">
        <f t="shared" si="14"/>
        <v>NIAGARA395Laboratory Equipment</v>
      </c>
      <c r="B286" s="550" t="s">
        <v>1556</v>
      </c>
      <c r="C286" s="551" t="s">
        <v>396</v>
      </c>
      <c r="D286" s="552" t="s">
        <v>1127</v>
      </c>
      <c r="E286" s="551">
        <v>395</v>
      </c>
      <c r="F286" s="551" t="s">
        <v>321</v>
      </c>
      <c r="G286" s="67">
        <v>890130</v>
      </c>
      <c r="H286" s="67">
        <v>393800</v>
      </c>
      <c r="I286" s="67">
        <v>496330</v>
      </c>
      <c r="J286" s="67">
        <v>31057</v>
      </c>
      <c r="K286" s="67">
        <v>785509.01</v>
      </c>
      <c r="L286" s="67">
        <v>362743.0500000001</v>
      </c>
      <c r="M286" s="67">
        <v>422765.9599999999</v>
      </c>
      <c r="N286" s="67">
        <v>27456.809999999998</v>
      </c>
    </row>
    <row r="287" spans="1:14" s="1167" customFormat="1" ht="15.75" customHeight="1" outlineLevel="1">
      <c r="A287" s="549" t="str">
        <f t="shared" si="14"/>
        <v>NIAGARA396Power Operated Equipment</v>
      </c>
      <c r="B287" s="550" t="s">
        <v>1557</v>
      </c>
      <c r="C287" s="551" t="s">
        <v>396</v>
      </c>
      <c r="D287" s="552" t="s">
        <v>1127</v>
      </c>
      <c r="E287" s="551">
        <v>396</v>
      </c>
      <c r="F287" s="551" t="s">
        <v>323</v>
      </c>
      <c r="G287" s="67">
        <v>11145746</v>
      </c>
      <c r="H287" s="67">
        <v>3032241</v>
      </c>
      <c r="I287" s="67">
        <v>8113505</v>
      </c>
      <c r="J287" s="67">
        <v>340148</v>
      </c>
      <c r="K287" s="67">
        <v>7387083.9699999997</v>
      </c>
      <c r="L287" s="67">
        <v>3837174.1900000004</v>
      </c>
      <c r="M287" s="67">
        <v>3549909.7799999993</v>
      </c>
      <c r="N287" s="67">
        <v>177164</v>
      </c>
    </row>
    <row r="288" spans="1:14" s="1167" customFormat="1" ht="15.75" customHeight="1" outlineLevel="1">
      <c r="A288" s="549" t="str">
        <f t="shared" si="14"/>
        <v>NIAGARA397Communication Equipment</v>
      </c>
      <c r="B288" s="550" t="s">
        <v>1558</v>
      </c>
      <c r="C288" s="551" t="s">
        <v>396</v>
      </c>
      <c r="D288" s="552" t="s">
        <v>1127</v>
      </c>
      <c r="E288" s="551">
        <v>397</v>
      </c>
      <c r="F288" s="551" t="s">
        <v>325</v>
      </c>
      <c r="G288" s="67">
        <v>4014787</v>
      </c>
      <c r="H288" s="67">
        <v>1879570</v>
      </c>
      <c r="I288" s="67">
        <v>2135216</v>
      </c>
      <c r="J288" s="67">
        <v>301112</v>
      </c>
      <c r="K288" s="67">
        <v>4014786.5000000014</v>
      </c>
      <c r="L288" s="67">
        <v>1578458.4999999991</v>
      </c>
      <c r="M288" s="67">
        <v>2436328.0000000023</v>
      </c>
      <c r="N288" s="67">
        <v>267654</v>
      </c>
    </row>
    <row r="289" spans="1:14" s="1167" customFormat="1" ht="15.75" customHeight="1" outlineLevel="1">
      <c r="A289" s="549" t="str">
        <f t="shared" si="14"/>
        <v>NIAGARA398Miscellaneous Equipment</v>
      </c>
      <c r="B289" s="550" t="s">
        <v>1559</v>
      </c>
      <c r="C289" s="551" t="s">
        <v>396</v>
      </c>
      <c r="D289" s="552" t="s">
        <v>1127</v>
      </c>
      <c r="E289" s="551">
        <v>398</v>
      </c>
      <c r="F289" s="551" t="s">
        <v>327</v>
      </c>
      <c r="G289" s="67">
        <v>484501234</v>
      </c>
      <c r="H289" s="67">
        <v>162277261</v>
      </c>
      <c r="I289" s="67">
        <v>322223973</v>
      </c>
      <c r="J289" s="67">
        <v>13125429</v>
      </c>
      <c r="K289" s="67">
        <v>482246608.11000001</v>
      </c>
      <c r="L289" s="67">
        <v>149151831.69</v>
      </c>
      <c r="M289" s="67">
        <v>333094776.42000002</v>
      </c>
      <c r="N289" s="67">
        <v>10340708.640000001</v>
      </c>
    </row>
    <row r="290" spans="1:14" s="1167" customFormat="1" ht="15.75" customHeight="1" outlineLevel="1">
      <c r="A290" s="549" t="str">
        <f t="shared" si="14"/>
        <v>NIAGARA399Other Tangible Property</v>
      </c>
      <c r="B290" s="550" t="s">
        <v>1560</v>
      </c>
      <c r="C290" s="551" t="s">
        <v>396</v>
      </c>
      <c r="D290" s="552" t="s">
        <v>1127</v>
      </c>
      <c r="E290" s="551">
        <v>399</v>
      </c>
      <c r="F290" s="551" t="s">
        <v>329</v>
      </c>
      <c r="G290" s="67">
        <v>3201209</v>
      </c>
      <c r="H290" s="67">
        <v>2077880</v>
      </c>
      <c r="I290" s="67">
        <v>1123329</v>
      </c>
      <c r="J290" s="67">
        <v>85366</v>
      </c>
      <c r="K290" s="67">
        <v>3201209</v>
      </c>
      <c r="L290" s="67">
        <v>1992514</v>
      </c>
      <c r="M290" s="67">
        <v>1208695</v>
      </c>
      <c r="N290" s="67">
        <v>42683</v>
      </c>
    </row>
    <row r="291" spans="1:14" s="1167" customFormat="1" ht="15.75" customHeight="1" outlineLevel="1">
      <c r="A291" s="549" t="str">
        <f t="shared" si="14"/>
        <v>St.  LAWRENCE / FDR390Structures &amp; Improvements</v>
      </c>
      <c r="B291" s="550" t="s">
        <v>1561</v>
      </c>
      <c r="C291" s="551" t="s">
        <v>396</v>
      </c>
      <c r="D291" s="552" t="s">
        <v>1128</v>
      </c>
      <c r="E291" s="551">
        <v>390</v>
      </c>
      <c r="F291" s="551" t="s">
        <v>308</v>
      </c>
      <c r="G291" s="67">
        <v>64176804</v>
      </c>
      <c r="H291" s="67">
        <v>10380070</v>
      </c>
      <c r="I291" s="67">
        <v>53796733</v>
      </c>
      <c r="J291" s="67">
        <v>847503</v>
      </c>
      <c r="K291" s="67">
        <v>46880214.06000001</v>
      </c>
      <c r="L291" s="67">
        <v>9532567.7300000004</v>
      </c>
      <c r="M291" s="67">
        <v>37347646.330000013</v>
      </c>
      <c r="N291" s="67">
        <v>685696.09</v>
      </c>
    </row>
    <row r="292" spans="1:14" s="1167" customFormat="1" ht="15.75" customHeight="1" outlineLevel="1">
      <c r="A292" s="549" t="str">
        <f t="shared" si="14"/>
        <v>St.  LAWRENCE / FDR391Office Furniture &amp; Equipment</v>
      </c>
      <c r="B292" s="550" t="s">
        <v>1562</v>
      </c>
      <c r="C292" s="551" t="s">
        <v>396</v>
      </c>
      <c r="D292" s="552" t="s">
        <v>1128</v>
      </c>
      <c r="E292" s="551">
        <v>391</v>
      </c>
      <c r="F292" s="551" t="s">
        <v>317</v>
      </c>
      <c r="G292" s="67">
        <v>143273</v>
      </c>
      <c r="H292" s="67">
        <v>14207</v>
      </c>
      <c r="I292" s="67">
        <v>129065</v>
      </c>
      <c r="J292" s="67">
        <v>8839</v>
      </c>
      <c r="K292" s="67">
        <v>89019.090000000913</v>
      </c>
      <c r="L292" s="67">
        <v>5368.8199999994968</v>
      </c>
      <c r="M292" s="67">
        <v>83650.270000001416</v>
      </c>
      <c r="N292" s="67">
        <v>6684</v>
      </c>
    </row>
    <row r="293" spans="1:14" s="1167" customFormat="1" ht="15.75" customHeight="1" outlineLevel="1">
      <c r="A293" s="549" t="str">
        <f t="shared" si="14"/>
        <v>St.  LAWRENCE / FDR391.2Computer Equipment 5 yr</v>
      </c>
      <c r="B293" s="550" t="s">
        <v>1563</v>
      </c>
      <c r="C293" s="551" t="s">
        <v>396</v>
      </c>
      <c r="D293" s="552" t="s">
        <v>1128</v>
      </c>
      <c r="E293" s="551">
        <v>391.2</v>
      </c>
      <c r="F293" s="551" t="s">
        <v>442</v>
      </c>
      <c r="G293" s="67">
        <v>1113704</v>
      </c>
      <c r="H293" s="67">
        <v>254104</v>
      </c>
      <c r="I293" s="67">
        <v>859600</v>
      </c>
      <c r="J293" s="67">
        <v>34670</v>
      </c>
      <c r="K293" s="67">
        <v>245431.84000000005</v>
      </c>
      <c r="L293" s="67">
        <v>219434.36000000002</v>
      </c>
      <c r="M293" s="67">
        <v>25997.48000000004</v>
      </c>
      <c r="N293" s="67">
        <v>36394</v>
      </c>
    </row>
    <row r="294" spans="1:14" s="1167" customFormat="1" ht="15.75" customHeight="1" outlineLevel="1">
      <c r="A294" s="549" t="str">
        <f t="shared" si="14"/>
        <v>St.  LAWRENCE / FDR391.3Computer Equipment 10 yr</v>
      </c>
      <c r="B294" s="550" t="s">
        <v>1564</v>
      </c>
      <c r="C294" s="551" t="s">
        <v>396</v>
      </c>
      <c r="D294" s="552" t="s">
        <v>1128</v>
      </c>
      <c r="E294" s="551">
        <v>391.3</v>
      </c>
      <c r="F294" s="551" t="s">
        <v>444</v>
      </c>
      <c r="G294" s="67">
        <v>8440882</v>
      </c>
      <c r="H294" s="67">
        <v>8172167</v>
      </c>
      <c r="I294" s="67">
        <v>268715</v>
      </c>
      <c r="J294" s="67">
        <v>844089</v>
      </c>
      <c r="K294" s="67">
        <v>8440882.3899999987</v>
      </c>
      <c r="L294" s="67">
        <v>7328078.3900000006</v>
      </c>
      <c r="M294" s="67">
        <v>1112803.9999999981</v>
      </c>
      <c r="N294" s="67">
        <v>844090</v>
      </c>
    </row>
    <row r="295" spans="1:14" s="1167" customFormat="1" ht="15.75" customHeight="1" outlineLevel="1">
      <c r="A295" s="549" t="str">
        <f t="shared" si="14"/>
        <v>St.  LAWRENCE / FDR392Transportation Equipment</v>
      </c>
      <c r="B295" s="550" t="s">
        <v>1565</v>
      </c>
      <c r="C295" s="551" t="s">
        <v>396</v>
      </c>
      <c r="D295" s="552" t="s">
        <v>1128</v>
      </c>
      <c r="E295" s="551">
        <v>392</v>
      </c>
      <c r="F295" s="551" t="s">
        <v>318</v>
      </c>
      <c r="G295" s="67">
        <v>18473727</v>
      </c>
      <c r="H295" s="67">
        <v>13146677</v>
      </c>
      <c r="I295" s="67">
        <v>5327050</v>
      </c>
      <c r="J295" s="67">
        <v>759504</v>
      </c>
      <c r="K295" s="67">
        <v>16521019.510000002</v>
      </c>
      <c r="L295" s="67">
        <v>12836128.52</v>
      </c>
      <c r="M295" s="67">
        <v>3684890.9900000021</v>
      </c>
      <c r="N295" s="67">
        <v>698299.23000000021</v>
      </c>
    </row>
    <row r="296" spans="1:14" s="1167" customFormat="1" ht="15.75" customHeight="1" outlineLevel="1">
      <c r="A296" s="549" t="str">
        <f t="shared" si="14"/>
        <v>St.  LAWRENCE / FDR393Stores Equipment</v>
      </c>
      <c r="B296" s="550" t="s">
        <v>1566</v>
      </c>
      <c r="C296" s="551" t="s">
        <v>396</v>
      </c>
      <c r="D296" s="552" t="s">
        <v>1128</v>
      </c>
      <c r="E296" s="551">
        <v>393</v>
      </c>
      <c r="F296" s="551" t="s">
        <v>319</v>
      </c>
      <c r="G296" s="67">
        <v>260678</v>
      </c>
      <c r="H296" s="67">
        <v>200186</v>
      </c>
      <c r="I296" s="67">
        <v>60491</v>
      </c>
      <c r="J296" s="67">
        <v>8787</v>
      </c>
      <c r="K296" s="67">
        <v>260677.87</v>
      </c>
      <c r="L296" s="67">
        <v>191399.37</v>
      </c>
      <c r="M296" s="67">
        <v>69278.5</v>
      </c>
      <c r="N296" s="67">
        <v>9245</v>
      </c>
    </row>
    <row r="297" spans="1:14" s="1167" customFormat="1" ht="15.75" customHeight="1" outlineLevel="1">
      <c r="A297" s="549" t="str">
        <f t="shared" si="14"/>
        <v>St.  LAWRENCE / FDR394Tools, Shop &amp; Garage Equipment</v>
      </c>
      <c r="B297" s="550" t="s">
        <v>1567</v>
      </c>
      <c r="C297" s="551" t="s">
        <v>396</v>
      </c>
      <c r="D297" s="552" t="s">
        <v>1128</v>
      </c>
      <c r="E297" s="551">
        <v>394</v>
      </c>
      <c r="F297" s="551" t="s">
        <v>320</v>
      </c>
      <c r="G297" s="67">
        <v>7082460</v>
      </c>
      <c r="H297" s="67">
        <v>5976784</v>
      </c>
      <c r="I297" s="67">
        <v>1105676</v>
      </c>
      <c r="J297" s="67">
        <v>423579</v>
      </c>
      <c r="K297" s="67">
        <v>6964888.0900000008</v>
      </c>
      <c r="L297" s="67">
        <v>5560117.25</v>
      </c>
      <c r="M297" s="67">
        <v>1404770.8400000008</v>
      </c>
      <c r="N297" s="67">
        <v>469353.31</v>
      </c>
    </row>
    <row r="298" spans="1:14" s="1167" customFormat="1" ht="15.75" customHeight="1" outlineLevel="1">
      <c r="A298" s="549" t="str">
        <f t="shared" si="14"/>
        <v>St.  LAWRENCE / FDR395Laboratory Equipment</v>
      </c>
      <c r="B298" s="550" t="s">
        <v>1568</v>
      </c>
      <c r="C298" s="551" t="s">
        <v>396</v>
      </c>
      <c r="D298" s="552" t="s">
        <v>1128</v>
      </c>
      <c r="E298" s="551">
        <v>395</v>
      </c>
      <c r="F298" s="551" t="s">
        <v>321</v>
      </c>
      <c r="G298" s="67">
        <v>2575328</v>
      </c>
      <c r="H298" s="67">
        <v>1732546</v>
      </c>
      <c r="I298" s="67">
        <v>842782</v>
      </c>
      <c r="J298" s="67">
        <v>148151</v>
      </c>
      <c r="K298" s="67">
        <v>2465694.5499999998</v>
      </c>
      <c r="L298" s="67">
        <v>1619320.4000000001</v>
      </c>
      <c r="M298" s="67">
        <v>846374.14999999967</v>
      </c>
      <c r="N298" s="67">
        <v>154681</v>
      </c>
    </row>
    <row r="299" spans="1:14" s="1167" customFormat="1" ht="15.75" customHeight="1" outlineLevel="1">
      <c r="A299" s="549" t="str">
        <f t="shared" si="14"/>
        <v>St.  LAWRENCE / FDR396Power Operated Equipment</v>
      </c>
      <c r="B299" s="550" t="s">
        <v>1569</v>
      </c>
      <c r="C299" s="551" t="s">
        <v>396</v>
      </c>
      <c r="D299" s="552" t="s">
        <v>1128</v>
      </c>
      <c r="E299" s="551">
        <v>396</v>
      </c>
      <c r="F299" s="551" t="s">
        <v>323</v>
      </c>
      <c r="G299" s="67">
        <v>9167131</v>
      </c>
      <c r="H299" s="67">
        <v>4951966</v>
      </c>
      <c r="I299" s="67">
        <v>4215166</v>
      </c>
      <c r="J299" s="67">
        <v>458325</v>
      </c>
      <c r="K299" s="67">
        <v>8162638.0299999993</v>
      </c>
      <c r="L299" s="67">
        <v>4691197.2000000011</v>
      </c>
      <c r="M299" s="67">
        <v>3471440.8299999982</v>
      </c>
      <c r="N299" s="67">
        <v>598462</v>
      </c>
    </row>
    <row r="300" spans="1:14" s="1167" customFormat="1" ht="15.75" customHeight="1" outlineLevel="1">
      <c r="A300" s="549" t="str">
        <f t="shared" si="14"/>
        <v>St.  LAWRENCE / FDR397Communication Equipment</v>
      </c>
      <c r="B300" s="550" t="s">
        <v>1570</v>
      </c>
      <c r="C300" s="551" t="s">
        <v>396</v>
      </c>
      <c r="D300" s="552" t="s">
        <v>1128</v>
      </c>
      <c r="E300" s="551">
        <v>397</v>
      </c>
      <c r="F300" s="551" t="s">
        <v>325</v>
      </c>
      <c r="G300" s="67">
        <v>6239242</v>
      </c>
      <c r="H300" s="67">
        <v>5381316</v>
      </c>
      <c r="I300" s="67">
        <v>857926</v>
      </c>
      <c r="J300" s="67">
        <v>454977</v>
      </c>
      <c r="K300" s="67">
        <v>6160391.6700000009</v>
      </c>
      <c r="L300" s="67">
        <v>4926339.55</v>
      </c>
      <c r="M300" s="67">
        <v>1234052.120000001</v>
      </c>
      <c r="N300" s="67">
        <v>410698</v>
      </c>
    </row>
    <row r="301" spans="1:14" s="1167" customFormat="1" ht="15.75" customHeight="1" outlineLevel="1">
      <c r="A301" s="549" t="str">
        <f t="shared" si="14"/>
        <v>St.  LAWRENCE / FDR398Miscellaneous Equipment</v>
      </c>
      <c r="B301" s="550" t="s">
        <v>1571</v>
      </c>
      <c r="C301" s="551" t="s">
        <v>396</v>
      </c>
      <c r="D301" s="552" t="s">
        <v>1128</v>
      </c>
      <c r="E301" s="551">
        <v>398</v>
      </c>
      <c r="F301" s="551" t="s">
        <v>327</v>
      </c>
      <c r="G301" s="67">
        <v>226763360</v>
      </c>
      <c r="H301" s="67">
        <v>103715399</v>
      </c>
      <c r="I301" s="67">
        <v>123047962</v>
      </c>
      <c r="J301" s="67">
        <v>5424262</v>
      </c>
      <c r="K301" s="67">
        <v>224981390.49000001</v>
      </c>
      <c r="L301" s="67">
        <v>98299063.109999999</v>
      </c>
      <c r="M301" s="67">
        <v>126682327.38000001</v>
      </c>
      <c r="N301" s="67">
        <v>5922519.8299999991</v>
      </c>
    </row>
    <row r="302" spans="1:14" s="1167" customFormat="1" ht="15.75" customHeight="1" outlineLevel="1">
      <c r="A302" s="549" t="str">
        <f t="shared" si="14"/>
        <v>St.  LAWRENCE / FDR399Other Tangible Property</v>
      </c>
      <c r="B302" s="550" t="s">
        <v>1572</v>
      </c>
      <c r="C302" s="551" t="s">
        <v>396</v>
      </c>
      <c r="D302" s="552" t="s">
        <v>1128</v>
      </c>
      <c r="E302" s="551">
        <v>399</v>
      </c>
      <c r="F302" s="551" t="s">
        <v>329</v>
      </c>
      <c r="G302" s="67">
        <v>1233459</v>
      </c>
      <c r="H302" s="67">
        <v>722953</v>
      </c>
      <c r="I302" s="67">
        <v>510506</v>
      </c>
      <c r="J302" s="67">
        <v>77474</v>
      </c>
      <c r="K302" s="67">
        <v>1126419</v>
      </c>
      <c r="L302" s="67">
        <v>645479</v>
      </c>
      <c r="M302" s="67">
        <v>480940</v>
      </c>
      <c r="N302" s="67">
        <v>75095</v>
      </c>
    </row>
    <row r="303" spans="1:14" s="1167" customFormat="1" ht="15.75" customHeight="1" outlineLevel="1">
      <c r="A303" s="549" t="str">
        <f t="shared" si="14"/>
        <v>500mW C - C at Astoria391Office Furniture &amp; Equipment</v>
      </c>
      <c r="B303" s="550" t="s">
        <v>1573</v>
      </c>
      <c r="C303" s="551" t="s">
        <v>396</v>
      </c>
      <c r="D303" s="552" t="s">
        <v>1247</v>
      </c>
      <c r="E303" s="551">
        <v>391</v>
      </c>
      <c r="F303" s="551" t="s">
        <v>317</v>
      </c>
      <c r="G303" s="67">
        <v>179725</v>
      </c>
      <c r="H303" s="67">
        <v>154933</v>
      </c>
      <c r="I303" s="67">
        <v>24793</v>
      </c>
      <c r="J303" s="67">
        <v>9097</v>
      </c>
      <c r="K303" s="67">
        <v>179725.36</v>
      </c>
      <c r="L303" s="67">
        <v>145835.35999999999</v>
      </c>
      <c r="M303" s="67">
        <v>33890</v>
      </c>
      <c r="N303" s="67">
        <v>15486.61</v>
      </c>
    </row>
    <row r="304" spans="1:14" s="1167" customFormat="1" ht="15.75" customHeight="1" outlineLevel="1">
      <c r="A304" s="549" t="str">
        <f t="shared" si="14"/>
        <v>500mW C - C at Astoria391.2Office Furniture &amp; Equipment - 5 years</v>
      </c>
      <c r="B304" s="550" t="s">
        <v>1574</v>
      </c>
      <c r="C304" s="551" t="s">
        <v>396</v>
      </c>
      <c r="D304" s="552" t="s">
        <v>1247</v>
      </c>
      <c r="E304" s="551">
        <v>391.2</v>
      </c>
      <c r="F304" s="551" t="s">
        <v>1282</v>
      </c>
      <c r="G304" s="67">
        <v>33516</v>
      </c>
      <c r="H304" s="67">
        <v>35193</v>
      </c>
      <c r="I304" s="67">
        <v>-1676</v>
      </c>
      <c r="J304" s="67">
        <v>5576</v>
      </c>
      <c r="K304" s="67">
        <v>33516.410000000003</v>
      </c>
      <c r="L304" s="67">
        <v>29616.9</v>
      </c>
      <c r="M304" s="67">
        <v>3899.510000000002</v>
      </c>
      <c r="N304" s="67">
        <v>6705</v>
      </c>
    </row>
    <row r="305" spans="1:14" s="1167" customFormat="1" ht="15.75" customHeight="1" outlineLevel="1">
      <c r="A305" s="549" t="str">
        <f t="shared" si="14"/>
        <v>500mW C - C at Astoria391.3Office Furniture &amp; Equipment - 10 years</v>
      </c>
      <c r="B305" s="550" t="s">
        <v>1575</v>
      </c>
      <c r="C305" s="551" t="s">
        <v>396</v>
      </c>
      <c r="D305" s="552" t="s">
        <v>1247</v>
      </c>
      <c r="E305" s="551">
        <v>391.3</v>
      </c>
      <c r="F305" s="551" t="s">
        <v>1284</v>
      </c>
      <c r="G305" s="67">
        <v>654888</v>
      </c>
      <c r="H305" s="67">
        <v>229212</v>
      </c>
      <c r="I305" s="67">
        <v>425676</v>
      </c>
      <c r="J305" s="67">
        <v>65489</v>
      </c>
      <c r="K305" s="67">
        <v>654887.76</v>
      </c>
      <c r="L305" s="67">
        <v>163722.76</v>
      </c>
      <c r="M305" s="67">
        <v>491165</v>
      </c>
      <c r="N305" s="67">
        <v>65489</v>
      </c>
    </row>
    <row r="306" spans="1:14" s="1167" customFormat="1" ht="15.75" customHeight="1" outlineLevel="1">
      <c r="A306" s="549" t="str">
        <f t="shared" si="14"/>
        <v>500mW C - C at Astoria392Transprt.Equip-500MW</v>
      </c>
      <c r="B306" s="550" t="s">
        <v>1576</v>
      </c>
      <c r="C306" s="551" t="s">
        <v>396</v>
      </c>
      <c r="D306" s="552" t="s">
        <v>1247</v>
      </c>
      <c r="E306" s="551">
        <v>392</v>
      </c>
      <c r="F306" s="551" t="s">
        <v>1286</v>
      </c>
      <c r="G306" s="67">
        <v>1437741</v>
      </c>
      <c r="H306" s="67">
        <v>594506</v>
      </c>
      <c r="I306" s="67">
        <v>843235</v>
      </c>
      <c r="J306" s="67">
        <v>99979</v>
      </c>
      <c r="K306" s="67">
        <v>1348083.6400000001</v>
      </c>
      <c r="L306" s="67">
        <v>550951.14</v>
      </c>
      <c r="M306" s="67">
        <v>797132.50000000012</v>
      </c>
      <c r="N306" s="67">
        <v>85777.099999999991</v>
      </c>
    </row>
    <row r="307" spans="1:14" s="1167" customFormat="1" ht="15.75" customHeight="1" outlineLevel="1">
      <c r="A307" s="549" t="str">
        <f t="shared" si="14"/>
        <v>500mW C - C at Astoria394Tools, Shop &amp; Garage Equipment</v>
      </c>
      <c r="B307" s="550" t="s">
        <v>1577</v>
      </c>
      <c r="C307" s="551" t="s">
        <v>396</v>
      </c>
      <c r="D307" s="552" t="s">
        <v>1247</v>
      </c>
      <c r="E307" s="551">
        <v>394</v>
      </c>
      <c r="F307" s="551" t="s">
        <v>320</v>
      </c>
      <c r="G307" s="67">
        <v>68609</v>
      </c>
      <c r="H307" s="67">
        <v>68656</v>
      </c>
      <c r="I307" s="67">
        <v>-47</v>
      </c>
      <c r="J307" s="67">
        <v>47</v>
      </c>
      <c r="K307" s="67">
        <v>68609.17</v>
      </c>
      <c r="L307" s="67">
        <v>68609.17</v>
      </c>
      <c r="M307" s="67">
        <v>0</v>
      </c>
      <c r="N307" s="67">
        <v>0</v>
      </c>
    </row>
    <row r="308" spans="1:14" s="1167" customFormat="1" ht="12.75" customHeight="1" outlineLevel="1">
      <c r="A308" s="549" t="str">
        <f t="shared" si="14"/>
        <v>500mW C - C at Astoria395Laboratory Equipment</v>
      </c>
      <c r="B308" s="550" t="s">
        <v>1578</v>
      </c>
      <c r="C308" s="551" t="s">
        <v>396</v>
      </c>
      <c r="D308" s="552" t="s">
        <v>1247</v>
      </c>
      <c r="E308" s="551">
        <v>395</v>
      </c>
      <c r="F308" s="551" t="s">
        <v>321</v>
      </c>
      <c r="G308" s="67">
        <v>2143543</v>
      </c>
      <c r="H308" s="67">
        <v>1340379</v>
      </c>
      <c r="I308" s="67">
        <v>803164</v>
      </c>
      <c r="J308" s="67">
        <v>177406</v>
      </c>
      <c r="K308" s="67">
        <v>2143542.84</v>
      </c>
      <c r="L308" s="67">
        <v>1162972.8399999999</v>
      </c>
      <c r="M308" s="67">
        <v>980570</v>
      </c>
      <c r="N308" s="67">
        <v>207997</v>
      </c>
    </row>
    <row r="309" spans="1:14" s="1167" customFormat="1" ht="15.75" customHeight="1" outlineLevel="1">
      <c r="A309" s="549" t="str">
        <f t="shared" si="14"/>
        <v>500mW C - C at Astoria396Power Oper Eqp-500MW</v>
      </c>
      <c r="B309" s="550" t="s">
        <v>1579</v>
      </c>
      <c r="C309" s="551" t="s">
        <v>396</v>
      </c>
      <c r="D309" s="552" t="s">
        <v>1247</v>
      </c>
      <c r="E309" s="551">
        <v>396</v>
      </c>
      <c r="F309" s="551" t="s">
        <v>1290</v>
      </c>
      <c r="G309" s="67">
        <v>1741658</v>
      </c>
      <c r="H309" s="67">
        <v>629056</v>
      </c>
      <c r="I309" s="67">
        <v>1112601</v>
      </c>
      <c r="J309" s="67">
        <v>49887</v>
      </c>
      <c r="K309" s="67">
        <v>678685.7</v>
      </c>
      <c r="L309" s="67">
        <v>576019.68999999994</v>
      </c>
      <c r="M309" s="67">
        <v>102666.01000000001</v>
      </c>
      <c r="N309" s="67">
        <v>54434</v>
      </c>
    </row>
    <row r="310" spans="1:14" s="1167" customFormat="1" ht="15.75" customHeight="1" outlineLevel="1">
      <c r="A310" s="549" t="str">
        <f t="shared" si="14"/>
        <v>500mW C - C at Astoria398Miscellaneous Equipment</v>
      </c>
      <c r="B310" s="550" t="s">
        <v>1580</v>
      </c>
      <c r="C310" s="551" t="s">
        <v>396</v>
      </c>
      <c r="D310" s="552" t="s">
        <v>1247</v>
      </c>
      <c r="E310" s="551">
        <v>398</v>
      </c>
      <c r="F310" s="551" t="s">
        <v>327</v>
      </c>
      <c r="G310" s="67">
        <v>2203827</v>
      </c>
      <c r="H310" s="67">
        <v>752305</v>
      </c>
      <c r="I310" s="67">
        <v>1451522</v>
      </c>
      <c r="J310" s="67">
        <v>56561</v>
      </c>
      <c r="K310" s="67">
        <v>1764738.46</v>
      </c>
      <c r="L310" s="67">
        <v>695743.95</v>
      </c>
      <c r="M310" s="67">
        <v>1068994.51</v>
      </c>
      <c r="N310" s="67">
        <v>43623.72</v>
      </c>
    </row>
    <row r="311" spans="1:14" s="1167" customFormat="1" ht="15.75" customHeight="1" outlineLevel="1">
      <c r="A311" s="549" t="str">
        <f t="shared" si="14"/>
        <v>BRENTWOOD  (Long Island)398Miscellaneous Equipment</v>
      </c>
      <c r="B311" s="550" t="s">
        <v>1581</v>
      </c>
      <c r="C311" s="551" t="s">
        <v>396</v>
      </c>
      <c r="D311" s="552" t="s">
        <v>1263</v>
      </c>
      <c r="E311" s="551">
        <v>398</v>
      </c>
      <c r="F311" s="551" t="s">
        <v>327</v>
      </c>
      <c r="G311" s="67">
        <v>199632</v>
      </c>
      <c r="H311" s="67">
        <v>183168</v>
      </c>
      <c r="I311" s="67">
        <v>16464</v>
      </c>
      <c r="J311" s="67">
        <v>1830</v>
      </c>
      <c r="K311" s="67">
        <v>181336.84</v>
      </c>
      <c r="L311" s="67">
        <v>181337.84</v>
      </c>
      <c r="M311" s="67">
        <v>-1</v>
      </c>
      <c r="N311" s="67">
        <v>0</v>
      </c>
    </row>
    <row r="312" spans="1:14" s="1167" customFormat="1" ht="15.75" customHeight="1" outlineLevel="1">
      <c r="A312" s="549" t="str">
        <f t="shared" si="14"/>
        <v>Evolve &amp; Re-Imagine121Non-utility property</v>
      </c>
      <c r="B312" s="550" t="s">
        <v>1582</v>
      </c>
      <c r="C312" s="551" t="s">
        <v>396</v>
      </c>
      <c r="D312" s="552" t="s">
        <v>1325</v>
      </c>
      <c r="E312" s="551">
        <v>121</v>
      </c>
      <c r="F312" s="551" t="s">
        <v>1583</v>
      </c>
      <c r="G312" s="67">
        <v>29427661</v>
      </c>
      <c r="H312" s="67">
        <v>2754434</v>
      </c>
      <c r="I312" s="67">
        <v>26673227</v>
      </c>
      <c r="J312" s="67">
        <v>2083398</v>
      </c>
      <c r="K312" s="67">
        <v>14658133.5</v>
      </c>
      <c r="L312" s="67">
        <v>671036.54</v>
      </c>
      <c r="M312" s="67">
        <v>13987096.960000001</v>
      </c>
      <c r="N312" s="67">
        <v>671036.54</v>
      </c>
    </row>
    <row r="313" spans="1:14" s="1167" customFormat="1" ht="15.75" customHeight="1" outlineLevel="1">
      <c r="A313" s="549" t="str">
        <f t="shared" si="14"/>
        <v>FLYNN  (Holtsville)391Office Furniture &amp; Equipment</v>
      </c>
      <c r="B313" s="550" t="s">
        <v>1584</v>
      </c>
      <c r="C313" s="551" t="s">
        <v>396</v>
      </c>
      <c r="D313" s="552" t="s">
        <v>1254</v>
      </c>
      <c r="E313" s="551">
        <v>391</v>
      </c>
      <c r="F313" s="551" t="s">
        <v>317</v>
      </c>
      <c r="G313" s="67">
        <v>307067</v>
      </c>
      <c r="H313" s="67">
        <v>233629</v>
      </c>
      <c r="I313" s="67">
        <v>73438</v>
      </c>
      <c r="J313" s="67">
        <v>17412</v>
      </c>
      <c r="K313" s="67">
        <v>307066.90999999997</v>
      </c>
      <c r="L313" s="67">
        <v>216216.90999999997</v>
      </c>
      <c r="M313" s="67">
        <v>90850</v>
      </c>
      <c r="N313" s="67">
        <v>12980</v>
      </c>
    </row>
    <row r="314" spans="1:14" s="1167" customFormat="1" ht="15.75" customHeight="1" outlineLevel="1">
      <c r="A314" s="549" t="str">
        <f t="shared" si="14"/>
        <v>FLYNN  (Holtsville)391.3Computer Equipment 10 yr</v>
      </c>
      <c r="B314" s="550" t="s">
        <v>1585</v>
      </c>
      <c r="C314" s="551" t="s">
        <v>396</v>
      </c>
      <c r="D314" s="552" t="s">
        <v>1254</v>
      </c>
      <c r="E314" s="551">
        <v>391.3</v>
      </c>
      <c r="F314" s="551" t="s">
        <v>444</v>
      </c>
      <c r="G314" s="67">
        <v>596334</v>
      </c>
      <c r="H314" s="67">
        <v>94421</v>
      </c>
      <c r="I314" s="67">
        <v>501913</v>
      </c>
      <c r="J314" s="67">
        <v>59634</v>
      </c>
      <c r="K314" s="67">
        <v>596333.92000000004</v>
      </c>
      <c r="L314" s="67">
        <v>34786.92</v>
      </c>
      <c r="M314" s="67">
        <v>561547</v>
      </c>
      <c r="N314" s="67">
        <v>34786.92</v>
      </c>
    </row>
    <row r="315" spans="1:14" s="1167" customFormat="1" ht="15.75" customHeight="1" outlineLevel="1">
      <c r="A315" s="549" t="str">
        <f t="shared" si="14"/>
        <v>FLYNN  (Holtsville)392Transportation Equipment</v>
      </c>
      <c r="B315" s="550" t="s">
        <v>1586</v>
      </c>
      <c r="C315" s="551" t="s">
        <v>396</v>
      </c>
      <c r="D315" s="552" t="s">
        <v>1254</v>
      </c>
      <c r="E315" s="551">
        <v>392</v>
      </c>
      <c r="F315" s="551" t="s">
        <v>318</v>
      </c>
      <c r="G315" s="67">
        <v>170790</v>
      </c>
      <c r="H315" s="67">
        <v>131781</v>
      </c>
      <c r="I315" s="67">
        <v>39009</v>
      </c>
      <c r="J315" s="67">
        <v>11654</v>
      </c>
      <c r="K315" s="67">
        <v>170789.7</v>
      </c>
      <c r="L315" s="67">
        <v>119476.59999999999</v>
      </c>
      <c r="M315" s="67">
        <v>51313.10000000002</v>
      </c>
      <c r="N315" s="67">
        <v>11653.99</v>
      </c>
    </row>
    <row r="316" spans="1:14" s="1167" customFormat="1" ht="15.75" customHeight="1" outlineLevel="1">
      <c r="A316" s="549" t="str">
        <f t="shared" si="14"/>
        <v>FLYNN  (Holtsville)393Stores Equipment</v>
      </c>
      <c r="B316" s="550" t="s">
        <v>1587</v>
      </c>
      <c r="C316" s="551" t="s">
        <v>396</v>
      </c>
      <c r="D316" s="552" t="s">
        <v>1254</v>
      </c>
      <c r="E316" s="551">
        <v>393</v>
      </c>
      <c r="F316" s="551" t="s">
        <v>319</v>
      </c>
      <c r="G316" s="67">
        <v>0</v>
      </c>
      <c r="H316" s="67">
        <v>0</v>
      </c>
      <c r="I316" s="67">
        <v>0</v>
      </c>
      <c r="J316" s="67">
        <v>0</v>
      </c>
      <c r="K316" s="67">
        <v>0</v>
      </c>
      <c r="L316" s="67">
        <v>0</v>
      </c>
      <c r="M316" s="67">
        <v>0</v>
      </c>
      <c r="N316" s="67">
        <v>0</v>
      </c>
    </row>
    <row r="317" spans="1:14" s="1167" customFormat="1" ht="15.75" customHeight="1" outlineLevel="1">
      <c r="A317" s="549" t="str">
        <f t="shared" si="14"/>
        <v>FLYNN  (Holtsville)394Tools, Shop &amp; Garage Equipment</v>
      </c>
      <c r="B317" s="550" t="s">
        <v>1588</v>
      </c>
      <c r="C317" s="551" t="s">
        <v>396</v>
      </c>
      <c r="D317" s="552" t="s">
        <v>1254</v>
      </c>
      <c r="E317" s="551">
        <v>394</v>
      </c>
      <c r="F317" s="551" t="s">
        <v>320</v>
      </c>
      <c r="G317" s="67">
        <v>147596</v>
      </c>
      <c r="H317" s="67">
        <v>143401</v>
      </c>
      <c r="I317" s="67">
        <v>4195</v>
      </c>
      <c r="J317" s="67">
        <v>2456</v>
      </c>
      <c r="K317" s="67">
        <v>147596</v>
      </c>
      <c r="L317" s="67">
        <v>140945</v>
      </c>
      <c r="M317" s="67">
        <v>6651</v>
      </c>
      <c r="N317" s="67">
        <v>1056</v>
      </c>
    </row>
    <row r="318" spans="1:14" s="1167" customFormat="1" ht="15.75" customHeight="1" outlineLevel="1">
      <c r="A318" s="549" t="str">
        <f t="shared" si="14"/>
        <v>FLYNN  (Holtsville)395Laboratory Equipment</v>
      </c>
      <c r="B318" s="550" t="s">
        <v>1589</v>
      </c>
      <c r="C318" s="551" t="s">
        <v>396</v>
      </c>
      <c r="D318" s="552" t="s">
        <v>1254</v>
      </c>
      <c r="E318" s="551">
        <v>395</v>
      </c>
      <c r="F318" s="551" t="s">
        <v>321</v>
      </c>
      <c r="G318" s="67">
        <v>49049</v>
      </c>
      <c r="H318" s="67">
        <v>58806</v>
      </c>
      <c r="I318" s="67">
        <v>-9757</v>
      </c>
      <c r="J318" s="67">
        <v>0</v>
      </c>
      <c r="K318" s="67">
        <v>49048.73</v>
      </c>
      <c r="L318" s="67">
        <v>58805.729999999996</v>
      </c>
      <c r="M318" s="67">
        <v>-9756.9999999999927</v>
      </c>
      <c r="N318" s="67">
        <v>0</v>
      </c>
    </row>
    <row r="319" spans="1:14" s="1167" customFormat="1" ht="15.75" customHeight="1" outlineLevel="1">
      <c r="A319" s="549" t="str">
        <f t="shared" si="14"/>
        <v>FLYNN  (Holtsville)396Power Operated Equipment</v>
      </c>
      <c r="B319" s="550" t="s">
        <v>1590</v>
      </c>
      <c r="C319" s="551" t="s">
        <v>396</v>
      </c>
      <c r="D319" s="552" t="s">
        <v>1254</v>
      </c>
      <c r="E319" s="551">
        <v>396</v>
      </c>
      <c r="F319" s="551" t="s">
        <v>323</v>
      </c>
      <c r="G319" s="67">
        <v>286293</v>
      </c>
      <c r="H319" s="67">
        <v>182298</v>
      </c>
      <c r="I319" s="67">
        <v>103994</v>
      </c>
      <c r="J319" s="67">
        <v>25086</v>
      </c>
      <c r="K319" s="67">
        <v>286292.76</v>
      </c>
      <c r="L319" s="67">
        <v>157212.75</v>
      </c>
      <c r="M319" s="67">
        <v>129080.01000000001</v>
      </c>
      <c r="N319" s="67">
        <v>27022</v>
      </c>
    </row>
    <row r="320" spans="1:14" s="1167" customFormat="1" ht="15.75" customHeight="1" outlineLevel="1">
      <c r="A320" s="549" t="str">
        <f t="shared" si="14"/>
        <v>FLYNN  (Holtsville)397Communication Equipment</v>
      </c>
      <c r="B320" s="550" t="s">
        <v>1591</v>
      </c>
      <c r="C320" s="551" t="s">
        <v>396</v>
      </c>
      <c r="D320" s="552" t="s">
        <v>1254</v>
      </c>
      <c r="E320" s="551">
        <v>397</v>
      </c>
      <c r="F320" s="551" t="s">
        <v>325</v>
      </c>
      <c r="G320" s="67">
        <v>349918</v>
      </c>
      <c r="H320" s="67">
        <v>358665</v>
      </c>
      <c r="I320" s="67">
        <v>-8747</v>
      </c>
      <c r="J320" s="67">
        <v>8748</v>
      </c>
      <c r="K320" s="67">
        <v>349918</v>
      </c>
      <c r="L320" s="67">
        <v>349917</v>
      </c>
      <c r="M320" s="67">
        <v>1</v>
      </c>
      <c r="N320" s="67">
        <v>0</v>
      </c>
    </row>
    <row r="321" spans="1:14" s="1167" customFormat="1" ht="15.75" customHeight="1" outlineLevel="1">
      <c r="A321" s="549" t="str">
        <f t="shared" si="14"/>
        <v>FLYNN  (Holtsville)398Miscellaneous Equipment</v>
      </c>
      <c r="B321" s="550" t="s">
        <v>1592</v>
      </c>
      <c r="C321" s="551" t="s">
        <v>396</v>
      </c>
      <c r="D321" s="552" t="s">
        <v>1254</v>
      </c>
      <c r="E321" s="551">
        <v>398</v>
      </c>
      <c r="F321" s="551" t="s">
        <v>327</v>
      </c>
      <c r="G321" s="67">
        <v>919250</v>
      </c>
      <c r="H321" s="67">
        <v>426127</v>
      </c>
      <c r="I321" s="67">
        <v>493123</v>
      </c>
      <c r="J321" s="67">
        <v>31170</v>
      </c>
      <c r="K321" s="67">
        <v>882659.5</v>
      </c>
      <c r="L321" s="67">
        <v>394957.08</v>
      </c>
      <c r="M321" s="67">
        <v>487702.42</v>
      </c>
      <c r="N321" s="67">
        <v>28839</v>
      </c>
    </row>
    <row r="322" spans="1:14" s="1167" customFormat="1" ht="15.75" customHeight="1" outlineLevel="1">
      <c r="A322" s="549" t="str">
        <f t="shared" si="14"/>
        <v>GOWANUS  (Brooklyn)396Power Operated Equipment</v>
      </c>
      <c r="B322" s="550" t="s">
        <v>1593</v>
      </c>
      <c r="C322" s="551" t="s">
        <v>396</v>
      </c>
      <c r="D322" s="552" t="s">
        <v>1265</v>
      </c>
      <c r="E322" s="551">
        <v>396</v>
      </c>
      <c r="F322" s="551" t="s">
        <v>323</v>
      </c>
      <c r="G322" s="67">
        <v>28597</v>
      </c>
      <c r="H322" s="67">
        <v>5121</v>
      </c>
      <c r="I322" s="67">
        <v>23476</v>
      </c>
      <c r="J322" s="67">
        <v>809</v>
      </c>
      <c r="K322" s="67">
        <v>28597</v>
      </c>
      <c r="L322" s="67">
        <v>26194</v>
      </c>
      <c r="M322" s="67">
        <v>2403</v>
      </c>
      <c r="N322" s="67">
        <v>672</v>
      </c>
    </row>
    <row r="323" spans="1:14" s="1167" customFormat="1" ht="15.75" customHeight="1" outlineLevel="1">
      <c r="A323" s="549" t="str">
        <f t="shared" si="14"/>
        <v>GOWANUS  (Brooklyn)398Miscellaneous Equipment</v>
      </c>
      <c r="B323" s="550" t="s">
        <v>1594</v>
      </c>
      <c r="C323" s="551" t="s">
        <v>396</v>
      </c>
      <c r="D323" s="552" t="s">
        <v>1265</v>
      </c>
      <c r="E323" s="551">
        <v>398</v>
      </c>
      <c r="F323" s="551" t="s">
        <v>327</v>
      </c>
      <c r="G323" s="67">
        <v>427955</v>
      </c>
      <c r="H323" s="67">
        <v>427955</v>
      </c>
      <c r="I323" s="67">
        <v>0</v>
      </c>
      <c r="J323" s="67">
        <v>0</v>
      </c>
      <c r="K323" s="67">
        <v>427955.33999999997</v>
      </c>
      <c r="L323" s="67">
        <v>427955.33999999997</v>
      </c>
      <c r="M323" s="67">
        <v>0</v>
      </c>
      <c r="N323" s="67">
        <v>0</v>
      </c>
    </row>
    <row r="324" spans="1:14" s="1167" customFormat="1" ht="15.75" customHeight="1" outlineLevel="1">
      <c r="A324" s="549" t="str">
        <f t="shared" si="14"/>
        <v>HARLEM RIVER YARDS  (Bronx)396Power Operated Equipment</v>
      </c>
      <c r="B324" s="550" t="s">
        <v>1595</v>
      </c>
      <c r="C324" s="551" t="s">
        <v>396</v>
      </c>
      <c r="D324" s="552" t="s">
        <v>1267</v>
      </c>
      <c r="E324" s="551">
        <v>396</v>
      </c>
      <c r="F324" s="551" t="s">
        <v>323</v>
      </c>
      <c r="G324" s="67">
        <v>21882</v>
      </c>
      <c r="H324" s="67">
        <v>0</v>
      </c>
      <c r="I324" s="67">
        <v>21882</v>
      </c>
      <c r="J324" s="67">
        <v>0</v>
      </c>
      <c r="K324" s="67">
        <v>21882</v>
      </c>
      <c r="L324" s="67">
        <v>21882</v>
      </c>
      <c r="M324" s="67">
        <v>0</v>
      </c>
      <c r="N324" s="67">
        <v>0</v>
      </c>
    </row>
    <row r="325" spans="1:14" s="1167" customFormat="1" ht="15.75" customHeight="1" outlineLevel="1">
      <c r="A325" s="549" t="str">
        <f t="shared" si="14"/>
        <v>HARLEM RIVER YARDS  (Bronx)398Miscellaneous Equipment</v>
      </c>
      <c r="B325" s="550" t="s">
        <v>1596</v>
      </c>
      <c r="C325" s="551" t="s">
        <v>396</v>
      </c>
      <c r="D325" s="552" t="s">
        <v>1267</v>
      </c>
      <c r="E325" s="551">
        <v>398</v>
      </c>
      <c r="F325" s="551" t="s">
        <v>327</v>
      </c>
      <c r="G325" s="67">
        <v>1166180</v>
      </c>
      <c r="H325" s="67">
        <v>1166180</v>
      </c>
      <c r="I325" s="67">
        <v>0</v>
      </c>
      <c r="J325" s="67">
        <v>0</v>
      </c>
      <c r="K325" s="67">
        <v>1166179.73</v>
      </c>
      <c r="L325" s="67">
        <v>1166179.73</v>
      </c>
      <c r="M325" s="67">
        <v>0</v>
      </c>
      <c r="N325" s="67">
        <v>0</v>
      </c>
    </row>
    <row r="326" spans="1:14" s="1167" customFormat="1" ht="15.75" customHeight="1" outlineLevel="1">
      <c r="A326" s="549" t="str">
        <f t="shared" si="14"/>
        <v>HELLGATE  (Bronx)396Power Operated Equipment</v>
      </c>
      <c r="B326" s="550" t="s">
        <v>1597</v>
      </c>
      <c r="C326" s="551" t="s">
        <v>396</v>
      </c>
      <c r="D326" s="552" t="s">
        <v>1269</v>
      </c>
      <c r="E326" s="551">
        <v>396</v>
      </c>
      <c r="F326" s="551" t="s">
        <v>323</v>
      </c>
      <c r="G326" s="67">
        <v>22076</v>
      </c>
      <c r="H326" s="67">
        <v>0</v>
      </c>
      <c r="I326" s="67">
        <v>22076</v>
      </c>
      <c r="J326" s="67">
        <v>0</v>
      </c>
      <c r="K326" s="67">
        <v>22076</v>
      </c>
      <c r="L326" s="67">
        <v>22076</v>
      </c>
      <c r="M326" s="67">
        <v>0</v>
      </c>
      <c r="N326" s="67">
        <v>0</v>
      </c>
    </row>
    <row r="327" spans="1:14" s="1167" customFormat="1" ht="15.75" customHeight="1" outlineLevel="1">
      <c r="A327" s="549" t="str">
        <f t="shared" si="14"/>
        <v>HELLGATE  (Bronx)398Miscellaneous Equipment</v>
      </c>
      <c r="B327" s="550" t="s">
        <v>1598</v>
      </c>
      <c r="C327" s="551" t="s">
        <v>396</v>
      </c>
      <c r="D327" s="552" t="s">
        <v>1269</v>
      </c>
      <c r="E327" s="551">
        <v>398</v>
      </c>
      <c r="F327" s="551" t="s">
        <v>327</v>
      </c>
      <c r="G327" s="67">
        <v>1272183</v>
      </c>
      <c r="H327" s="67">
        <v>1272387</v>
      </c>
      <c r="I327" s="67">
        <v>-204</v>
      </c>
      <c r="J327" s="67">
        <v>203</v>
      </c>
      <c r="K327" s="67">
        <v>1272183.1099999999</v>
      </c>
      <c r="L327" s="67">
        <v>1272183.5899999999</v>
      </c>
      <c r="M327" s="67">
        <v>-0.47999999998137355</v>
      </c>
      <c r="N327" s="67">
        <v>2489</v>
      </c>
    </row>
    <row r="328" spans="1:14" s="1167" customFormat="1" ht="15.75" customHeight="1" outlineLevel="1">
      <c r="A328" s="549" t="str">
        <f t="shared" si="14"/>
        <v>Jarvis399Other Tangible Property</v>
      </c>
      <c r="B328" s="550" t="s">
        <v>1599</v>
      </c>
      <c r="C328" s="551" t="s">
        <v>396</v>
      </c>
      <c r="D328" s="552" t="s">
        <v>954</v>
      </c>
      <c r="E328" s="551">
        <v>399</v>
      </c>
      <c r="F328" s="551" t="s">
        <v>329</v>
      </c>
      <c r="G328" s="67">
        <v>985615</v>
      </c>
      <c r="H328" s="67">
        <v>234822</v>
      </c>
      <c r="I328" s="67">
        <v>750793</v>
      </c>
      <c r="J328" s="67">
        <v>15558</v>
      </c>
      <c r="K328" s="67">
        <v>427000</v>
      </c>
      <c r="L328" s="67">
        <v>219264</v>
      </c>
      <c r="M328" s="67">
        <v>207736</v>
      </c>
      <c r="N328" s="67">
        <v>7117</v>
      </c>
    </row>
    <row r="329" spans="1:14" s="1167" customFormat="1" ht="15.75" customHeight="1" outlineLevel="1">
      <c r="A329" s="549" t="str">
        <f t="shared" si="14"/>
        <v>KENT  (Brooklyn)396Power Operated Equipment</v>
      </c>
      <c r="B329" s="550" t="s">
        <v>1600</v>
      </c>
      <c r="C329" s="551" t="s">
        <v>396</v>
      </c>
      <c r="D329" s="552" t="s">
        <v>1271</v>
      </c>
      <c r="E329" s="551">
        <v>396</v>
      </c>
      <c r="F329" s="551" t="s">
        <v>323</v>
      </c>
      <c r="G329" s="67">
        <v>22076</v>
      </c>
      <c r="H329" s="67">
        <v>0</v>
      </c>
      <c r="I329" s="67">
        <v>22076</v>
      </c>
      <c r="J329" s="67">
        <v>0</v>
      </c>
      <c r="K329" s="67">
        <v>22076</v>
      </c>
      <c r="L329" s="67">
        <v>22076</v>
      </c>
      <c r="M329" s="67">
        <v>0</v>
      </c>
      <c r="N329" s="67">
        <v>0</v>
      </c>
    </row>
    <row r="330" spans="1:14" s="1167" customFormat="1" ht="15.75" customHeight="1" outlineLevel="1">
      <c r="A330" s="549" t="str">
        <f t="shared" si="14"/>
        <v>KENT  (Brooklyn)398Miscellaneous Equipment</v>
      </c>
      <c r="B330" s="550" t="s">
        <v>1601</v>
      </c>
      <c r="C330" s="551" t="s">
        <v>396</v>
      </c>
      <c r="D330" s="552" t="s">
        <v>1271</v>
      </c>
      <c r="E330" s="551">
        <v>398</v>
      </c>
      <c r="F330" s="551" t="s">
        <v>327</v>
      </c>
      <c r="G330" s="67">
        <v>228133</v>
      </c>
      <c r="H330" s="67">
        <v>228133</v>
      </c>
      <c r="I330" s="67">
        <v>0</v>
      </c>
      <c r="J330" s="67">
        <v>0</v>
      </c>
      <c r="K330" s="67">
        <v>228133.34</v>
      </c>
      <c r="L330" s="67">
        <v>228133.34</v>
      </c>
      <c r="M330" s="67">
        <v>0</v>
      </c>
      <c r="N330" s="67">
        <v>0</v>
      </c>
    </row>
    <row r="331" spans="1:14" s="1167" customFormat="1" ht="15.75" customHeight="1" outlineLevel="1">
      <c r="A331" s="549" t="str">
        <f t="shared" si="14"/>
        <v>New York Energy Manager121Non-utility Property</v>
      </c>
      <c r="B331" s="550" t="s">
        <v>1602</v>
      </c>
      <c r="C331" s="551" t="s">
        <v>396</v>
      </c>
      <c r="D331" s="552" t="s">
        <v>1323</v>
      </c>
      <c r="E331" s="551">
        <v>121</v>
      </c>
      <c r="F331" s="551" t="s">
        <v>1324</v>
      </c>
      <c r="G331" s="67">
        <v>597048.15</v>
      </c>
      <c r="H331" s="67">
        <v>408386</v>
      </c>
      <c r="I331" s="67">
        <v>188662.15</v>
      </c>
      <c r="J331" s="67">
        <v>110284.2</v>
      </c>
      <c r="K331" s="67">
        <v>597048.14580000006</v>
      </c>
      <c r="L331" s="67">
        <v>298101.92580000003</v>
      </c>
      <c r="M331" s="67">
        <v>298946.21999999991</v>
      </c>
      <c r="N331" s="67">
        <v>110284.2</v>
      </c>
    </row>
    <row r="332" spans="1:14" s="1167" customFormat="1" ht="15.75" customHeight="1" outlineLevel="1">
      <c r="A332" s="549" t="str">
        <f t="shared" si="14"/>
        <v>POLETTI  (Astoria)390Structures &amp; Improvements</v>
      </c>
      <c r="B332" s="550" t="s">
        <v>1603</v>
      </c>
      <c r="C332" s="551" t="s">
        <v>396</v>
      </c>
      <c r="D332" s="552" t="s">
        <v>1256</v>
      </c>
      <c r="E332" s="551">
        <v>390</v>
      </c>
      <c r="F332" s="551" t="s">
        <v>308</v>
      </c>
      <c r="G332" s="67">
        <v>3656292</v>
      </c>
      <c r="H332" s="67">
        <v>1518572</v>
      </c>
      <c r="I332" s="67">
        <v>2137720</v>
      </c>
      <c r="J332" s="67">
        <v>71255</v>
      </c>
      <c r="K332" s="67">
        <v>3656291.83</v>
      </c>
      <c r="L332" s="67">
        <v>1447317.4400000002</v>
      </c>
      <c r="M332" s="67">
        <v>2208974.3899999997</v>
      </c>
      <c r="N332" s="67">
        <v>79627</v>
      </c>
    </row>
    <row r="333" spans="1:14" s="1167" customFormat="1" ht="15.75" customHeight="1" outlineLevel="1">
      <c r="A333" s="549" t="str">
        <f t="shared" si="14"/>
        <v>POLETTI  (Astoria)391Office Furniture &amp; Equipment</v>
      </c>
      <c r="B333" s="550" t="s">
        <v>1604</v>
      </c>
      <c r="C333" s="551" t="s">
        <v>396</v>
      </c>
      <c r="D333" s="552" t="s">
        <v>1256</v>
      </c>
      <c r="E333" s="551">
        <v>391</v>
      </c>
      <c r="F333" s="551" t="s">
        <v>317</v>
      </c>
      <c r="G333" s="67">
        <v>833108</v>
      </c>
      <c r="H333" s="67">
        <v>853936</v>
      </c>
      <c r="I333" s="67">
        <v>-20828</v>
      </c>
      <c r="J333" s="67">
        <v>20828</v>
      </c>
      <c r="K333" s="67">
        <v>833108.47999999998</v>
      </c>
      <c r="L333" s="67">
        <v>833108.47999999998</v>
      </c>
      <c r="M333" s="67">
        <v>0</v>
      </c>
      <c r="N333" s="67">
        <v>0</v>
      </c>
    </row>
    <row r="334" spans="1:14" s="551" customFormat="1" ht="15.75" customHeight="1" outlineLevel="1">
      <c r="A334" s="549" t="str">
        <f t="shared" si="14"/>
        <v>POLETTI  (Astoria)392Transportation Equipment</v>
      </c>
      <c r="B334" s="550" t="s">
        <v>1605</v>
      </c>
      <c r="C334" s="551" t="s">
        <v>396</v>
      </c>
      <c r="D334" s="1237" t="s">
        <v>1256</v>
      </c>
      <c r="E334" s="551">
        <v>392</v>
      </c>
      <c r="F334" s="620" t="s">
        <v>318</v>
      </c>
      <c r="G334" s="67">
        <v>64371</v>
      </c>
      <c r="H334" s="67">
        <v>58180</v>
      </c>
      <c r="I334" s="67">
        <v>6192</v>
      </c>
      <c r="J334" s="67">
        <v>722</v>
      </c>
      <c r="K334" s="67">
        <v>64371.34</v>
      </c>
      <c r="L334" s="67">
        <v>57457.629999999976</v>
      </c>
      <c r="M334" s="67">
        <v>6913.710000000021</v>
      </c>
      <c r="N334" s="67">
        <v>301</v>
      </c>
    </row>
    <row r="335" spans="1:14" s="1167" customFormat="1" ht="15.75" customHeight="1" outlineLevel="1">
      <c r="A335" s="549" t="str">
        <f t="shared" ref="A335:A350" si="15">CONCATENATE(D335,E335,F335)</f>
        <v>POLETTI  (Astoria)393Stores Equipment</v>
      </c>
      <c r="B335" s="550" t="s">
        <v>1606</v>
      </c>
      <c r="C335" s="551" t="s">
        <v>396</v>
      </c>
      <c r="D335" s="552" t="s">
        <v>1256</v>
      </c>
      <c r="E335" s="551">
        <v>393</v>
      </c>
      <c r="F335" s="551" t="s">
        <v>319</v>
      </c>
      <c r="G335" s="67">
        <v>108838</v>
      </c>
      <c r="H335" s="67">
        <v>104191</v>
      </c>
      <c r="I335" s="67">
        <v>4647</v>
      </c>
      <c r="J335" s="67">
        <v>816</v>
      </c>
      <c r="K335" s="67">
        <v>108837.62</v>
      </c>
      <c r="L335" s="67">
        <v>103374.62</v>
      </c>
      <c r="M335" s="67">
        <v>5463</v>
      </c>
      <c r="N335" s="67">
        <v>825</v>
      </c>
    </row>
    <row r="336" spans="1:14" s="1167" customFormat="1" ht="15.75" customHeight="1" outlineLevel="1">
      <c r="A336" s="549" t="str">
        <f t="shared" si="15"/>
        <v>POLETTI  (Astoria)394Tools, Shop &amp; Garage Equipment</v>
      </c>
      <c r="B336" s="550" t="s">
        <v>1607</v>
      </c>
      <c r="C336" s="551" t="s">
        <v>396</v>
      </c>
      <c r="D336" s="552" t="s">
        <v>1256</v>
      </c>
      <c r="E336" s="551">
        <v>394</v>
      </c>
      <c r="F336" s="551" t="s">
        <v>320</v>
      </c>
      <c r="G336" s="67">
        <v>456566</v>
      </c>
      <c r="H336" s="67">
        <v>190420</v>
      </c>
      <c r="I336" s="67">
        <v>266146</v>
      </c>
      <c r="J336" s="67">
        <v>22362</v>
      </c>
      <c r="K336" s="67">
        <v>456566.00999999995</v>
      </c>
      <c r="L336" s="67">
        <v>168057.56999999998</v>
      </c>
      <c r="M336" s="67">
        <v>288508.43999999994</v>
      </c>
      <c r="N336" s="67">
        <v>22521</v>
      </c>
    </row>
    <row r="337" spans="1:14" s="1167" customFormat="1" ht="15.75" customHeight="1" outlineLevel="1">
      <c r="A337" s="549" t="str">
        <f t="shared" si="15"/>
        <v>POLETTI  (Astoria)395Laboratory Equipment</v>
      </c>
      <c r="B337" s="550" t="s">
        <v>1608</v>
      </c>
      <c r="C337" s="551" t="s">
        <v>396</v>
      </c>
      <c r="D337" s="552" t="s">
        <v>1256</v>
      </c>
      <c r="E337" s="551">
        <v>395</v>
      </c>
      <c r="F337" s="551" t="s">
        <v>321</v>
      </c>
      <c r="G337" s="67">
        <v>2134341</v>
      </c>
      <c r="H337" s="67">
        <v>1670985</v>
      </c>
      <c r="I337" s="67">
        <v>463356</v>
      </c>
      <c r="J337" s="67">
        <v>22446</v>
      </c>
      <c r="K337" s="67">
        <v>1622974.9100000001</v>
      </c>
      <c r="L337" s="67">
        <v>1648539.9300000002</v>
      </c>
      <c r="M337" s="67">
        <v>-25565.020000000019</v>
      </c>
      <c r="N337" s="67">
        <v>1991</v>
      </c>
    </row>
    <row r="338" spans="1:14" s="1167" customFormat="1" ht="15.75" customHeight="1" outlineLevel="1">
      <c r="A338" s="549" t="str">
        <f t="shared" ref="A338:A344" si="16">CONCATENATE(D338,E338,F338)</f>
        <v>POLETTI  (Astoria)396Power Operated Equipment</v>
      </c>
      <c r="B338" s="550" t="s">
        <v>1609</v>
      </c>
      <c r="C338" s="551" t="s">
        <v>396</v>
      </c>
      <c r="D338" s="552" t="s">
        <v>1256</v>
      </c>
      <c r="E338" s="551">
        <v>396</v>
      </c>
      <c r="F338" s="551" t="s">
        <v>323</v>
      </c>
      <c r="G338" s="67">
        <v>163078</v>
      </c>
      <c r="H338" s="67">
        <v>155203</v>
      </c>
      <c r="I338" s="67">
        <v>7875</v>
      </c>
      <c r="J338" s="67">
        <v>3332</v>
      </c>
      <c r="K338" s="67">
        <v>163077.91999999998</v>
      </c>
      <c r="L338" s="67">
        <v>151870.90999999997</v>
      </c>
      <c r="M338" s="67">
        <v>11207.010000000009</v>
      </c>
      <c r="N338" s="67">
        <v>0</v>
      </c>
    </row>
    <row r="339" spans="1:14" s="1167" customFormat="1" ht="15.75" customHeight="1" outlineLevel="1">
      <c r="A339" s="549" t="str">
        <f t="shared" si="16"/>
        <v>POLETTI  (Astoria)397Communication Equipment</v>
      </c>
      <c r="B339" s="550" t="s">
        <v>1610</v>
      </c>
      <c r="C339" s="551" t="s">
        <v>396</v>
      </c>
      <c r="D339" s="552" t="s">
        <v>1256</v>
      </c>
      <c r="E339" s="551">
        <v>397</v>
      </c>
      <c r="F339" s="551" t="s">
        <v>325</v>
      </c>
      <c r="G339" s="67">
        <v>443045</v>
      </c>
      <c r="H339" s="67">
        <v>438461</v>
      </c>
      <c r="I339" s="67">
        <v>4584</v>
      </c>
      <c r="J339" s="67">
        <v>11076</v>
      </c>
      <c r="K339" s="67">
        <v>443045</v>
      </c>
      <c r="L339" s="67">
        <v>427385</v>
      </c>
      <c r="M339" s="67">
        <v>15660</v>
      </c>
      <c r="N339" s="67">
        <v>0</v>
      </c>
    </row>
    <row r="340" spans="1:14" s="1167" customFormat="1" ht="15.75" customHeight="1" outlineLevel="1">
      <c r="A340" s="549" t="str">
        <f t="shared" si="16"/>
        <v>POLETTI  (Astoria)398Miscellaneous Equipment</v>
      </c>
      <c r="B340" s="550" t="s">
        <v>1611</v>
      </c>
      <c r="C340" s="551" t="s">
        <v>396</v>
      </c>
      <c r="D340" s="552" t="s">
        <v>1256</v>
      </c>
      <c r="E340" s="551">
        <v>398</v>
      </c>
      <c r="F340" s="551" t="s">
        <v>327</v>
      </c>
      <c r="G340" s="67">
        <v>2960626</v>
      </c>
      <c r="H340" s="67">
        <v>2965290</v>
      </c>
      <c r="I340" s="67">
        <v>-4664</v>
      </c>
      <c r="J340" s="67">
        <v>394</v>
      </c>
      <c r="K340" s="67">
        <v>2960625.65</v>
      </c>
      <c r="L340" s="67">
        <v>2964895.93</v>
      </c>
      <c r="M340" s="67">
        <v>-4270.2800000002608</v>
      </c>
      <c r="N340" s="67">
        <v>394</v>
      </c>
    </row>
    <row r="341" spans="1:14" s="1167" customFormat="1" ht="15.75" customHeight="1" outlineLevel="1">
      <c r="A341" s="549" t="str">
        <f t="shared" si="16"/>
        <v>POLETTI  (Astoria)399Other Tangible Property</v>
      </c>
      <c r="B341" s="550" t="s">
        <v>1612</v>
      </c>
      <c r="C341" s="551" t="s">
        <v>396</v>
      </c>
      <c r="D341" s="552" t="s">
        <v>1256</v>
      </c>
      <c r="E341" s="551">
        <v>399</v>
      </c>
      <c r="F341" s="551" t="s">
        <v>329</v>
      </c>
      <c r="G341" s="67">
        <v>322930</v>
      </c>
      <c r="H341" s="67">
        <v>328312</v>
      </c>
      <c r="I341" s="67">
        <v>-5382</v>
      </c>
      <c r="J341" s="67">
        <v>5382</v>
      </c>
      <c r="K341" s="67">
        <v>322930</v>
      </c>
      <c r="L341" s="67">
        <v>322930</v>
      </c>
      <c r="M341" s="67">
        <v>0</v>
      </c>
      <c r="N341" s="67">
        <v>0</v>
      </c>
    </row>
    <row r="342" spans="1:14" s="1167" customFormat="1" ht="15.75" customHeight="1" outlineLevel="1">
      <c r="A342" s="549" t="str">
        <f t="shared" si="16"/>
        <v>POUCH TERMINAL  (Richmond)396Power Operated Equipment</v>
      </c>
      <c r="B342" s="550" t="s">
        <v>1613</v>
      </c>
      <c r="C342" s="551" t="s">
        <v>396</v>
      </c>
      <c r="D342" s="552" t="s">
        <v>1273</v>
      </c>
      <c r="E342" s="551">
        <v>396</v>
      </c>
      <c r="F342" s="551" t="s">
        <v>323</v>
      </c>
      <c r="G342" s="67">
        <v>22076</v>
      </c>
      <c r="H342" s="67">
        <v>0</v>
      </c>
      <c r="I342" s="67">
        <v>22076</v>
      </c>
      <c r="J342" s="67">
        <v>0</v>
      </c>
      <c r="K342" s="67">
        <v>22076</v>
      </c>
      <c r="L342" s="67">
        <v>22076</v>
      </c>
      <c r="M342" s="67">
        <v>0</v>
      </c>
      <c r="N342" s="67">
        <v>0</v>
      </c>
    </row>
    <row r="343" spans="1:14" s="1167" customFormat="1" ht="15.75" customHeight="1" outlineLevel="1">
      <c r="A343" s="549" t="str">
        <f t="shared" si="16"/>
        <v>POUCH TERMINAL  (Richmond)398Miscellaneous Equipment</v>
      </c>
      <c r="B343" s="550" t="s">
        <v>1614</v>
      </c>
      <c r="C343" s="551" t="s">
        <v>396</v>
      </c>
      <c r="D343" s="552" t="s">
        <v>1273</v>
      </c>
      <c r="E343" s="551">
        <v>398</v>
      </c>
      <c r="F343" s="551" t="s">
        <v>327</v>
      </c>
      <c r="G343" s="67">
        <v>313431</v>
      </c>
      <c r="H343" s="67">
        <v>177620</v>
      </c>
      <c r="I343" s="67">
        <v>135811</v>
      </c>
      <c r="J343" s="67">
        <v>6467</v>
      </c>
      <c r="K343" s="67">
        <v>313431</v>
      </c>
      <c r="L343" s="67">
        <v>171153</v>
      </c>
      <c r="M343" s="67">
        <v>142278</v>
      </c>
      <c r="N343" s="67">
        <v>0</v>
      </c>
    </row>
    <row r="344" spans="1:14" s="551" customFormat="1" ht="15.75" customHeight="1" outlineLevel="1">
      <c r="A344" s="549" t="str">
        <f t="shared" si="16"/>
        <v>VERNON BOULEVARD  (Queens)396Power Operated Equipment</v>
      </c>
      <c r="B344" s="550" t="s">
        <v>1615</v>
      </c>
      <c r="C344" s="551" t="s">
        <v>396</v>
      </c>
      <c r="D344" s="568" t="s">
        <v>1275</v>
      </c>
      <c r="E344" s="551">
        <v>396</v>
      </c>
      <c r="F344" s="569" t="s">
        <v>323</v>
      </c>
      <c r="G344" s="67">
        <v>22076</v>
      </c>
      <c r="H344" s="67">
        <v>-10479</v>
      </c>
      <c r="I344" s="67">
        <v>32555</v>
      </c>
      <c r="J344" s="67">
        <v>568</v>
      </c>
      <c r="K344" s="67">
        <v>22076</v>
      </c>
      <c r="L344" s="67">
        <v>11029</v>
      </c>
      <c r="M344" s="67">
        <v>11047</v>
      </c>
      <c r="N344" s="67">
        <v>0</v>
      </c>
    </row>
    <row r="345" spans="1:14" s="1167" customFormat="1" ht="15.75" customHeight="1" outlineLevel="1">
      <c r="A345" s="549" t="str">
        <f t="shared" si="15"/>
        <v>VERNON BOULEVARD  (Queens)398Miscellaneous Equipment</v>
      </c>
      <c r="B345" s="550" t="s">
        <v>1616</v>
      </c>
      <c r="C345" s="551" t="s">
        <v>396</v>
      </c>
      <c r="D345" s="552" t="s">
        <v>1275</v>
      </c>
      <c r="E345" s="551">
        <v>398</v>
      </c>
      <c r="F345" s="551" t="s">
        <v>327</v>
      </c>
      <c r="G345" s="67">
        <v>245850</v>
      </c>
      <c r="H345" s="67">
        <v>100831</v>
      </c>
      <c r="I345" s="67">
        <v>145019</v>
      </c>
      <c r="J345" s="67">
        <v>0</v>
      </c>
      <c r="K345" s="67">
        <v>245850</v>
      </c>
      <c r="L345" s="67">
        <v>100831</v>
      </c>
      <c r="M345" s="67">
        <v>145019</v>
      </c>
      <c r="N345" s="67">
        <v>0</v>
      </c>
    </row>
    <row r="346" spans="1:14" s="1167" customFormat="1" ht="15.75" customHeight="1" outlineLevel="1">
      <c r="A346" s="549" t="str">
        <f t="shared" si="15"/>
        <v>Impairment (General)</v>
      </c>
      <c r="B346" s="550" t="s">
        <v>1617</v>
      </c>
      <c r="C346" s="551"/>
      <c r="D346" s="552"/>
      <c r="E346" s="551"/>
      <c r="F346" s="1419" t="s">
        <v>2063</v>
      </c>
      <c r="G346" s="67">
        <v>-7819154</v>
      </c>
      <c r="H346" s="67">
        <v>0</v>
      </c>
      <c r="I346" s="67">
        <v>-7819154</v>
      </c>
      <c r="J346" s="67">
        <v>0</v>
      </c>
      <c r="K346" s="67"/>
      <c r="L346" s="67"/>
      <c r="M346" s="67"/>
      <c r="N346" s="67"/>
    </row>
    <row r="347" spans="1:14" s="1167" customFormat="1" ht="15.75" customHeight="1" outlineLevel="1">
      <c r="A347" s="549" t="str">
        <f t="shared" si="15"/>
        <v>AdjustmentsCost of Removal Deprec to Reg Assets (Gen)</v>
      </c>
      <c r="B347" s="550" t="s">
        <v>1618</v>
      </c>
      <c r="C347" s="551"/>
      <c r="D347" s="552" t="s">
        <v>331</v>
      </c>
      <c r="E347" s="551"/>
      <c r="F347" s="551" t="s">
        <v>1619</v>
      </c>
      <c r="G347" s="67">
        <v>0</v>
      </c>
      <c r="H347" s="67">
        <v>-3695090</v>
      </c>
      <c r="I347" s="67">
        <v>3695090</v>
      </c>
      <c r="J347" s="67">
        <v>0</v>
      </c>
      <c r="K347" s="67">
        <v>0</v>
      </c>
      <c r="L347" s="67">
        <v>-3691987</v>
      </c>
      <c r="M347" s="67">
        <v>3691987</v>
      </c>
      <c r="N347" s="67">
        <v>0</v>
      </c>
    </row>
    <row r="348" spans="1:14" s="1167" customFormat="1" ht="15.75" customHeight="1" outlineLevel="1">
      <c r="A348" s="549" t="str">
        <f t="shared" si="15"/>
        <v/>
      </c>
      <c r="B348" s="550" t="s">
        <v>1620</v>
      </c>
      <c r="C348" s="551"/>
      <c r="D348" s="552"/>
      <c r="E348" s="551"/>
      <c r="F348" s="551"/>
      <c r="G348" s="67"/>
      <c r="H348" s="67"/>
      <c r="I348" s="67"/>
      <c r="J348" s="67"/>
      <c r="K348" s="67"/>
      <c r="L348" s="67"/>
      <c r="M348" s="67"/>
      <c r="N348" s="67"/>
    </row>
    <row r="349" spans="1:14" s="1167" customFormat="1" ht="15.75" customHeight="1" outlineLevel="1">
      <c r="A349" s="549" t="str">
        <f t="shared" si="15"/>
        <v/>
      </c>
      <c r="B349" s="550" t="s">
        <v>1621</v>
      </c>
      <c r="C349" s="551"/>
      <c r="D349" s="552"/>
      <c r="E349" s="551"/>
      <c r="F349" s="551"/>
      <c r="G349" s="67"/>
      <c r="H349" s="67"/>
      <c r="I349" s="67"/>
      <c r="J349" s="67"/>
      <c r="K349" s="67"/>
      <c r="L349" s="67"/>
      <c r="M349" s="67"/>
      <c r="N349" s="67"/>
    </row>
    <row r="350" spans="1:14" s="1167" customFormat="1" ht="15.75" customHeight="1" outlineLevel="1">
      <c r="A350" s="549" t="str">
        <f t="shared" si="15"/>
        <v/>
      </c>
      <c r="B350" s="550" t="s">
        <v>1622</v>
      </c>
      <c r="C350" s="551"/>
      <c r="D350" s="552"/>
      <c r="E350" s="551"/>
      <c r="F350" s="551"/>
      <c r="G350" s="67"/>
      <c r="H350" s="67"/>
      <c r="I350" s="67"/>
      <c r="J350" s="67"/>
      <c r="K350" s="67"/>
      <c r="L350" s="67"/>
      <c r="M350" s="67"/>
      <c r="N350" s="67"/>
    </row>
    <row r="351" spans="1:14" s="1167" customFormat="1" ht="15.75" customHeight="1" outlineLevel="1">
      <c r="A351" s="549" t="str">
        <f t="shared" ref="A351:A352" si="17">CONCATENATE(D351,E351,F351)</f>
        <v/>
      </c>
      <c r="B351" s="554" t="s">
        <v>146</v>
      </c>
      <c r="C351" s="551"/>
      <c r="D351" s="551"/>
      <c r="E351" s="67"/>
      <c r="F351" s="551"/>
      <c r="G351" s="67"/>
      <c r="H351" s="67"/>
      <c r="I351" s="67"/>
      <c r="J351" s="67"/>
      <c r="K351" s="67"/>
      <c r="L351" s="67"/>
      <c r="M351" s="67"/>
      <c r="N351" s="67"/>
    </row>
    <row r="352" spans="1:14" s="1167" customFormat="1" ht="15.75" customHeight="1" outlineLevel="1" thickBot="1">
      <c r="A352" s="549" t="str">
        <f t="shared" si="17"/>
        <v/>
      </c>
      <c r="B352" s="554" t="s">
        <v>146</v>
      </c>
      <c r="C352" s="551"/>
      <c r="D352" s="551"/>
      <c r="E352" s="67"/>
      <c r="F352" s="551"/>
      <c r="G352" s="67"/>
      <c r="H352" s="67"/>
      <c r="I352" s="67"/>
      <c r="J352" s="67"/>
      <c r="K352" s="67"/>
      <c r="L352" s="67"/>
      <c r="M352" s="67"/>
      <c r="N352" s="67"/>
    </row>
    <row r="353" spans="1:14" s="1168" customFormat="1" ht="16.5" customHeight="1" thickBot="1">
      <c r="A353" s="1399"/>
      <c r="B353" s="1390">
        <v>13</v>
      </c>
      <c r="C353" s="1391"/>
      <c r="D353" s="1391"/>
      <c r="E353" s="1391"/>
      <c r="F353" s="1395" t="s">
        <v>1623</v>
      </c>
      <c r="G353" s="1393">
        <f t="shared" ref="G353:N353" si="18">SUBTOTAL(9,G246:G352)</f>
        <v>1645391716.1500001</v>
      </c>
      <c r="H353" s="1393">
        <f t="shared" si="18"/>
        <v>613823276.54999995</v>
      </c>
      <c r="I353" s="1393">
        <f t="shared" si="18"/>
        <v>1031568438.15</v>
      </c>
      <c r="J353" s="1393">
        <f t="shared" si="18"/>
        <v>74958843.200000003</v>
      </c>
      <c r="K353" s="1393">
        <f t="shared" si="18"/>
        <v>1516304155.5099998</v>
      </c>
      <c r="L353" s="1393">
        <f t="shared" si="18"/>
        <v>546999288.08579993</v>
      </c>
      <c r="M353" s="1393">
        <f t="shared" si="18"/>
        <v>969304867.57000005</v>
      </c>
      <c r="N353" s="1393">
        <f t="shared" si="18"/>
        <v>59032531.010000013</v>
      </c>
    </row>
    <row r="354" spans="1:14" s="1167" customFormat="1" ht="16.5" customHeight="1" thickBot="1">
      <c r="A354" s="549"/>
      <c r="B354" s="555"/>
      <c r="C354" s="556"/>
      <c r="D354" s="566"/>
      <c r="E354" s="556"/>
      <c r="F354" s="385"/>
      <c r="G354" s="68"/>
      <c r="H354" s="68"/>
      <c r="I354" s="68"/>
      <c r="J354" s="68"/>
      <c r="K354" s="68"/>
      <c r="L354" s="68"/>
      <c r="M354" s="68"/>
      <c r="N354" s="68"/>
    </row>
    <row r="355" spans="1:14" s="1169" customFormat="1" ht="16.5" customHeight="1" thickBot="1">
      <c r="A355" s="1400"/>
      <c r="B355" s="1396">
        <v>14</v>
      </c>
      <c r="C355" s="1392"/>
      <c r="D355" s="1394"/>
      <c r="E355" s="1392" t="s">
        <v>1624</v>
      </c>
      <c r="F355" s="1395"/>
      <c r="G355" s="1397">
        <f t="shared" ref="G355:N355" si="19">G353+G242+G166+G104</f>
        <v>8472113751.1499996</v>
      </c>
      <c r="H355" s="1397">
        <f t="shared" si="19"/>
        <v>3935521520.5500002</v>
      </c>
      <c r="I355" s="1397">
        <f t="shared" si="19"/>
        <v>4536592223.1499996</v>
      </c>
      <c r="J355" s="1397">
        <f t="shared" si="19"/>
        <v>372988619.81999999</v>
      </c>
      <c r="K355" s="1397">
        <f t="shared" si="19"/>
        <v>9254353566.7099991</v>
      </c>
      <c r="L355" s="1397">
        <f t="shared" si="19"/>
        <v>4392495560.7458</v>
      </c>
      <c r="M355" s="1397">
        <f t="shared" si="19"/>
        <v>4861858006.1099997</v>
      </c>
      <c r="N355" s="1397">
        <f t="shared" si="19"/>
        <v>248871211.86000001</v>
      </c>
    </row>
    <row r="356" spans="1:14" s="1167" customFormat="1" ht="15.75" customHeight="1">
      <c r="A356" s="549"/>
      <c r="B356" s="555"/>
      <c r="C356" s="556"/>
      <c r="D356" s="566"/>
      <c r="E356" s="556"/>
      <c r="F356" s="385"/>
      <c r="G356" s="68"/>
      <c r="H356" s="68"/>
      <c r="I356" s="68"/>
      <c r="J356" s="68"/>
      <c r="K356" s="68"/>
      <c r="L356" s="68"/>
      <c r="M356" s="68"/>
      <c r="N356" s="68"/>
    </row>
    <row r="357" spans="1:14" s="1167" customFormat="1" ht="16.5" customHeight="1" thickBot="1">
      <c r="A357" s="549"/>
      <c r="B357" s="555"/>
      <c r="C357" s="556"/>
      <c r="D357" s="566"/>
      <c r="E357" s="556"/>
      <c r="F357" s="385"/>
      <c r="G357" s="68"/>
      <c r="H357" s="68"/>
      <c r="I357" s="68"/>
      <c r="J357" s="68"/>
      <c r="K357" s="68"/>
      <c r="L357" s="68"/>
      <c r="M357" s="68"/>
      <c r="N357" s="68"/>
    </row>
    <row r="358" spans="1:14" s="1169" customFormat="1" ht="17.25" customHeight="1" thickTop="1" thickBot="1">
      <c r="A358" s="574"/>
      <c r="B358" s="575">
        <v>15</v>
      </c>
      <c r="C358" s="576"/>
      <c r="D358" s="576"/>
      <c r="E358" s="576" t="s">
        <v>1625</v>
      </c>
      <c r="F358" s="577"/>
      <c r="G358" s="578">
        <f t="shared" ref="G358:N358" si="20">G355+G62</f>
        <v>9613083479.1499996</v>
      </c>
      <c r="H358" s="578">
        <f t="shared" si="20"/>
        <v>3935521520.5500002</v>
      </c>
      <c r="I358" s="578">
        <f t="shared" si="20"/>
        <v>5677561951.1499996</v>
      </c>
      <c r="J358" s="578">
        <f t="shared" si="20"/>
        <v>372988619.81999999</v>
      </c>
      <c r="K358" s="578">
        <f t="shared" si="20"/>
        <v>10131405830.74</v>
      </c>
      <c r="L358" s="578">
        <f t="shared" si="20"/>
        <v>4392495560.7458</v>
      </c>
      <c r="M358" s="578">
        <f t="shared" si="20"/>
        <v>5738910270.1399994</v>
      </c>
      <c r="N358" s="578">
        <f t="shared" si="20"/>
        <v>248871211.86000001</v>
      </c>
    </row>
    <row r="359" spans="1:14" s="1167" customFormat="1" ht="16.5" customHeight="1" thickTop="1">
      <c r="A359" s="549"/>
      <c r="B359" s="555"/>
      <c r="C359" s="556"/>
      <c r="D359" s="555"/>
      <c r="E359" s="556"/>
      <c r="F359" s="579"/>
      <c r="G359" s="565"/>
      <c r="H359" s="565"/>
      <c r="I359" s="565"/>
      <c r="J359" s="565"/>
      <c r="K359" s="565"/>
      <c r="L359" s="565"/>
      <c r="M359" s="565"/>
      <c r="N359" s="565"/>
    </row>
    <row r="360" spans="1:14" s="1167" customFormat="1">
      <c r="A360" s="549"/>
      <c r="B360" s="555"/>
      <c r="C360" s="556"/>
      <c r="D360" s="555"/>
      <c r="E360" s="556"/>
      <c r="F360" s="105"/>
      <c r="G360" s="580"/>
      <c r="H360" s="580"/>
      <c r="I360" s="580"/>
      <c r="J360" s="580"/>
      <c r="K360" s="580"/>
      <c r="L360" s="580"/>
      <c r="M360" s="580"/>
      <c r="N360" s="580"/>
    </row>
    <row r="361" spans="1:14" s="1167" customFormat="1">
      <c r="A361" s="549"/>
      <c r="B361" s="555"/>
      <c r="C361" s="556"/>
      <c r="D361" s="555"/>
      <c r="E361" s="556"/>
      <c r="F361" s="105"/>
      <c r="G361" s="580"/>
      <c r="H361" s="580"/>
      <c r="I361" s="580"/>
      <c r="J361" s="580"/>
      <c r="K361" s="580"/>
      <c r="L361" s="580"/>
      <c r="M361" s="580"/>
      <c r="N361" s="580"/>
    </row>
    <row r="362" spans="1:14" s="1167" customFormat="1">
      <c r="A362" s="549"/>
      <c r="B362" s="555"/>
      <c r="C362" s="556"/>
      <c r="D362" s="555"/>
      <c r="E362" s="556"/>
      <c r="F362" s="105"/>
      <c r="G362" s="581"/>
      <c r="H362" s="580"/>
      <c r="I362" s="580"/>
      <c r="J362" s="580"/>
      <c r="K362" s="580"/>
      <c r="L362" s="580"/>
      <c r="M362" s="580"/>
      <c r="N362" s="580"/>
    </row>
    <row r="363" spans="1:14">
      <c r="D363" s="556"/>
      <c r="F363" s="105"/>
      <c r="G363" s="580"/>
      <c r="H363" s="580"/>
      <c r="I363" s="580"/>
      <c r="J363" s="580"/>
      <c r="K363" s="580"/>
      <c r="L363" s="580"/>
      <c r="M363" s="580"/>
      <c r="N363" s="580"/>
    </row>
    <row r="364" spans="1:14">
      <c r="D364" s="556"/>
      <c r="F364" s="105"/>
      <c r="G364" s="580"/>
      <c r="H364" s="580"/>
      <c r="I364" s="580"/>
      <c r="J364" s="580"/>
      <c r="K364" s="580"/>
      <c r="L364" s="580"/>
      <c r="M364" s="580"/>
      <c r="N364" s="580"/>
    </row>
    <row r="365" spans="1:14">
      <c r="D365" s="556"/>
      <c r="F365" s="105"/>
      <c r="G365" s="580"/>
      <c r="H365" s="580"/>
      <c r="I365" s="580"/>
      <c r="J365" s="580"/>
      <c r="K365" s="580"/>
      <c r="L365" s="580"/>
      <c r="M365" s="580"/>
      <c r="N365" s="580"/>
    </row>
    <row r="366" spans="1:14">
      <c r="D366" s="556"/>
      <c r="G366" s="583"/>
    </row>
  </sheetData>
  <customSheetViews>
    <customSheetView guid="{343BF296-013A-41F5-BDAB-AD6220EA7F78}" scale="99" showPageBreaks="1" fitToPage="1" printArea="1" hiddenColumns="1" view="pageBreakPreview" topLeftCell="B73">
      <selection activeCell="D33" sqref="D33"/>
      <pageMargins left="0" right="0" top="0" bottom="0" header="0" footer="0"/>
      <printOptions horizontalCentered="1"/>
      <pageSetup paperSize="5" scale="62" fitToHeight="10" orientation="landscape" r:id="rId1"/>
    </customSheetView>
    <customSheetView guid="{B321D76C-CDE5-48BB-9CDE-80FF97D58FCF}" scale="99" showPageBreaks="1" fitToPage="1" printArea="1" hiddenColumns="1" view="pageBreakPreview" topLeftCell="B73">
      <selection activeCell="D33" sqref="D33"/>
      <pageMargins left="0" right="0" top="0" bottom="0" header="0" footer="0"/>
      <printOptions horizontalCentered="1"/>
      <pageSetup paperSize="5" scale="63" fitToHeight="10" orientation="landscape" r:id="rId2"/>
    </customSheetView>
  </customSheetViews>
  <mergeCells count="7">
    <mergeCell ref="G10:J10"/>
    <mergeCell ref="K10:N10"/>
    <mergeCell ref="C3:M3"/>
    <mergeCell ref="C4:M4"/>
    <mergeCell ref="C5:M5"/>
    <mergeCell ref="C7:M7"/>
    <mergeCell ref="C8:M8"/>
  </mergeCells>
  <printOptions horizontalCentered="1"/>
  <pageMargins left="0.5" right="0.5" top="0.5" bottom="0.75" header="0.3" footer="0.3"/>
  <pageSetup paperSize="5" scale="63" fitToWidth="0" fitToHeight="10" orientation="landscape" r:id="rId3"/>
  <ignoredErrors>
    <ignoredError sqref="G10:N10 C12:N12"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rgb="FF0070C0"/>
    <pageSetUpPr fitToPage="1"/>
  </sheetPr>
  <dimension ref="A1:M72"/>
  <sheetViews>
    <sheetView view="pageBreakPreview" zoomScale="90" zoomScaleNormal="80" zoomScaleSheetLayoutView="90" workbookViewId="0">
      <selection activeCell="T66" sqref="T66"/>
    </sheetView>
  </sheetViews>
  <sheetFormatPr defaultColWidth="9" defaultRowHeight="14.4"/>
  <cols>
    <col min="1" max="1" width="9.33203125" style="512" customWidth="1"/>
    <col min="2" max="2" width="8" style="512" customWidth="1"/>
    <col min="3" max="3" width="1.33203125" style="512" customWidth="1"/>
    <col min="4" max="4" width="19.5546875" style="512" customWidth="1"/>
    <col min="5" max="5" width="2.109375" style="512" customWidth="1"/>
    <col min="6" max="6" width="20.109375" style="512" customWidth="1"/>
    <col min="7" max="7" width="2.33203125" style="512" customWidth="1"/>
    <col min="8" max="8" width="19.44140625" style="512" customWidth="1"/>
    <col min="9" max="9" width="1.33203125" style="512" customWidth="1"/>
    <col min="10" max="10" width="20.77734375" style="512" customWidth="1"/>
    <col min="11" max="11" width="4.77734375" style="539" customWidth="1"/>
    <col min="12" max="12" width="4.33203125" style="539" customWidth="1"/>
    <col min="13" max="13" width="5" style="512" customWidth="1"/>
    <col min="14" max="16384" width="9" style="512"/>
  </cols>
  <sheetData>
    <row r="1" spans="1:13" s="214" customFormat="1" ht="15.6">
      <c r="A1" s="70"/>
      <c r="B1" s="71"/>
      <c r="C1" s="71"/>
      <c r="D1" s="293"/>
      <c r="E1" s="293"/>
      <c r="F1" s="71"/>
      <c r="G1" s="71"/>
      <c r="I1" s="294"/>
      <c r="J1" s="72"/>
      <c r="K1" s="114"/>
      <c r="L1" s="114"/>
    </row>
    <row r="2" spans="1:13" s="216" customFormat="1" ht="17.399999999999999">
      <c r="A2" s="221"/>
      <c r="B2" s="218"/>
      <c r="C2" s="218"/>
      <c r="D2" s="219"/>
      <c r="E2" s="219"/>
      <c r="F2" s="218"/>
      <c r="G2" s="218"/>
      <c r="H2" s="218"/>
      <c r="I2" s="218"/>
      <c r="J2" s="218"/>
      <c r="K2" s="218"/>
      <c r="L2" s="218"/>
      <c r="M2" s="1264"/>
    </row>
    <row r="3" spans="1:13" s="216" customFormat="1" ht="17.399999999999999">
      <c r="A3" s="1463" t="s">
        <v>0</v>
      </c>
      <c r="B3" s="1463"/>
      <c r="C3" s="1463"/>
      <c r="D3" s="1463"/>
      <c r="E3" s="1463"/>
      <c r="F3" s="1463"/>
      <c r="G3" s="1463"/>
      <c r="H3" s="1463"/>
      <c r="I3" s="1463"/>
      <c r="J3" s="1463"/>
      <c r="K3" s="1463"/>
      <c r="L3" s="1264"/>
      <c r="M3" s="221"/>
    </row>
    <row r="4" spans="1:13" s="216" customFormat="1" ht="17.399999999999999">
      <c r="A4" s="1463" t="s">
        <v>1</v>
      </c>
      <c r="B4" s="1463"/>
      <c r="C4" s="1463"/>
      <c r="D4" s="1463"/>
      <c r="E4" s="1463"/>
      <c r="F4" s="1463"/>
      <c r="G4" s="1463"/>
      <c r="H4" s="1463"/>
      <c r="I4" s="1463"/>
      <c r="J4" s="1463"/>
      <c r="K4" s="1463"/>
      <c r="L4" s="1264"/>
      <c r="M4" s="221"/>
    </row>
    <row r="5" spans="1:13" s="216" customFormat="1" ht="17.399999999999999">
      <c r="A5" s="1464" t="str">
        <f>SUMMARY!A7</f>
        <v>YEAR ENDING DECEMBER 31, 2022</v>
      </c>
      <c r="B5" s="1464"/>
      <c r="C5" s="1464"/>
      <c r="D5" s="1464"/>
      <c r="E5" s="1464"/>
      <c r="F5" s="1464"/>
      <c r="G5" s="1464"/>
      <c r="H5" s="1464"/>
      <c r="I5" s="1464"/>
      <c r="J5" s="1464"/>
      <c r="K5" s="1464"/>
      <c r="L5" s="1264"/>
      <c r="M5" s="221"/>
    </row>
    <row r="6" spans="1:13" s="216" customFormat="1" ht="12" customHeight="1">
      <c r="A6" s="218"/>
      <c r="B6" s="218"/>
      <c r="C6" s="218"/>
      <c r="D6" s="223"/>
      <c r="E6" s="223"/>
      <c r="F6" s="218"/>
      <c r="G6" s="218"/>
      <c r="H6" s="218"/>
      <c r="I6" s="218"/>
      <c r="J6" s="218"/>
      <c r="K6" s="218"/>
      <c r="L6" s="218"/>
      <c r="M6" s="218"/>
    </row>
    <row r="7" spans="1:13" s="216" customFormat="1" ht="17.399999999999999">
      <c r="A7" s="1463" t="s">
        <v>1626</v>
      </c>
      <c r="B7" s="1463"/>
      <c r="C7" s="1463"/>
      <c r="D7" s="1463"/>
      <c r="E7" s="1463"/>
      <c r="F7" s="1463"/>
      <c r="G7" s="1463"/>
      <c r="H7" s="1463"/>
      <c r="I7" s="1463"/>
      <c r="J7" s="1463"/>
      <c r="K7" s="1463"/>
      <c r="L7" s="1264"/>
      <c r="M7" s="221"/>
    </row>
    <row r="8" spans="1:13" ht="17.399999999999999">
      <c r="A8" s="1463" t="s">
        <v>1627</v>
      </c>
      <c r="B8" s="1463"/>
      <c r="C8" s="1463"/>
      <c r="D8" s="1463"/>
      <c r="E8" s="1463"/>
      <c r="F8" s="1463"/>
      <c r="G8" s="1463"/>
      <c r="H8" s="1463"/>
      <c r="I8" s="1463"/>
      <c r="J8" s="1463"/>
      <c r="K8" s="1463"/>
      <c r="L8" s="1264"/>
      <c r="M8" s="221"/>
    </row>
    <row r="9" spans="1:13" ht="17.399999999999999">
      <c r="A9" s="1463" t="s">
        <v>1628</v>
      </c>
      <c r="B9" s="1463"/>
      <c r="C9" s="1463"/>
      <c r="D9" s="1463"/>
      <c r="E9" s="1463"/>
      <c r="F9" s="1463"/>
      <c r="G9" s="1463"/>
      <c r="H9" s="1463"/>
      <c r="I9" s="1463"/>
      <c r="J9" s="1463"/>
      <c r="K9" s="1463"/>
      <c r="L9" s="1264"/>
      <c r="M9" s="221"/>
    </row>
    <row r="10" spans="1:13" ht="17.399999999999999">
      <c r="A10" s="1264"/>
      <c r="B10" s="1264"/>
      <c r="C10" s="1264"/>
      <c r="D10" s="1264"/>
      <c r="E10" s="1264"/>
      <c r="F10" s="1264"/>
      <c r="G10" s="1264"/>
      <c r="H10" s="1264"/>
      <c r="I10" s="1264"/>
      <c r="J10" s="1264"/>
      <c r="K10" s="1264"/>
      <c r="L10" s="1264"/>
      <c r="M10" s="1264"/>
    </row>
    <row r="11" spans="1:13" s="9" customFormat="1" ht="15">
      <c r="B11" s="513"/>
      <c r="C11" s="513"/>
      <c r="D11" s="514"/>
      <c r="E11" s="514"/>
      <c r="F11" s="514"/>
      <c r="G11" s="514"/>
      <c r="H11" s="514"/>
      <c r="I11" s="514"/>
      <c r="J11" s="514"/>
      <c r="K11" s="515"/>
      <c r="L11" s="515"/>
    </row>
    <row r="12" spans="1:13" s="10" customFormat="1" ht="15.6">
      <c r="B12" s="516"/>
      <c r="C12" s="516"/>
      <c r="D12" s="517" t="s">
        <v>1629</v>
      </c>
      <c r="E12" s="517"/>
      <c r="F12" s="517"/>
      <c r="G12" s="517"/>
      <c r="J12" s="10" t="s">
        <v>1630</v>
      </c>
      <c r="K12" s="517"/>
      <c r="L12" s="517"/>
    </row>
    <row r="13" spans="1:13" s="10" customFormat="1" ht="15.6">
      <c r="B13" s="516"/>
      <c r="C13" s="516"/>
      <c r="D13" s="10" t="s">
        <v>1631</v>
      </c>
      <c r="F13" s="517" t="s">
        <v>1632</v>
      </c>
      <c r="G13" s="517"/>
      <c r="H13" s="517" t="s">
        <v>1633</v>
      </c>
      <c r="I13" s="517"/>
      <c r="J13" s="517" t="s">
        <v>1115</v>
      </c>
      <c r="L13" s="517"/>
    </row>
    <row r="14" spans="1:13" s="10" customFormat="1" ht="15.6">
      <c r="B14" s="516"/>
      <c r="C14" s="516"/>
      <c r="D14" s="10" t="s">
        <v>1634</v>
      </c>
      <c r="F14" s="10" t="s">
        <v>1631</v>
      </c>
      <c r="H14" s="517" t="s">
        <v>1635</v>
      </c>
      <c r="I14" s="517"/>
      <c r="J14" s="517" t="s">
        <v>1631</v>
      </c>
      <c r="L14" s="517"/>
    </row>
    <row r="15" spans="1:13" s="10" customFormat="1" ht="19.2">
      <c r="A15" s="518" t="s">
        <v>7</v>
      </c>
      <c r="B15" s="518" t="s">
        <v>725</v>
      </c>
      <c r="C15" s="518"/>
      <c r="D15" s="519" t="s">
        <v>1636</v>
      </c>
      <c r="E15" s="519"/>
      <c r="F15" s="520" t="s">
        <v>1637</v>
      </c>
      <c r="G15" s="520"/>
      <c r="H15" s="519" t="s">
        <v>1638</v>
      </c>
      <c r="I15" s="519"/>
      <c r="J15" s="519" t="s">
        <v>1639</v>
      </c>
      <c r="L15" s="519"/>
    </row>
    <row r="16" spans="1:13" s="9" customFormat="1" ht="15">
      <c r="A16" s="521"/>
      <c r="B16" s="522" t="s">
        <v>8</v>
      </c>
      <c r="C16" s="522"/>
      <c r="D16" s="522" t="s">
        <v>9</v>
      </c>
      <c r="E16" s="522"/>
      <c r="F16" s="522" t="s">
        <v>359</v>
      </c>
      <c r="G16" s="522"/>
      <c r="H16" s="522" t="s">
        <v>360</v>
      </c>
      <c r="I16" s="522"/>
      <c r="J16" s="522" t="s">
        <v>162</v>
      </c>
      <c r="K16" s="523"/>
      <c r="L16" s="522"/>
    </row>
    <row r="17" spans="1:12" s="9" customFormat="1" ht="19.2">
      <c r="A17" s="1266"/>
      <c r="B17" s="524"/>
      <c r="C17" s="524"/>
      <c r="D17" s="525"/>
      <c r="E17" s="525"/>
      <c r="F17" s="525"/>
      <c r="G17" s="525"/>
      <c r="H17" s="525"/>
      <c r="I17" s="525"/>
      <c r="J17" s="515"/>
      <c r="K17" s="523"/>
      <c r="L17" s="515"/>
    </row>
    <row r="18" spans="1:12" s="9" customFormat="1" ht="15.6">
      <c r="A18" s="1266">
        <v>1</v>
      </c>
      <c r="B18" s="513">
        <v>1988</v>
      </c>
      <c r="C18" s="513"/>
      <c r="D18" s="526">
        <v>108936778</v>
      </c>
      <c r="E18" s="527"/>
      <c r="F18" s="56">
        <f t="shared" ref="F18:F49" si="0">D18-H18</f>
        <v>106758042.44</v>
      </c>
      <c r="G18" s="56"/>
      <c r="H18" s="527">
        <f t="shared" ref="H18:H49" si="1">$D$18/50</f>
        <v>2178735.56</v>
      </c>
      <c r="I18" s="527"/>
      <c r="J18" s="527"/>
      <c r="K18" s="523"/>
      <c r="L18" s="515"/>
    </row>
    <row r="19" spans="1:12" s="9" customFormat="1" ht="15.6">
      <c r="A19" s="1266">
        <v>2</v>
      </c>
      <c r="B19" s="513">
        <f t="shared" ref="B19:B67" si="2">1+B18</f>
        <v>1989</v>
      </c>
      <c r="C19" s="513"/>
      <c r="D19" s="527">
        <f t="shared" ref="D19:D50" si="3">D18-H18</f>
        <v>106758042.44</v>
      </c>
      <c r="E19" s="527"/>
      <c r="F19" s="56">
        <f t="shared" si="0"/>
        <v>104579306.88</v>
      </c>
      <c r="G19" s="56"/>
      <c r="H19" s="527">
        <f t="shared" si="1"/>
        <v>2178735.56</v>
      </c>
      <c r="I19" s="527"/>
      <c r="J19" s="527"/>
      <c r="K19" s="523"/>
      <c r="L19" s="515"/>
    </row>
    <row r="20" spans="1:12" s="9" customFormat="1" ht="15.6">
      <c r="A20" s="1266">
        <v>3</v>
      </c>
      <c r="B20" s="513">
        <f t="shared" si="2"/>
        <v>1990</v>
      </c>
      <c r="C20" s="513"/>
      <c r="D20" s="527">
        <f t="shared" si="3"/>
        <v>104579306.88</v>
      </c>
      <c r="E20" s="527"/>
      <c r="F20" s="56">
        <f t="shared" si="0"/>
        <v>102400571.31999999</v>
      </c>
      <c r="G20" s="56"/>
      <c r="H20" s="527">
        <f t="shared" si="1"/>
        <v>2178735.56</v>
      </c>
      <c r="I20" s="527"/>
      <c r="J20" s="527"/>
      <c r="K20" s="523"/>
      <c r="L20" s="515"/>
    </row>
    <row r="21" spans="1:12" s="9" customFormat="1" ht="15.6">
      <c r="A21" s="1266">
        <v>4</v>
      </c>
      <c r="B21" s="513">
        <f t="shared" si="2"/>
        <v>1991</v>
      </c>
      <c r="C21" s="513"/>
      <c r="D21" s="527">
        <f t="shared" si="3"/>
        <v>102400571.31999999</v>
      </c>
      <c r="E21" s="527"/>
      <c r="F21" s="56">
        <f t="shared" si="0"/>
        <v>100221835.75999999</v>
      </c>
      <c r="G21" s="56"/>
      <c r="H21" s="527">
        <f t="shared" si="1"/>
        <v>2178735.56</v>
      </c>
      <c r="I21" s="527"/>
      <c r="J21" s="527"/>
      <c r="K21" s="523"/>
      <c r="L21" s="515"/>
    </row>
    <row r="22" spans="1:12" s="9" customFormat="1" ht="15.6">
      <c r="A22" s="1266">
        <v>5</v>
      </c>
      <c r="B22" s="513">
        <f t="shared" si="2"/>
        <v>1992</v>
      </c>
      <c r="C22" s="513"/>
      <c r="D22" s="527">
        <f t="shared" si="3"/>
        <v>100221835.75999999</v>
      </c>
      <c r="E22" s="527"/>
      <c r="F22" s="56">
        <f t="shared" si="0"/>
        <v>98043100.199999988</v>
      </c>
      <c r="G22" s="56"/>
      <c r="H22" s="527">
        <f t="shared" si="1"/>
        <v>2178735.56</v>
      </c>
      <c r="I22" s="527"/>
      <c r="J22" s="527"/>
      <c r="K22" s="523"/>
      <c r="L22" s="515"/>
    </row>
    <row r="23" spans="1:12" s="9" customFormat="1" ht="15.6">
      <c r="A23" s="1266">
        <v>6</v>
      </c>
      <c r="B23" s="513">
        <f t="shared" si="2"/>
        <v>1993</v>
      </c>
      <c r="C23" s="513"/>
      <c r="D23" s="527">
        <f t="shared" si="3"/>
        <v>98043100.199999988</v>
      </c>
      <c r="E23" s="527"/>
      <c r="F23" s="56">
        <f t="shared" si="0"/>
        <v>95864364.639999986</v>
      </c>
      <c r="G23" s="56"/>
      <c r="H23" s="527">
        <f t="shared" si="1"/>
        <v>2178735.56</v>
      </c>
      <c r="I23" s="527"/>
      <c r="J23" s="527"/>
      <c r="K23" s="523"/>
      <c r="L23" s="515"/>
    </row>
    <row r="24" spans="1:12" s="9" customFormat="1" ht="15.6">
      <c r="A24" s="1266">
        <v>7</v>
      </c>
      <c r="B24" s="513">
        <f t="shared" si="2"/>
        <v>1994</v>
      </c>
      <c r="C24" s="513"/>
      <c r="D24" s="527">
        <f t="shared" si="3"/>
        <v>95864364.639999986</v>
      </c>
      <c r="E24" s="527"/>
      <c r="F24" s="56">
        <f t="shared" si="0"/>
        <v>93685629.079999983</v>
      </c>
      <c r="G24" s="56"/>
      <c r="H24" s="527">
        <f t="shared" si="1"/>
        <v>2178735.56</v>
      </c>
      <c r="I24" s="527"/>
      <c r="J24" s="527"/>
      <c r="K24" s="523"/>
      <c r="L24" s="515"/>
    </row>
    <row r="25" spans="1:12" s="9" customFormat="1" ht="15.6">
      <c r="A25" s="1266">
        <v>8</v>
      </c>
      <c r="B25" s="513">
        <f t="shared" si="2"/>
        <v>1995</v>
      </c>
      <c r="C25" s="513"/>
      <c r="D25" s="527">
        <f t="shared" si="3"/>
        <v>93685629.079999983</v>
      </c>
      <c r="E25" s="527"/>
      <c r="F25" s="56">
        <f t="shared" si="0"/>
        <v>91506893.519999981</v>
      </c>
      <c r="G25" s="56"/>
      <c r="H25" s="527">
        <f t="shared" si="1"/>
        <v>2178735.56</v>
      </c>
      <c r="I25" s="527"/>
      <c r="J25" s="527"/>
      <c r="K25" s="523"/>
      <c r="L25" s="515"/>
    </row>
    <row r="26" spans="1:12" s="9" customFormat="1" ht="15.6">
      <c r="A26" s="1266">
        <v>9</v>
      </c>
      <c r="B26" s="513">
        <f t="shared" si="2"/>
        <v>1996</v>
      </c>
      <c r="C26" s="513"/>
      <c r="D26" s="527">
        <f t="shared" si="3"/>
        <v>91506893.519999981</v>
      </c>
      <c r="E26" s="527"/>
      <c r="F26" s="56">
        <f t="shared" si="0"/>
        <v>89328157.959999979</v>
      </c>
      <c r="G26" s="56"/>
      <c r="H26" s="527">
        <f t="shared" si="1"/>
        <v>2178735.56</v>
      </c>
      <c r="I26" s="527"/>
      <c r="J26" s="527"/>
      <c r="K26" s="523"/>
      <c r="L26" s="515"/>
    </row>
    <row r="27" spans="1:12" s="9" customFormat="1" ht="15.6">
      <c r="A27" s="1266">
        <v>10</v>
      </c>
      <c r="B27" s="513">
        <f t="shared" si="2"/>
        <v>1997</v>
      </c>
      <c r="C27" s="513"/>
      <c r="D27" s="527">
        <f t="shared" si="3"/>
        <v>89328157.959999979</v>
      </c>
      <c r="E27" s="527"/>
      <c r="F27" s="56">
        <f t="shared" si="0"/>
        <v>87149422.399999976</v>
      </c>
      <c r="G27" s="56"/>
      <c r="H27" s="527">
        <f t="shared" si="1"/>
        <v>2178735.56</v>
      </c>
      <c r="I27" s="527"/>
      <c r="J27" s="528"/>
      <c r="K27" s="523"/>
      <c r="L27" s="529"/>
    </row>
    <row r="28" spans="1:12" s="9" customFormat="1" ht="15.6">
      <c r="A28" s="1266">
        <v>11</v>
      </c>
      <c r="B28" s="513">
        <f t="shared" si="2"/>
        <v>1998</v>
      </c>
      <c r="C28" s="513"/>
      <c r="D28" s="527">
        <f t="shared" si="3"/>
        <v>87149422.399999976</v>
      </c>
      <c r="E28" s="527"/>
      <c r="F28" s="56">
        <f t="shared" si="0"/>
        <v>84970686.839999974</v>
      </c>
      <c r="G28" s="56"/>
      <c r="H28" s="527">
        <f t="shared" si="1"/>
        <v>2178735.56</v>
      </c>
      <c r="I28" s="527"/>
      <c r="J28" s="527"/>
      <c r="K28" s="523"/>
      <c r="L28" s="515"/>
    </row>
    <row r="29" spans="1:12" s="9" customFormat="1" ht="15.6">
      <c r="A29" s="1266">
        <v>12</v>
      </c>
      <c r="B29" s="513">
        <f t="shared" si="2"/>
        <v>1999</v>
      </c>
      <c r="C29" s="513"/>
      <c r="D29" s="527">
        <f t="shared" si="3"/>
        <v>84970686.839999974</v>
      </c>
      <c r="E29" s="527"/>
      <c r="F29" s="56">
        <f t="shared" si="0"/>
        <v>82791951.279999971</v>
      </c>
      <c r="G29" s="56"/>
      <c r="H29" s="527">
        <f t="shared" si="1"/>
        <v>2178735.56</v>
      </c>
      <c r="I29" s="527"/>
      <c r="J29" s="527"/>
      <c r="K29" s="523"/>
      <c r="L29" s="515"/>
    </row>
    <row r="30" spans="1:12" s="9" customFormat="1" ht="15.6">
      <c r="A30" s="1266">
        <v>13</v>
      </c>
      <c r="B30" s="513">
        <f t="shared" si="2"/>
        <v>2000</v>
      </c>
      <c r="C30" s="513"/>
      <c r="D30" s="527">
        <f t="shared" si="3"/>
        <v>82791951.279999971</v>
      </c>
      <c r="E30" s="527"/>
      <c r="F30" s="56">
        <f t="shared" si="0"/>
        <v>80613215.719999969</v>
      </c>
      <c r="G30" s="56"/>
      <c r="H30" s="527">
        <f t="shared" si="1"/>
        <v>2178735.56</v>
      </c>
      <c r="I30" s="527"/>
      <c r="J30" s="527"/>
      <c r="K30" s="523"/>
      <c r="L30" s="515"/>
    </row>
    <row r="31" spans="1:12" s="9" customFormat="1" ht="15.6">
      <c r="A31" s="1266">
        <v>14</v>
      </c>
      <c r="B31" s="513">
        <f t="shared" si="2"/>
        <v>2001</v>
      </c>
      <c r="C31" s="513"/>
      <c r="D31" s="527">
        <f t="shared" si="3"/>
        <v>80613215.719999969</v>
      </c>
      <c r="E31" s="527"/>
      <c r="F31" s="56">
        <f t="shared" si="0"/>
        <v>78434480.159999967</v>
      </c>
      <c r="G31" s="56"/>
      <c r="H31" s="527">
        <f t="shared" si="1"/>
        <v>2178735.56</v>
      </c>
      <c r="I31" s="527"/>
      <c r="J31" s="527"/>
      <c r="K31" s="523"/>
      <c r="L31" s="515"/>
    </row>
    <row r="32" spans="1:12" s="9" customFormat="1" ht="15.6">
      <c r="A32" s="1266">
        <v>15</v>
      </c>
      <c r="B32" s="513">
        <f t="shared" si="2"/>
        <v>2002</v>
      </c>
      <c r="C32" s="513"/>
      <c r="D32" s="527">
        <f t="shared" si="3"/>
        <v>78434480.159999967</v>
      </c>
      <c r="E32" s="527"/>
      <c r="F32" s="56">
        <f t="shared" si="0"/>
        <v>76255744.599999964</v>
      </c>
      <c r="G32" s="56"/>
      <c r="H32" s="527">
        <f t="shared" si="1"/>
        <v>2178735.56</v>
      </c>
      <c r="I32" s="527"/>
      <c r="J32" s="527"/>
      <c r="K32" s="523"/>
      <c r="L32" s="515"/>
    </row>
    <row r="33" spans="1:12" s="9" customFormat="1" ht="15.6">
      <c r="A33" s="1266">
        <v>16</v>
      </c>
      <c r="B33" s="513">
        <f t="shared" si="2"/>
        <v>2003</v>
      </c>
      <c r="C33" s="513"/>
      <c r="D33" s="527">
        <f t="shared" si="3"/>
        <v>76255744.599999964</v>
      </c>
      <c r="E33" s="527"/>
      <c r="F33" s="56">
        <f t="shared" si="0"/>
        <v>74077009.039999962</v>
      </c>
      <c r="G33" s="56"/>
      <c r="H33" s="527">
        <f t="shared" si="1"/>
        <v>2178735.56</v>
      </c>
      <c r="I33" s="527"/>
      <c r="J33" s="527"/>
      <c r="K33" s="523"/>
      <c r="L33" s="515"/>
    </row>
    <row r="34" spans="1:12" s="9" customFormat="1" ht="15.6">
      <c r="A34" s="1266">
        <v>17</v>
      </c>
      <c r="B34" s="513">
        <f t="shared" si="2"/>
        <v>2004</v>
      </c>
      <c r="C34" s="513"/>
      <c r="D34" s="527">
        <f t="shared" si="3"/>
        <v>74077009.039999962</v>
      </c>
      <c r="E34" s="527"/>
      <c r="F34" s="56">
        <f t="shared" si="0"/>
        <v>71898273.479999959</v>
      </c>
      <c r="G34" s="56"/>
      <c r="H34" s="527">
        <f t="shared" si="1"/>
        <v>2178735.56</v>
      </c>
      <c r="I34" s="527"/>
      <c r="J34" s="527"/>
      <c r="K34" s="523"/>
      <c r="L34" s="515"/>
    </row>
    <row r="35" spans="1:12" s="9" customFormat="1" ht="15.6">
      <c r="A35" s="1266">
        <v>18</v>
      </c>
      <c r="B35" s="513">
        <f t="shared" si="2"/>
        <v>2005</v>
      </c>
      <c r="C35" s="513"/>
      <c r="D35" s="527">
        <f t="shared" si="3"/>
        <v>71898273.479999959</v>
      </c>
      <c r="E35" s="527"/>
      <c r="F35" s="56">
        <f t="shared" si="0"/>
        <v>69719537.919999957</v>
      </c>
      <c r="G35" s="56"/>
      <c r="H35" s="527">
        <f t="shared" si="1"/>
        <v>2178735.56</v>
      </c>
      <c r="I35" s="527"/>
      <c r="J35" s="527"/>
      <c r="K35" s="523"/>
      <c r="L35" s="515"/>
    </row>
    <row r="36" spans="1:12" s="9" customFormat="1" ht="15.6">
      <c r="A36" s="1266">
        <v>19</v>
      </c>
      <c r="B36" s="513">
        <f t="shared" si="2"/>
        <v>2006</v>
      </c>
      <c r="C36" s="513"/>
      <c r="D36" s="527">
        <f t="shared" si="3"/>
        <v>69719537.919999957</v>
      </c>
      <c r="E36" s="527"/>
      <c r="F36" s="56">
        <f t="shared" si="0"/>
        <v>67540802.359999955</v>
      </c>
      <c r="G36" s="56"/>
      <c r="H36" s="527">
        <f t="shared" si="1"/>
        <v>2178735.56</v>
      </c>
      <c r="I36" s="527"/>
      <c r="J36" s="527"/>
      <c r="K36" s="523"/>
      <c r="L36" s="515"/>
    </row>
    <row r="37" spans="1:12" s="9" customFormat="1" ht="15.6">
      <c r="A37" s="1266">
        <v>20</v>
      </c>
      <c r="B37" s="513">
        <f t="shared" si="2"/>
        <v>2007</v>
      </c>
      <c r="C37" s="513"/>
      <c r="D37" s="527">
        <f t="shared" si="3"/>
        <v>67540802.359999955</v>
      </c>
      <c r="E37" s="527"/>
      <c r="F37" s="56">
        <f t="shared" si="0"/>
        <v>65362066.799999952</v>
      </c>
      <c r="G37" s="56"/>
      <c r="H37" s="527">
        <f t="shared" si="1"/>
        <v>2178735.56</v>
      </c>
      <c r="I37" s="527"/>
      <c r="J37" s="527"/>
      <c r="K37" s="523"/>
      <c r="L37" s="515"/>
    </row>
    <row r="38" spans="1:12" s="9" customFormat="1" ht="15.6">
      <c r="A38" s="1266">
        <v>21</v>
      </c>
      <c r="B38" s="513">
        <f t="shared" si="2"/>
        <v>2008</v>
      </c>
      <c r="C38" s="513"/>
      <c r="D38" s="527">
        <f t="shared" si="3"/>
        <v>65362066.799999952</v>
      </c>
      <c r="E38" s="527"/>
      <c r="F38" s="56">
        <f t="shared" si="0"/>
        <v>63183331.23999995</v>
      </c>
      <c r="G38" s="56"/>
      <c r="H38" s="527">
        <f t="shared" si="1"/>
        <v>2178735.56</v>
      </c>
      <c r="I38" s="527"/>
      <c r="J38" s="527"/>
      <c r="K38" s="523"/>
      <c r="L38" s="515"/>
    </row>
    <row r="39" spans="1:12" s="9" customFormat="1" ht="15.6">
      <c r="A39" s="1266">
        <v>22</v>
      </c>
      <c r="B39" s="513">
        <f t="shared" si="2"/>
        <v>2009</v>
      </c>
      <c r="C39" s="513"/>
      <c r="D39" s="527">
        <f t="shared" si="3"/>
        <v>63183331.23999995</v>
      </c>
      <c r="E39" s="527"/>
      <c r="F39" s="56">
        <f t="shared" si="0"/>
        <v>61004595.679999948</v>
      </c>
      <c r="G39" s="56"/>
      <c r="H39" s="527">
        <f t="shared" si="1"/>
        <v>2178735.56</v>
      </c>
      <c r="I39" s="527"/>
      <c r="J39" s="527"/>
      <c r="K39" s="523"/>
      <c r="L39" s="515"/>
    </row>
    <row r="40" spans="1:12" s="9" customFormat="1" ht="15.6">
      <c r="A40" s="1266">
        <v>23</v>
      </c>
      <c r="B40" s="513">
        <f t="shared" si="2"/>
        <v>2010</v>
      </c>
      <c r="C40" s="513"/>
      <c r="D40" s="527">
        <f t="shared" si="3"/>
        <v>61004595.679999948</v>
      </c>
      <c r="E40" s="527"/>
      <c r="F40" s="56">
        <f t="shared" si="0"/>
        <v>58825860.119999945</v>
      </c>
      <c r="G40" s="56"/>
      <c r="H40" s="527">
        <f t="shared" si="1"/>
        <v>2178735.56</v>
      </c>
      <c r="I40" s="527"/>
      <c r="J40" s="528"/>
      <c r="K40" s="523"/>
      <c r="L40" s="529"/>
    </row>
    <row r="41" spans="1:12" s="9" customFormat="1" ht="15.6">
      <c r="A41" s="1266">
        <v>24</v>
      </c>
      <c r="B41" s="513">
        <f t="shared" si="2"/>
        <v>2011</v>
      </c>
      <c r="C41" s="513"/>
      <c r="D41" s="527">
        <f t="shared" si="3"/>
        <v>58825860.119999945</v>
      </c>
      <c r="E41" s="527"/>
      <c r="F41" s="56">
        <f t="shared" si="0"/>
        <v>56647124.559999943</v>
      </c>
      <c r="G41" s="56"/>
      <c r="H41" s="527">
        <f t="shared" si="1"/>
        <v>2178735.56</v>
      </c>
      <c r="I41" s="527"/>
      <c r="J41" s="528"/>
      <c r="K41" s="523"/>
      <c r="L41" s="529"/>
    </row>
    <row r="42" spans="1:12" s="9" customFormat="1" ht="15.6">
      <c r="A42" s="1266">
        <v>25</v>
      </c>
      <c r="B42" s="530">
        <f t="shared" si="2"/>
        <v>2012</v>
      </c>
      <c r="C42" s="530"/>
      <c r="D42" s="531">
        <f t="shared" si="3"/>
        <v>56647124.559999943</v>
      </c>
      <c r="E42" s="531"/>
      <c r="F42" s="532">
        <f t="shared" si="0"/>
        <v>54468388.99999994</v>
      </c>
      <c r="G42" s="532"/>
      <c r="H42" s="531">
        <f t="shared" si="1"/>
        <v>2178735.56</v>
      </c>
      <c r="I42" s="531"/>
      <c r="J42" s="533"/>
      <c r="K42" s="523"/>
      <c r="L42" s="529"/>
    </row>
    <row r="43" spans="1:12" s="9" customFormat="1" ht="15.6">
      <c r="A43" s="1266">
        <v>26</v>
      </c>
      <c r="B43" s="513">
        <f t="shared" si="2"/>
        <v>2013</v>
      </c>
      <c r="C43" s="513"/>
      <c r="D43" s="531">
        <f t="shared" si="3"/>
        <v>54468388.99999994</v>
      </c>
      <c r="E43" s="531"/>
      <c r="F43" s="532">
        <f t="shared" si="0"/>
        <v>52289653.439999938</v>
      </c>
      <c r="G43" s="532"/>
      <c r="H43" s="531">
        <f t="shared" si="1"/>
        <v>2178735.56</v>
      </c>
      <c r="I43" s="531"/>
      <c r="J43" s="533"/>
      <c r="K43" s="523"/>
      <c r="L43" s="529"/>
    </row>
    <row r="44" spans="1:12" s="9" customFormat="1" ht="15.6">
      <c r="A44" s="1266">
        <v>27</v>
      </c>
      <c r="B44" s="513">
        <f t="shared" si="2"/>
        <v>2014</v>
      </c>
      <c r="C44" s="513"/>
      <c r="D44" s="531">
        <f t="shared" si="3"/>
        <v>52289653.439999938</v>
      </c>
      <c r="E44" s="531"/>
      <c r="F44" s="532">
        <f t="shared" si="0"/>
        <v>50110917.879999936</v>
      </c>
      <c r="G44" s="532"/>
      <c r="H44" s="531">
        <f t="shared" si="1"/>
        <v>2178735.56</v>
      </c>
      <c r="I44" s="531"/>
      <c r="J44" s="533"/>
      <c r="K44" s="523"/>
      <c r="L44" s="529"/>
    </row>
    <row r="45" spans="1:12" s="9" customFormat="1" ht="15.6">
      <c r="A45" s="1266">
        <v>28</v>
      </c>
      <c r="B45" s="513">
        <f t="shared" si="2"/>
        <v>2015</v>
      </c>
      <c r="C45" s="513"/>
      <c r="D45" s="527">
        <f t="shared" si="3"/>
        <v>50110917.879999936</v>
      </c>
      <c r="E45" s="527"/>
      <c r="F45" s="56">
        <f t="shared" si="0"/>
        <v>47932182.319999933</v>
      </c>
      <c r="G45" s="56"/>
      <c r="H45" s="527">
        <f t="shared" si="1"/>
        <v>2178735.56</v>
      </c>
      <c r="I45" s="527"/>
      <c r="J45" s="533"/>
      <c r="K45" s="523"/>
      <c r="L45" s="515"/>
    </row>
    <row r="46" spans="1:12" s="9" customFormat="1" ht="15.6">
      <c r="A46" s="1266">
        <v>29</v>
      </c>
      <c r="B46" s="513">
        <f t="shared" si="2"/>
        <v>2016</v>
      </c>
      <c r="C46" s="513"/>
      <c r="D46" s="527">
        <f t="shared" si="3"/>
        <v>47932182.319999933</v>
      </c>
      <c r="E46" s="527"/>
      <c r="F46" s="56">
        <f t="shared" si="0"/>
        <v>45753446.759999931</v>
      </c>
      <c r="G46" s="56"/>
      <c r="H46" s="527">
        <f t="shared" si="1"/>
        <v>2178735.56</v>
      </c>
      <c r="I46" s="527"/>
      <c r="J46" s="533"/>
      <c r="K46" s="523"/>
      <c r="L46" s="515"/>
    </row>
    <row r="47" spans="1:12" s="9" customFormat="1" ht="15.6">
      <c r="A47" s="1266">
        <v>30</v>
      </c>
      <c r="B47" s="513">
        <f t="shared" si="2"/>
        <v>2017</v>
      </c>
      <c r="C47" s="513"/>
      <c r="D47" s="527">
        <f t="shared" si="3"/>
        <v>45753446.759999931</v>
      </c>
      <c r="E47" s="527"/>
      <c r="F47" s="56">
        <f t="shared" si="0"/>
        <v>43574711.199999928</v>
      </c>
      <c r="G47" s="56"/>
      <c r="H47" s="527">
        <f t="shared" si="1"/>
        <v>2178735.56</v>
      </c>
      <c r="I47" s="527"/>
      <c r="J47" s="533"/>
      <c r="K47" s="523"/>
      <c r="L47" s="515"/>
    </row>
    <row r="48" spans="1:12" s="9" customFormat="1" ht="15.6">
      <c r="A48" s="1266">
        <v>31</v>
      </c>
      <c r="B48" s="513">
        <f t="shared" si="2"/>
        <v>2018</v>
      </c>
      <c r="C48" s="513"/>
      <c r="D48" s="527">
        <f t="shared" si="3"/>
        <v>43574711.199999928</v>
      </c>
      <c r="E48" s="527"/>
      <c r="F48" s="56">
        <f t="shared" si="0"/>
        <v>41395975.639999926</v>
      </c>
      <c r="G48" s="56"/>
      <c r="H48" s="527">
        <f t="shared" si="1"/>
        <v>2178735.56</v>
      </c>
      <c r="I48" s="527"/>
      <c r="J48" s="533"/>
      <c r="K48" s="523"/>
      <c r="L48" s="515"/>
    </row>
    <row r="49" spans="1:12" s="9" customFormat="1" ht="15.6">
      <c r="A49" s="1266">
        <v>32</v>
      </c>
      <c r="B49" s="513">
        <f t="shared" si="2"/>
        <v>2019</v>
      </c>
      <c r="C49" s="513"/>
      <c r="D49" s="527">
        <f t="shared" si="3"/>
        <v>41395975.639999926</v>
      </c>
      <c r="E49" s="527"/>
      <c r="F49" s="56">
        <f t="shared" si="0"/>
        <v>39217240.079999924</v>
      </c>
      <c r="G49" s="56"/>
      <c r="H49" s="527">
        <f t="shared" si="1"/>
        <v>2178735.56</v>
      </c>
      <c r="I49" s="527"/>
      <c r="J49" s="533"/>
      <c r="K49" s="523"/>
      <c r="L49" s="515"/>
    </row>
    <row r="50" spans="1:12" s="9" customFormat="1" ht="15.6">
      <c r="A50" s="1266">
        <v>33</v>
      </c>
      <c r="B50" s="513">
        <f t="shared" si="2"/>
        <v>2020</v>
      </c>
      <c r="C50" s="513"/>
      <c r="D50" s="527">
        <f t="shared" si="3"/>
        <v>39217240.079999924</v>
      </c>
      <c r="E50" s="527"/>
      <c r="F50" s="56">
        <f t="shared" ref="F50:F66" si="4">D50-H50</f>
        <v>37038504.519999921</v>
      </c>
      <c r="G50" s="56"/>
      <c r="H50" s="527">
        <f t="shared" ref="H50:H67" si="5">$D$18/50</f>
        <v>2178735.56</v>
      </c>
      <c r="I50" s="527"/>
      <c r="J50" s="533"/>
      <c r="K50" s="523"/>
      <c r="L50" s="515"/>
    </row>
    <row r="51" spans="1:12" s="9" customFormat="1" ht="15.6">
      <c r="A51" s="1266">
        <v>34</v>
      </c>
      <c r="B51" s="513">
        <f t="shared" si="2"/>
        <v>2021</v>
      </c>
      <c r="C51" s="513"/>
      <c r="D51" s="527">
        <f t="shared" ref="D51:D67" si="6">D50-H50</f>
        <v>37038504.519999921</v>
      </c>
      <c r="E51" s="527"/>
      <c r="F51" s="56">
        <f t="shared" si="4"/>
        <v>34859768.959999919</v>
      </c>
      <c r="G51" s="56"/>
      <c r="H51" s="527">
        <f t="shared" si="5"/>
        <v>2178735.56</v>
      </c>
      <c r="I51" s="527"/>
      <c r="K51" s="523"/>
      <c r="L51" s="515"/>
    </row>
    <row r="52" spans="1:12" s="9" customFormat="1" ht="15.6">
      <c r="A52" s="1266">
        <v>35</v>
      </c>
      <c r="B52" s="513">
        <f t="shared" si="2"/>
        <v>2022</v>
      </c>
      <c r="C52" s="513"/>
      <c r="D52" s="527">
        <f t="shared" si="6"/>
        <v>34859768.959999919</v>
      </c>
      <c r="E52" s="527"/>
      <c r="F52" s="56">
        <f t="shared" si="4"/>
        <v>32681033.39999992</v>
      </c>
      <c r="G52" s="56"/>
      <c r="H52" s="527">
        <f t="shared" si="5"/>
        <v>2178735.56</v>
      </c>
      <c r="I52" s="527"/>
      <c r="J52" s="534">
        <f>+(F51+F52)/2</f>
        <v>33770401.179999918</v>
      </c>
      <c r="K52" s="523"/>
      <c r="L52" s="515"/>
    </row>
    <row r="53" spans="1:12" s="9" customFormat="1" ht="15.6">
      <c r="A53" s="1266">
        <v>36</v>
      </c>
      <c r="B53" s="513">
        <f t="shared" si="2"/>
        <v>2023</v>
      </c>
      <c r="C53" s="513"/>
      <c r="D53" s="527">
        <f t="shared" si="6"/>
        <v>32681033.39999992</v>
      </c>
      <c r="E53" s="527"/>
      <c r="F53" s="56">
        <f t="shared" si="4"/>
        <v>30502297.839999922</v>
      </c>
      <c r="G53" s="56"/>
      <c r="H53" s="527">
        <f t="shared" si="5"/>
        <v>2178735.56</v>
      </c>
      <c r="I53" s="527"/>
      <c r="J53" s="526"/>
      <c r="K53" s="523"/>
      <c r="L53" s="515"/>
    </row>
    <row r="54" spans="1:12" s="9" customFormat="1" ht="15.6">
      <c r="A54" s="1266">
        <v>37</v>
      </c>
      <c r="B54" s="513">
        <f t="shared" si="2"/>
        <v>2024</v>
      </c>
      <c r="C54" s="513"/>
      <c r="D54" s="527">
        <f t="shared" si="6"/>
        <v>30502297.839999922</v>
      </c>
      <c r="E54" s="527"/>
      <c r="F54" s="56">
        <f t="shared" si="4"/>
        <v>28323562.279999923</v>
      </c>
      <c r="G54" s="56"/>
      <c r="H54" s="527">
        <f t="shared" si="5"/>
        <v>2178735.56</v>
      </c>
      <c r="I54" s="527"/>
      <c r="J54" s="526"/>
      <c r="K54" s="523"/>
      <c r="L54" s="515"/>
    </row>
    <row r="55" spans="1:12" s="9" customFormat="1" ht="15.6">
      <c r="A55" s="1266">
        <v>38</v>
      </c>
      <c r="B55" s="513">
        <f t="shared" si="2"/>
        <v>2025</v>
      </c>
      <c r="C55" s="513"/>
      <c r="D55" s="527">
        <f t="shared" si="6"/>
        <v>28323562.279999923</v>
      </c>
      <c r="E55" s="527"/>
      <c r="F55" s="56">
        <f t="shared" si="4"/>
        <v>26144826.719999924</v>
      </c>
      <c r="G55" s="56"/>
      <c r="H55" s="527">
        <f t="shared" si="5"/>
        <v>2178735.56</v>
      </c>
      <c r="I55" s="527"/>
      <c r="J55" s="526"/>
      <c r="K55" s="523"/>
      <c r="L55" s="515"/>
    </row>
    <row r="56" spans="1:12" s="9" customFormat="1" ht="15.6">
      <c r="A56" s="1266">
        <v>39</v>
      </c>
      <c r="B56" s="513">
        <f t="shared" si="2"/>
        <v>2026</v>
      </c>
      <c r="C56" s="513"/>
      <c r="D56" s="527">
        <f t="shared" si="6"/>
        <v>26144826.719999924</v>
      </c>
      <c r="E56" s="527"/>
      <c r="F56" s="56">
        <f t="shared" si="4"/>
        <v>23966091.159999926</v>
      </c>
      <c r="G56" s="56"/>
      <c r="H56" s="527">
        <f t="shared" si="5"/>
        <v>2178735.56</v>
      </c>
      <c r="I56" s="527"/>
      <c r="J56" s="526"/>
      <c r="K56" s="523"/>
      <c r="L56" s="515"/>
    </row>
    <row r="57" spans="1:12" s="9" customFormat="1" ht="15.6">
      <c r="A57" s="1266">
        <v>40</v>
      </c>
      <c r="B57" s="513">
        <f t="shared" si="2"/>
        <v>2027</v>
      </c>
      <c r="C57" s="513"/>
      <c r="D57" s="527">
        <f t="shared" si="6"/>
        <v>23966091.159999926</v>
      </c>
      <c r="E57" s="527"/>
      <c r="F57" s="56">
        <f t="shared" si="4"/>
        <v>21787355.599999927</v>
      </c>
      <c r="G57" s="56"/>
      <c r="H57" s="527">
        <f t="shared" si="5"/>
        <v>2178735.56</v>
      </c>
      <c r="I57" s="527"/>
      <c r="J57" s="526"/>
      <c r="K57" s="523"/>
      <c r="L57" s="515"/>
    </row>
    <row r="58" spans="1:12" s="9" customFormat="1" ht="15.6">
      <c r="A58" s="1266">
        <v>41</v>
      </c>
      <c r="B58" s="513">
        <f t="shared" si="2"/>
        <v>2028</v>
      </c>
      <c r="C58" s="513"/>
      <c r="D58" s="527">
        <f t="shared" si="6"/>
        <v>21787355.599999927</v>
      </c>
      <c r="E58" s="527"/>
      <c r="F58" s="56">
        <f t="shared" si="4"/>
        <v>19608620.039999928</v>
      </c>
      <c r="G58" s="56"/>
      <c r="H58" s="527">
        <f t="shared" si="5"/>
        <v>2178735.56</v>
      </c>
      <c r="I58" s="527"/>
      <c r="J58" s="526"/>
      <c r="K58" s="523"/>
      <c r="L58" s="515"/>
    </row>
    <row r="59" spans="1:12" s="9" customFormat="1" ht="15.6">
      <c r="A59" s="1266">
        <v>42</v>
      </c>
      <c r="B59" s="513">
        <f t="shared" si="2"/>
        <v>2029</v>
      </c>
      <c r="C59" s="513"/>
      <c r="D59" s="527">
        <f t="shared" si="6"/>
        <v>19608620.039999928</v>
      </c>
      <c r="E59" s="527"/>
      <c r="F59" s="56">
        <f t="shared" si="4"/>
        <v>17429884.47999993</v>
      </c>
      <c r="G59" s="56"/>
      <c r="H59" s="527">
        <f t="shared" si="5"/>
        <v>2178735.56</v>
      </c>
      <c r="I59" s="527"/>
      <c r="J59" s="526"/>
      <c r="K59" s="523"/>
      <c r="L59" s="515"/>
    </row>
    <row r="60" spans="1:12" s="9" customFormat="1" ht="15.6">
      <c r="A60" s="1266">
        <v>43</v>
      </c>
      <c r="B60" s="513">
        <f t="shared" si="2"/>
        <v>2030</v>
      </c>
      <c r="C60" s="513"/>
      <c r="D60" s="527">
        <f t="shared" si="6"/>
        <v>17429884.47999993</v>
      </c>
      <c r="E60" s="527"/>
      <c r="F60" s="56">
        <f t="shared" si="4"/>
        <v>15251148.919999929</v>
      </c>
      <c r="G60" s="56"/>
      <c r="H60" s="527">
        <f t="shared" si="5"/>
        <v>2178735.56</v>
      </c>
      <c r="I60" s="527"/>
      <c r="J60" s="526"/>
      <c r="K60" s="523"/>
      <c r="L60" s="515"/>
    </row>
    <row r="61" spans="1:12" s="9" customFormat="1" ht="15.6">
      <c r="A61" s="1266">
        <v>44</v>
      </c>
      <c r="B61" s="513">
        <f t="shared" si="2"/>
        <v>2031</v>
      </c>
      <c r="C61" s="513"/>
      <c r="D61" s="527">
        <f t="shared" si="6"/>
        <v>15251148.919999929</v>
      </c>
      <c r="E61" s="527"/>
      <c r="F61" s="56">
        <f t="shared" si="4"/>
        <v>13072413.359999929</v>
      </c>
      <c r="G61" s="56"/>
      <c r="H61" s="527">
        <f t="shared" si="5"/>
        <v>2178735.56</v>
      </c>
      <c r="I61" s="527"/>
      <c r="J61" s="526"/>
      <c r="K61" s="523"/>
      <c r="L61" s="515"/>
    </row>
    <row r="62" spans="1:12" s="9" customFormat="1" ht="15.6">
      <c r="A62" s="1266">
        <v>45</v>
      </c>
      <c r="B62" s="513">
        <f t="shared" si="2"/>
        <v>2032</v>
      </c>
      <c r="C62" s="513"/>
      <c r="D62" s="527">
        <f t="shared" si="6"/>
        <v>13072413.359999929</v>
      </c>
      <c r="E62" s="527"/>
      <c r="F62" s="56">
        <f t="shared" si="4"/>
        <v>10893677.799999928</v>
      </c>
      <c r="G62" s="56"/>
      <c r="H62" s="527">
        <f t="shared" si="5"/>
        <v>2178735.56</v>
      </c>
      <c r="I62" s="527"/>
      <c r="J62" s="526"/>
      <c r="K62" s="523"/>
      <c r="L62" s="515"/>
    </row>
    <row r="63" spans="1:12" s="9" customFormat="1" ht="15.6">
      <c r="A63" s="1266">
        <v>46</v>
      </c>
      <c r="B63" s="513">
        <f t="shared" si="2"/>
        <v>2033</v>
      </c>
      <c r="C63" s="513"/>
      <c r="D63" s="527">
        <f t="shared" si="6"/>
        <v>10893677.799999928</v>
      </c>
      <c r="E63" s="527"/>
      <c r="F63" s="56">
        <f t="shared" si="4"/>
        <v>8714942.2399999276</v>
      </c>
      <c r="G63" s="56"/>
      <c r="H63" s="527">
        <f t="shared" si="5"/>
        <v>2178735.56</v>
      </c>
      <c r="I63" s="527"/>
      <c r="J63" s="526"/>
      <c r="K63" s="523"/>
      <c r="L63" s="515"/>
    </row>
    <row r="64" spans="1:12" s="9" customFormat="1" ht="15.6">
      <c r="A64" s="1266">
        <v>47</v>
      </c>
      <c r="B64" s="513">
        <f t="shared" si="2"/>
        <v>2034</v>
      </c>
      <c r="C64" s="513"/>
      <c r="D64" s="527">
        <f t="shared" si="6"/>
        <v>8714942.2399999276</v>
      </c>
      <c r="E64" s="527"/>
      <c r="F64" s="56">
        <f t="shared" si="4"/>
        <v>6536206.6799999271</v>
      </c>
      <c r="G64" s="56"/>
      <c r="H64" s="527">
        <f t="shared" si="5"/>
        <v>2178735.56</v>
      </c>
      <c r="I64" s="527"/>
      <c r="J64" s="526"/>
      <c r="K64" s="523"/>
      <c r="L64" s="515"/>
    </row>
    <row r="65" spans="1:12" s="9" customFormat="1" ht="15.6">
      <c r="A65" s="1266">
        <v>48</v>
      </c>
      <c r="B65" s="513">
        <f t="shared" si="2"/>
        <v>2035</v>
      </c>
      <c r="C65" s="513"/>
      <c r="D65" s="527">
        <f t="shared" si="6"/>
        <v>6536206.6799999271</v>
      </c>
      <c r="E65" s="527"/>
      <c r="F65" s="56">
        <f t="shared" si="4"/>
        <v>4357471.1199999265</v>
      </c>
      <c r="G65" s="56"/>
      <c r="H65" s="527">
        <f t="shared" si="5"/>
        <v>2178735.56</v>
      </c>
      <c r="I65" s="527"/>
      <c r="J65" s="526"/>
      <c r="K65" s="523"/>
      <c r="L65" s="515"/>
    </row>
    <row r="66" spans="1:12" s="9" customFormat="1" ht="15.6">
      <c r="A66" s="1266">
        <v>49</v>
      </c>
      <c r="B66" s="513">
        <f t="shared" si="2"/>
        <v>2036</v>
      </c>
      <c r="C66" s="513"/>
      <c r="D66" s="527">
        <f t="shared" si="6"/>
        <v>4357471.1199999265</v>
      </c>
      <c r="E66" s="527"/>
      <c r="F66" s="56">
        <f t="shared" si="4"/>
        <v>2178735.5599999265</v>
      </c>
      <c r="G66" s="56"/>
      <c r="H66" s="527">
        <f t="shared" si="5"/>
        <v>2178735.56</v>
      </c>
      <c r="I66" s="527"/>
      <c r="J66" s="526"/>
      <c r="K66" s="523"/>
      <c r="L66" s="515"/>
    </row>
    <row r="67" spans="1:12" s="9" customFormat="1" ht="15.6">
      <c r="A67" s="1266">
        <v>50</v>
      </c>
      <c r="B67" s="513">
        <f t="shared" si="2"/>
        <v>2037</v>
      </c>
      <c r="C67" s="513"/>
      <c r="D67" s="1197">
        <f t="shared" si="6"/>
        <v>2178735.5599999265</v>
      </c>
      <c r="E67" s="527"/>
      <c r="F67" s="1194">
        <f>D67-H67</f>
        <v>-7.3574483394622803E-8</v>
      </c>
      <c r="G67" s="56"/>
      <c r="H67" s="1197">
        <f t="shared" si="5"/>
        <v>2178735.56</v>
      </c>
      <c r="I67" s="527"/>
      <c r="J67" s="526"/>
      <c r="K67" s="523"/>
      <c r="L67" s="515"/>
    </row>
    <row r="68" spans="1:12" s="9" customFormat="1" ht="15">
      <c r="B68" s="513"/>
      <c r="C68" s="513"/>
      <c r="D68" s="56"/>
      <c r="E68" s="527"/>
      <c r="F68" s="56"/>
      <c r="G68" s="56"/>
      <c r="H68" s="56"/>
      <c r="I68" s="56"/>
      <c r="J68" s="56"/>
      <c r="K68" s="515"/>
      <c r="L68" s="515"/>
    </row>
    <row r="69" spans="1:12" s="9" customFormat="1" ht="16.2" thickBot="1">
      <c r="A69" s="1266">
        <v>51</v>
      </c>
      <c r="B69" s="535" t="s">
        <v>157</v>
      </c>
      <c r="C69" s="513"/>
      <c r="D69" s="56"/>
      <c r="E69" s="527"/>
      <c r="F69" s="56"/>
      <c r="G69" s="56"/>
      <c r="H69" s="536">
        <f>SUM(H18:H67)</f>
        <v>108936778.00000007</v>
      </c>
      <c r="I69" s="537"/>
      <c r="J69" s="536">
        <f>SUM(J44:J67)</f>
        <v>33770401.179999918</v>
      </c>
      <c r="K69" s="515"/>
      <c r="L69" s="515"/>
    </row>
    <row r="70" spans="1:12" s="9" customFormat="1" ht="15.6" thickTop="1">
      <c r="C70" s="513"/>
      <c r="D70" s="56"/>
      <c r="E70" s="527"/>
      <c r="F70" s="56"/>
      <c r="G70" s="56"/>
      <c r="H70" s="56"/>
      <c r="I70" s="56"/>
      <c r="J70" s="56"/>
      <c r="K70" s="515"/>
      <c r="L70" s="515"/>
    </row>
    <row r="71" spans="1:12" s="11" customFormat="1" ht="13.8">
      <c r="D71" s="57"/>
      <c r="E71" s="57"/>
      <c r="F71" s="57"/>
      <c r="G71" s="57"/>
      <c r="H71" s="57"/>
      <c r="I71" s="57"/>
      <c r="J71" s="57"/>
      <c r="K71" s="538"/>
      <c r="L71" s="538"/>
    </row>
    <row r="72" spans="1:12" s="11" customFormat="1" ht="13.8">
      <c r="K72" s="538"/>
      <c r="L72" s="538"/>
    </row>
  </sheetData>
  <customSheetViews>
    <customSheetView guid="{343BF296-013A-41F5-BDAB-AD6220EA7F78}" scale="90" showPageBreaks="1" fitToPage="1" printArea="1" view="pageBreakPreview" topLeftCell="A4">
      <selection activeCell="D33" sqref="D33"/>
      <rowBreaks count="1" manualBreakCount="1">
        <brk id="71" max="16383" man="1"/>
      </rowBreaks>
      <pageMargins left="0" right="0" top="0" bottom="0" header="0" footer="0"/>
      <printOptions horizontalCentered="1"/>
      <pageSetup scale="64" orientation="portrait" r:id="rId1"/>
    </customSheetView>
    <customSheetView guid="{B321D76C-CDE5-48BB-9CDE-80FF97D58FCF}" scale="90" showPageBreaks="1" fitToPage="1" printArea="1" view="pageBreakPreview" topLeftCell="A4">
      <selection activeCell="D33" sqref="D33"/>
      <rowBreaks count="1" manualBreakCount="1">
        <brk id="71" max="16383" man="1"/>
      </rowBreaks>
      <pageMargins left="0" right="0" top="0" bottom="0" header="0" footer="0"/>
      <printOptions horizontalCentered="1"/>
      <pageSetup scale="65" orientation="portrait" r:id="rId2"/>
    </customSheetView>
  </customSheetViews>
  <mergeCells count="6">
    <mergeCell ref="A9:K9"/>
    <mergeCell ref="A7:K7"/>
    <mergeCell ref="A8:K8"/>
    <mergeCell ref="A3:K3"/>
    <mergeCell ref="A4:K4"/>
    <mergeCell ref="A5:K5"/>
  </mergeCells>
  <printOptions horizontalCentered="1"/>
  <pageMargins left="0.2" right="0.2" top="0.33" bottom="0.28000000000000003" header="0.05" footer="0.05"/>
  <pageSetup scale="65" orientation="portrait" r:id="rId3"/>
  <rowBreaks count="1" manualBreakCount="1">
    <brk id="71" max="16383" man="1"/>
  </rowBreaks>
  <ignoredErrors>
    <ignoredError sqref="B16:J16" numberStoredAsText="1"/>
  </ignoredErrors>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0070C0"/>
    <pageSetUpPr fitToPage="1"/>
  </sheetPr>
  <dimension ref="A1:Q49"/>
  <sheetViews>
    <sheetView showGridLines="0" view="pageBreakPreview" zoomScale="90" zoomScaleNormal="80" zoomScaleSheetLayoutView="90" workbookViewId="0">
      <selection activeCell="I42" sqref="I42"/>
    </sheetView>
  </sheetViews>
  <sheetFormatPr defaultRowHeight="13.2"/>
  <cols>
    <col min="1" max="1" width="3.33203125" style="487" customWidth="1"/>
    <col min="2" max="2" width="12" style="487" hidden="1" customWidth="1"/>
    <col min="3" max="3" width="16.109375" style="487" customWidth="1"/>
    <col min="4" max="4" width="1.33203125" style="487" customWidth="1"/>
    <col min="5" max="5" width="53.77734375" style="487" customWidth="1"/>
    <col min="6" max="6" width="13.77734375" style="487" bestFit="1" customWidth="1"/>
    <col min="7" max="7" width="19.109375" style="486" customWidth="1"/>
    <col min="8" max="9" width="17.77734375" style="486" bestFit="1" customWidth="1"/>
    <col min="10" max="10" width="13.77734375" style="487" bestFit="1" customWidth="1"/>
    <col min="11" max="11" width="16.21875" style="487" customWidth="1"/>
    <col min="12" max="12" width="17.77734375" style="487" bestFit="1" customWidth="1"/>
    <col min="13" max="13" width="17" style="487" customWidth="1"/>
    <col min="14" max="254" width="9" style="487"/>
    <col min="255" max="255" width="12" style="487" customWidth="1"/>
    <col min="256" max="256" width="8.109375" style="487" bestFit="1" customWidth="1"/>
    <col min="257" max="257" width="40.77734375" style="487" bestFit="1" customWidth="1"/>
    <col min="258" max="258" width="11.77734375" style="487" bestFit="1" customWidth="1"/>
    <col min="259" max="259" width="11.21875" style="487" bestFit="1" customWidth="1"/>
    <col min="260" max="260" width="13" style="487" bestFit="1" customWidth="1"/>
    <col min="261" max="510" width="9" style="487"/>
    <col min="511" max="511" width="12" style="487" customWidth="1"/>
    <col min="512" max="512" width="8.109375" style="487" bestFit="1" customWidth="1"/>
    <col min="513" max="513" width="40.77734375" style="487" bestFit="1" customWidth="1"/>
    <col min="514" max="514" width="11.77734375" style="487" bestFit="1" customWidth="1"/>
    <col min="515" max="515" width="11.21875" style="487" bestFit="1" customWidth="1"/>
    <col min="516" max="516" width="13" style="487" bestFit="1" customWidth="1"/>
    <col min="517" max="766" width="9" style="487"/>
    <col min="767" max="767" width="12" style="487" customWidth="1"/>
    <col min="768" max="768" width="8.109375" style="487" bestFit="1" customWidth="1"/>
    <col min="769" max="769" width="40.77734375" style="487" bestFit="1" customWidth="1"/>
    <col min="770" max="770" width="11.77734375" style="487" bestFit="1" customWidth="1"/>
    <col min="771" max="771" width="11.21875" style="487" bestFit="1" customWidth="1"/>
    <col min="772" max="772" width="13" style="487" bestFit="1" customWidth="1"/>
    <col min="773" max="1022" width="9" style="487"/>
    <col min="1023" max="1023" width="12" style="487" customWidth="1"/>
    <col min="1024" max="1024" width="8.109375" style="487" bestFit="1" customWidth="1"/>
    <col min="1025" max="1025" width="40.77734375" style="487" bestFit="1" customWidth="1"/>
    <col min="1026" max="1026" width="11.77734375" style="487" bestFit="1" customWidth="1"/>
    <col min="1027" max="1027" width="11.21875" style="487" bestFit="1" customWidth="1"/>
    <col min="1028" max="1028" width="13" style="487" bestFit="1" customWidth="1"/>
    <col min="1029" max="1278" width="9" style="487"/>
    <col min="1279" max="1279" width="12" style="487" customWidth="1"/>
    <col min="1280" max="1280" width="8.109375" style="487" bestFit="1" customWidth="1"/>
    <col min="1281" max="1281" width="40.77734375" style="487" bestFit="1" customWidth="1"/>
    <col min="1282" max="1282" width="11.77734375" style="487" bestFit="1" customWidth="1"/>
    <col min="1283" max="1283" width="11.21875" style="487" bestFit="1" customWidth="1"/>
    <col min="1284" max="1284" width="13" style="487" bestFit="1" customWidth="1"/>
    <col min="1285" max="1534" width="9" style="487"/>
    <col min="1535" max="1535" width="12" style="487" customWidth="1"/>
    <col min="1536" max="1536" width="8.109375" style="487" bestFit="1" customWidth="1"/>
    <col min="1537" max="1537" width="40.77734375" style="487" bestFit="1" customWidth="1"/>
    <col min="1538" max="1538" width="11.77734375" style="487" bestFit="1" customWidth="1"/>
    <col min="1539" max="1539" width="11.21875" style="487" bestFit="1" customWidth="1"/>
    <col min="1540" max="1540" width="13" style="487" bestFit="1" customWidth="1"/>
    <col min="1541" max="1790" width="9" style="487"/>
    <col min="1791" max="1791" width="12" style="487" customWidth="1"/>
    <col min="1792" max="1792" width="8.109375" style="487" bestFit="1" customWidth="1"/>
    <col min="1793" max="1793" width="40.77734375" style="487" bestFit="1" customWidth="1"/>
    <col min="1794" max="1794" width="11.77734375" style="487" bestFit="1" customWidth="1"/>
    <col min="1795" max="1795" width="11.21875" style="487" bestFit="1" customWidth="1"/>
    <col min="1796" max="1796" width="13" style="487" bestFit="1" customWidth="1"/>
    <col min="1797" max="2046" width="9" style="487"/>
    <col min="2047" max="2047" width="12" style="487" customWidth="1"/>
    <col min="2048" max="2048" width="8.109375" style="487" bestFit="1" customWidth="1"/>
    <col min="2049" max="2049" width="40.77734375" style="487" bestFit="1" customWidth="1"/>
    <col min="2050" max="2050" width="11.77734375" style="487" bestFit="1" customWidth="1"/>
    <col min="2051" max="2051" width="11.21875" style="487" bestFit="1" customWidth="1"/>
    <col min="2052" max="2052" width="13" style="487" bestFit="1" customWidth="1"/>
    <col min="2053" max="2302" width="9" style="487"/>
    <col min="2303" max="2303" width="12" style="487" customWidth="1"/>
    <col min="2304" max="2304" width="8.109375" style="487" bestFit="1" customWidth="1"/>
    <col min="2305" max="2305" width="40.77734375" style="487" bestFit="1" customWidth="1"/>
    <col min="2306" max="2306" width="11.77734375" style="487" bestFit="1" customWidth="1"/>
    <col min="2307" max="2307" width="11.21875" style="487" bestFit="1" customWidth="1"/>
    <col min="2308" max="2308" width="13" style="487" bestFit="1" customWidth="1"/>
    <col min="2309" max="2558" width="9" style="487"/>
    <col min="2559" max="2559" width="12" style="487" customWidth="1"/>
    <col min="2560" max="2560" width="8.109375" style="487" bestFit="1" customWidth="1"/>
    <col min="2561" max="2561" width="40.77734375" style="487" bestFit="1" customWidth="1"/>
    <col min="2562" max="2562" width="11.77734375" style="487" bestFit="1" customWidth="1"/>
    <col min="2563" max="2563" width="11.21875" style="487" bestFit="1" customWidth="1"/>
    <col min="2564" max="2564" width="13" style="487" bestFit="1" customWidth="1"/>
    <col min="2565" max="2814" width="9" style="487"/>
    <col min="2815" max="2815" width="12" style="487" customWidth="1"/>
    <col min="2816" max="2816" width="8.109375" style="487" bestFit="1" customWidth="1"/>
    <col min="2817" max="2817" width="40.77734375" style="487" bestFit="1" customWidth="1"/>
    <col min="2818" max="2818" width="11.77734375" style="487" bestFit="1" customWidth="1"/>
    <col min="2819" max="2819" width="11.21875" style="487" bestFit="1" customWidth="1"/>
    <col min="2820" max="2820" width="13" style="487" bestFit="1" customWidth="1"/>
    <col min="2821" max="3070" width="9" style="487"/>
    <col min="3071" max="3071" width="12" style="487" customWidth="1"/>
    <col min="3072" max="3072" width="8.109375" style="487" bestFit="1" customWidth="1"/>
    <col min="3073" max="3073" width="40.77734375" style="487" bestFit="1" customWidth="1"/>
    <col min="3074" max="3074" width="11.77734375" style="487" bestFit="1" customWidth="1"/>
    <col min="3075" max="3075" width="11.21875" style="487" bestFit="1" customWidth="1"/>
    <col min="3076" max="3076" width="13" style="487" bestFit="1" customWidth="1"/>
    <col min="3077" max="3326" width="9" style="487"/>
    <col min="3327" max="3327" width="12" style="487" customWidth="1"/>
    <col min="3328" max="3328" width="8.109375" style="487" bestFit="1" customWidth="1"/>
    <col min="3329" max="3329" width="40.77734375" style="487" bestFit="1" customWidth="1"/>
    <col min="3330" max="3330" width="11.77734375" style="487" bestFit="1" customWidth="1"/>
    <col min="3331" max="3331" width="11.21875" style="487" bestFit="1" customWidth="1"/>
    <col min="3332" max="3332" width="13" style="487" bestFit="1" customWidth="1"/>
    <col min="3333" max="3582" width="9" style="487"/>
    <col min="3583" max="3583" width="12" style="487" customWidth="1"/>
    <col min="3584" max="3584" width="8.109375" style="487" bestFit="1" customWidth="1"/>
    <col min="3585" max="3585" width="40.77734375" style="487" bestFit="1" customWidth="1"/>
    <col min="3586" max="3586" width="11.77734375" style="487" bestFit="1" customWidth="1"/>
    <col min="3587" max="3587" width="11.21875" style="487" bestFit="1" customWidth="1"/>
    <col min="3588" max="3588" width="13" style="487" bestFit="1" customWidth="1"/>
    <col min="3589" max="3838" width="9" style="487"/>
    <col min="3839" max="3839" width="12" style="487" customWidth="1"/>
    <col min="3840" max="3840" width="8.109375" style="487" bestFit="1" customWidth="1"/>
    <col min="3841" max="3841" width="40.77734375" style="487" bestFit="1" customWidth="1"/>
    <col min="3842" max="3842" width="11.77734375" style="487" bestFit="1" customWidth="1"/>
    <col min="3843" max="3843" width="11.21875" style="487" bestFit="1" customWidth="1"/>
    <col min="3844" max="3844" width="13" style="487" bestFit="1" customWidth="1"/>
    <col min="3845" max="4094" width="9" style="487"/>
    <col min="4095" max="4095" width="12" style="487" customWidth="1"/>
    <col min="4096" max="4096" width="8.109375" style="487" bestFit="1" customWidth="1"/>
    <col min="4097" max="4097" width="40.77734375" style="487" bestFit="1" customWidth="1"/>
    <col min="4098" max="4098" width="11.77734375" style="487" bestFit="1" customWidth="1"/>
    <col min="4099" max="4099" width="11.21875" style="487" bestFit="1" customWidth="1"/>
    <col min="4100" max="4100" width="13" style="487" bestFit="1" customWidth="1"/>
    <col min="4101" max="4350" width="9" style="487"/>
    <col min="4351" max="4351" width="12" style="487" customWidth="1"/>
    <col min="4352" max="4352" width="8.109375" style="487" bestFit="1" customWidth="1"/>
    <col min="4353" max="4353" width="40.77734375" style="487" bestFit="1" customWidth="1"/>
    <col min="4354" max="4354" width="11.77734375" style="487" bestFit="1" customWidth="1"/>
    <col min="4355" max="4355" width="11.21875" style="487" bestFit="1" customWidth="1"/>
    <col min="4356" max="4356" width="13" style="487" bestFit="1" customWidth="1"/>
    <col min="4357" max="4606" width="9" style="487"/>
    <col min="4607" max="4607" width="12" style="487" customWidth="1"/>
    <col min="4608" max="4608" width="8.109375" style="487" bestFit="1" customWidth="1"/>
    <col min="4609" max="4609" width="40.77734375" style="487" bestFit="1" customWidth="1"/>
    <col min="4610" max="4610" width="11.77734375" style="487" bestFit="1" customWidth="1"/>
    <col min="4611" max="4611" width="11.21875" style="487" bestFit="1" customWidth="1"/>
    <col min="4612" max="4612" width="13" style="487" bestFit="1" customWidth="1"/>
    <col min="4613" max="4862" width="9" style="487"/>
    <col min="4863" max="4863" width="12" style="487" customWidth="1"/>
    <col min="4864" max="4864" width="8.109375" style="487" bestFit="1" customWidth="1"/>
    <col min="4865" max="4865" width="40.77734375" style="487" bestFit="1" customWidth="1"/>
    <col min="4866" max="4866" width="11.77734375" style="487" bestFit="1" customWidth="1"/>
    <col min="4867" max="4867" width="11.21875" style="487" bestFit="1" customWidth="1"/>
    <col min="4868" max="4868" width="13" style="487" bestFit="1" customWidth="1"/>
    <col min="4869" max="5118" width="9" style="487"/>
    <col min="5119" max="5119" width="12" style="487" customWidth="1"/>
    <col min="5120" max="5120" width="8.109375" style="487" bestFit="1" customWidth="1"/>
    <col min="5121" max="5121" width="40.77734375" style="487" bestFit="1" customWidth="1"/>
    <col min="5122" max="5122" width="11.77734375" style="487" bestFit="1" customWidth="1"/>
    <col min="5123" max="5123" width="11.21875" style="487" bestFit="1" customWidth="1"/>
    <col min="5124" max="5124" width="13" style="487" bestFit="1" customWidth="1"/>
    <col min="5125" max="5374" width="9" style="487"/>
    <col min="5375" max="5375" width="12" style="487" customWidth="1"/>
    <col min="5376" max="5376" width="8.109375" style="487" bestFit="1" customWidth="1"/>
    <col min="5377" max="5377" width="40.77734375" style="487" bestFit="1" customWidth="1"/>
    <col min="5378" max="5378" width="11.77734375" style="487" bestFit="1" customWidth="1"/>
    <col min="5379" max="5379" width="11.21875" style="487" bestFit="1" customWidth="1"/>
    <col min="5380" max="5380" width="13" style="487" bestFit="1" customWidth="1"/>
    <col min="5381" max="5630" width="9" style="487"/>
    <col min="5631" max="5631" width="12" style="487" customWidth="1"/>
    <col min="5632" max="5632" width="8.109375" style="487" bestFit="1" customWidth="1"/>
    <col min="5633" max="5633" width="40.77734375" style="487" bestFit="1" customWidth="1"/>
    <col min="5634" max="5634" width="11.77734375" style="487" bestFit="1" customWidth="1"/>
    <col min="5635" max="5635" width="11.21875" style="487" bestFit="1" customWidth="1"/>
    <col min="5636" max="5636" width="13" style="487" bestFit="1" customWidth="1"/>
    <col min="5637" max="5886" width="9" style="487"/>
    <col min="5887" max="5887" width="12" style="487" customWidth="1"/>
    <col min="5888" max="5888" width="8.109375" style="487" bestFit="1" customWidth="1"/>
    <col min="5889" max="5889" width="40.77734375" style="487" bestFit="1" customWidth="1"/>
    <col min="5890" max="5890" width="11.77734375" style="487" bestFit="1" customWidth="1"/>
    <col min="5891" max="5891" width="11.21875" style="487" bestFit="1" customWidth="1"/>
    <col min="5892" max="5892" width="13" style="487" bestFit="1" customWidth="1"/>
    <col min="5893" max="6142" width="9" style="487"/>
    <col min="6143" max="6143" width="12" style="487" customWidth="1"/>
    <col min="6144" max="6144" width="8.109375" style="487" bestFit="1" customWidth="1"/>
    <col min="6145" max="6145" width="40.77734375" style="487" bestFit="1" customWidth="1"/>
    <col min="6146" max="6146" width="11.77734375" style="487" bestFit="1" customWidth="1"/>
    <col min="6147" max="6147" width="11.21875" style="487" bestFit="1" customWidth="1"/>
    <col min="6148" max="6148" width="13" style="487" bestFit="1" customWidth="1"/>
    <col min="6149" max="6398" width="9" style="487"/>
    <col min="6399" max="6399" width="12" style="487" customWidth="1"/>
    <col min="6400" max="6400" width="8.109375" style="487" bestFit="1" customWidth="1"/>
    <col min="6401" max="6401" width="40.77734375" style="487" bestFit="1" customWidth="1"/>
    <col min="6402" max="6402" width="11.77734375" style="487" bestFit="1" customWidth="1"/>
    <col min="6403" max="6403" width="11.21875" style="487" bestFit="1" customWidth="1"/>
    <col min="6404" max="6404" width="13" style="487" bestFit="1" customWidth="1"/>
    <col min="6405" max="6654" width="9" style="487"/>
    <col min="6655" max="6655" width="12" style="487" customWidth="1"/>
    <col min="6656" max="6656" width="8.109375" style="487" bestFit="1" customWidth="1"/>
    <col min="6657" max="6657" width="40.77734375" style="487" bestFit="1" customWidth="1"/>
    <col min="6658" max="6658" width="11.77734375" style="487" bestFit="1" customWidth="1"/>
    <col min="6659" max="6659" width="11.21875" style="487" bestFit="1" customWidth="1"/>
    <col min="6660" max="6660" width="13" style="487" bestFit="1" customWidth="1"/>
    <col min="6661" max="6910" width="9" style="487"/>
    <col min="6911" max="6911" width="12" style="487" customWidth="1"/>
    <col min="6912" max="6912" width="8.109375" style="487" bestFit="1" customWidth="1"/>
    <col min="6913" max="6913" width="40.77734375" style="487" bestFit="1" customWidth="1"/>
    <col min="6914" max="6914" width="11.77734375" style="487" bestFit="1" customWidth="1"/>
    <col min="6915" max="6915" width="11.21875" style="487" bestFit="1" customWidth="1"/>
    <col min="6916" max="6916" width="13" style="487" bestFit="1" customWidth="1"/>
    <col min="6917" max="7166" width="9" style="487"/>
    <col min="7167" max="7167" width="12" style="487" customWidth="1"/>
    <col min="7168" max="7168" width="8.109375" style="487" bestFit="1" customWidth="1"/>
    <col min="7169" max="7169" width="40.77734375" style="487" bestFit="1" customWidth="1"/>
    <col min="7170" max="7170" width="11.77734375" style="487" bestFit="1" customWidth="1"/>
    <col min="7171" max="7171" width="11.21875" style="487" bestFit="1" customWidth="1"/>
    <col min="7172" max="7172" width="13" style="487" bestFit="1" customWidth="1"/>
    <col min="7173" max="7422" width="9" style="487"/>
    <col min="7423" max="7423" width="12" style="487" customWidth="1"/>
    <col min="7424" max="7424" width="8.109375" style="487" bestFit="1" customWidth="1"/>
    <col min="7425" max="7425" width="40.77734375" style="487" bestFit="1" customWidth="1"/>
    <col min="7426" max="7426" width="11.77734375" style="487" bestFit="1" customWidth="1"/>
    <col min="7427" max="7427" width="11.21875" style="487" bestFit="1" customWidth="1"/>
    <col min="7428" max="7428" width="13" style="487" bestFit="1" customWidth="1"/>
    <col min="7429" max="7678" width="9" style="487"/>
    <col min="7679" max="7679" width="12" style="487" customWidth="1"/>
    <col min="7680" max="7680" width="8.109375" style="487" bestFit="1" customWidth="1"/>
    <col min="7681" max="7681" width="40.77734375" style="487" bestFit="1" customWidth="1"/>
    <col min="7682" max="7682" width="11.77734375" style="487" bestFit="1" customWidth="1"/>
    <col min="7683" max="7683" width="11.21875" style="487" bestFit="1" customWidth="1"/>
    <col min="7684" max="7684" width="13" style="487" bestFit="1" customWidth="1"/>
    <col min="7685" max="7934" width="9" style="487"/>
    <col min="7935" max="7935" width="12" style="487" customWidth="1"/>
    <col min="7936" max="7936" width="8.109375" style="487" bestFit="1" customWidth="1"/>
    <col min="7937" max="7937" width="40.77734375" style="487" bestFit="1" customWidth="1"/>
    <col min="7938" max="7938" width="11.77734375" style="487" bestFit="1" customWidth="1"/>
    <col min="7939" max="7939" width="11.21875" style="487" bestFit="1" customWidth="1"/>
    <col min="7940" max="7940" width="13" style="487" bestFit="1" customWidth="1"/>
    <col min="7941" max="8190" width="9" style="487"/>
    <col min="8191" max="8191" width="12" style="487" customWidth="1"/>
    <col min="8192" max="8192" width="8.109375" style="487" bestFit="1" customWidth="1"/>
    <col min="8193" max="8193" width="40.77734375" style="487" bestFit="1" customWidth="1"/>
    <col min="8194" max="8194" width="11.77734375" style="487" bestFit="1" customWidth="1"/>
    <col min="8195" max="8195" width="11.21875" style="487" bestFit="1" customWidth="1"/>
    <col min="8196" max="8196" width="13" style="487" bestFit="1" customWidth="1"/>
    <col min="8197" max="8446" width="9" style="487"/>
    <col min="8447" max="8447" width="12" style="487" customWidth="1"/>
    <col min="8448" max="8448" width="8.109375" style="487" bestFit="1" customWidth="1"/>
    <col min="8449" max="8449" width="40.77734375" style="487" bestFit="1" customWidth="1"/>
    <col min="8450" max="8450" width="11.77734375" style="487" bestFit="1" customWidth="1"/>
    <col min="8451" max="8451" width="11.21875" style="487" bestFit="1" customWidth="1"/>
    <col min="8452" max="8452" width="13" style="487" bestFit="1" customWidth="1"/>
    <col min="8453" max="8702" width="9" style="487"/>
    <col min="8703" max="8703" width="12" style="487" customWidth="1"/>
    <col min="8704" max="8704" width="8.109375" style="487" bestFit="1" customWidth="1"/>
    <col min="8705" max="8705" width="40.77734375" style="487" bestFit="1" customWidth="1"/>
    <col min="8706" max="8706" width="11.77734375" style="487" bestFit="1" customWidth="1"/>
    <col min="8707" max="8707" width="11.21875" style="487" bestFit="1" customWidth="1"/>
    <col min="8708" max="8708" width="13" style="487" bestFit="1" customWidth="1"/>
    <col min="8709" max="8958" width="9" style="487"/>
    <col min="8959" max="8959" width="12" style="487" customWidth="1"/>
    <col min="8960" max="8960" width="8.109375" style="487" bestFit="1" customWidth="1"/>
    <col min="8961" max="8961" width="40.77734375" style="487" bestFit="1" customWidth="1"/>
    <col min="8962" max="8962" width="11.77734375" style="487" bestFit="1" customWidth="1"/>
    <col min="8963" max="8963" width="11.21875" style="487" bestFit="1" customWidth="1"/>
    <col min="8964" max="8964" width="13" style="487" bestFit="1" customWidth="1"/>
    <col min="8965" max="9214" width="9" style="487"/>
    <col min="9215" max="9215" width="12" style="487" customWidth="1"/>
    <col min="9216" max="9216" width="8.109375" style="487" bestFit="1" customWidth="1"/>
    <col min="9217" max="9217" width="40.77734375" style="487" bestFit="1" customWidth="1"/>
    <col min="9218" max="9218" width="11.77734375" style="487" bestFit="1" customWidth="1"/>
    <col min="9219" max="9219" width="11.21875" style="487" bestFit="1" customWidth="1"/>
    <col min="9220" max="9220" width="13" style="487" bestFit="1" customWidth="1"/>
    <col min="9221" max="9470" width="9" style="487"/>
    <col min="9471" max="9471" width="12" style="487" customWidth="1"/>
    <col min="9472" max="9472" width="8.109375" style="487" bestFit="1" customWidth="1"/>
    <col min="9473" max="9473" width="40.77734375" style="487" bestFit="1" customWidth="1"/>
    <col min="9474" max="9474" width="11.77734375" style="487" bestFit="1" customWidth="1"/>
    <col min="9475" max="9475" width="11.21875" style="487" bestFit="1" customWidth="1"/>
    <col min="9476" max="9476" width="13" style="487" bestFit="1" customWidth="1"/>
    <col min="9477" max="9726" width="9" style="487"/>
    <col min="9727" max="9727" width="12" style="487" customWidth="1"/>
    <col min="9728" max="9728" width="8.109375" style="487" bestFit="1" customWidth="1"/>
    <col min="9729" max="9729" width="40.77734375" style="487" bestFit="1" customWidth="1"/>
    <col min="9730" max="9730" width="11.77734375" style="487" bestFit="1" customWidth="1"/>
    <col min="9731" max="9731" width="11.21875" style="487" bestFit="1" customWidth="1"/>
    <col min="9732" max="9732" width="13" style="487" bestFit="1" customWidth="1"/>
    <col min="9733" max="9982" width="9" style="487"/>
    <col min="9983" max="9983" width="12" style="487" customWidth="1"/>
    <col min="9984" max="9984" width="8.109375" style="487" bestFit="1" customWidth="1"/>
    <col min="9985" max="9985" width="40.77734375" style="487" bestFit="1" customWidth="1"/>
    <col min="9986" max="9986" width="11.77734375" style="487" bestFit="1" customWidth="1"/>
    <col min="9987" max="9987" width="11.21875" style="487" bestFit="1" customWidth="1"/>
    <col min="9988" max="9988" width="13" style="487" bestFit="1" customWidth="1"/>
    <col min="9989" max="10238" width="9" style="487"/>
    <col min="10239" max="10239" width="12" style="487" customWidth="1"/>
    <col min="10240" max="10240" width="8.109375" style="487" bestFit="1" customWidth="1"/>
    <col min="10241" max="10241" width="40.77734375" style="487" bestFit="1" customWidth="1"/>
    <col min="10242" max="10242" width="11.77734375" style="487" bestFit="1" customWidth="1"/>
    <col min="10243" max="10243" width="11.21875" style="487" bestFit="1" customWidth="1"/>
    <col min="10244" max="10244" width="13" style="487" bestFit="1" customWidth="1"/>
    <col min="10245" max="10494" width="9" style="487"/>
    <col min="10495" max="10495" width="12" style="487" customWidth="1"/>
    <col min="10496" max="10496" width="8.109375" style="487" bestFit="1" customWidth="1"/>
    <col min="10497" max="10497" width="40.77734375" style="487" bestFit="1" customWidth="1"/>
    <col min="10498" max="10498" width="11.77734375" style="487" bestFit="1" customWidth="1"/>
    <col min="10499" max="10499" width="11.21875" style="487" bestFit="1" customWidth="1"/>
    <col min="10500" max="10500" width="13" style="487" bestFit="1" customWidth="1"/>
    <col min="10501" max="10750" width="9" style="487"/>
    <col min="10751" max="10751" width="12" style="487" customWidth="1"/>
    <col min="10752" max="10752" width="8.109375" style="487" bestFit="1" customWidth="1"/>
    <col min="10753" max="10753" width="40.77734375" style="487" bestFit="1" customWidth="1"/>
    <col min="10754" max="10754" width="11.77734375" style="487" bestFit="1" customWidth="1"/>
    <col min="10755" max="10755" width="11.21875" style="487" bestFit="1" customWidth="1"/>
    <col min="10756" max="10756" width="13" style="487" bestFit="1" customWidth="1"/>
    <col min="10757" max="11006" width="9" style="487"/>
    <col min="11007" max="11007" width="12" style="487" customWidth="1"/>
    <col min="11008" max="11008" width="8.109375" style="487" bestFit="1" customWidth="1"/>
    <col min="11009" max="11009" width="40.77734375" style="487" bestFit="1" customWidth="1"/>
    <col min="11010" max="11010" width="11.77734375" style="487" bestFit="1" customWidth="1"/>
    <col min="11011" max="11011" width="11.21875" style="487" bestFit="1" customWidth="1"/>
    <col min="11012" max="11012" width="13" style="487" bestFit="1" customWidth="1"/>
    <col min="11013" max="11262" width="9" style="487"/>
    <col min="11263" max="11263" width="12" style="487" customWidth="1"/>
    <col min="11264" max="11264" width="8.109375" style="487" bestFit="1" customWidth="1"/>
    <col min="11265" max="11265" width="40.77734375" style="487" bestFit="1" customWidth="1"/>
    <col min="11266" max="11266" width="11.77734375" style="487" bestFit="1" customWidth="1"/>
    <col min="11267" max="11267" width="11.21875" style="487" bestFit="1" customWidth="1"/>
    <col min="11268" max="11268" width="13" style="487" bestFit="1" customWidth="1"/>
    <col min="11269" max="11518" width="9" style="487"/>
    <col min="11519" max="11519" width="12" style="487" customWidth="1"/>
    <col min="11520" max="11520" width="8.109375" style="487" bestFit="1" customWidth="1"/>
    <col min="11521" max="11521" width="40.77734375" style="487" bestFit="1" customWidth="1"/>
    <col min="11522" max="11522" width="11.77734375" style="487" bestFit="1" customWidth="1"/>
    <col min="11523" max="11523" width="11.21875" style="487" bestFit="1" customWidth="1"/>
    <col min="11524" max="11524" width="13" style="487" bestFit="1" customWidth="1"/>
    <col min="11525" max="11774" width="9" style="487"/>
    <col min="11775" max="11775" width="12" style="487" customWidth="1"/>
    <col min="11776" max="11776" width="8.109375" style="487" bestFit="1" customWidth="1"/>
    <col min="11777" max="11777" width="40.77734375" style="487" bestFit="1" customWidth="1"/>
    <col min="11778" max="11778" width="11.77734375" style="487" bestFit="1" customWidth="1"/>
    <col min="11779" max="11779" width="11.21875" style="487" bestFit="1" customWidth="1"/>
    <col min="11780" max="11780" width="13" style="487" bestFit="1" customWidth="1"/>
    <col min="11781" max="12030" width="9" style="487"/>
    <col min="12031" max="12031" width="12" style="487" customWidth="1"/>
    <col min="12032" max="12032" width="8.109375" style="487" bestFit="1" customWidth="1"/>
    <col min="12033" max="12033" width="40.77734375" style="487" bestFit="1" customWidth="1"/>
    <col min="12034" max="12034" width="11.77734375" style="487" bestFit="1" customWidth="1"/>
    <col min="12035" max="12035" width="11.21875" style="487" bestFit="1" customWidth="1"/>
    <col min="12036" max="12036" width="13" style="487" bestFit="1" customWidth="1"/>
    <col min="12037" max="12286" width="9" style="487"/>
    <col min="12287" max="12287" width="12" style="487" customWidth="1"/>
    <col min="12288" max="12288" width="8.109375" style="487" bestFit="1" customWidth="1"/>
    <col min="12289" max="12289" width="40.77734375" style="487" bestFit="1" customWidth="1"/>
    <col min="12290" max="12290" width="11.77734375" style="487" bestFit="1" customWidth="1"/>
    <col min="12291" max="12291" width="11.21875" style="487" bestFit="1" customWidth="1"/>
    <col min="12292" max="12292" width="13" style="487" bestFit="1" customWidth="1"/>
    <col min="12293" max="12542" width="9" style="487"/>
    <col min="12543" max="12543" width="12" style="487" customWidth="1"/>
    <col min="12544" max="12544" width="8.109375" style="487" bestFit="1" customWidth="1"/>
    <col min="12545" max="12545" width="40.77734375" style="487" bestFit="1" customWidth="1"/>
    <col min="12546" max="12546" width="11.77734375" style="487" bestFit="1" customWidth="1"/>
    <col min="12547" max="12547" width="11.21875" style="487" bestFit="1" customWidth="1"/>
    <col min="12548" max="12548" width="13" style="487" bestFit="1" customWidth="1"/>
    <col min="12549" max="12798" width="9" style="487"/>
    <col min="12799" max="12799" width="12" style="487" customWidth="1"/>
    <col min="12800" max="12800" width="8.109375" style="487" bestFit="1" customWidth="1"/>
    <col min="12801" max="12801" width="40.77734375" style="487" bestFit="1" customWidth="1"/>
    <col min="12802" max="12802" width="11.77734375" style="487" bestFit="1" customWidth="1"/>
    <col min="12803" max="12803" width="11.21875" style="487" bestFit="1" customWidth="1"/>
    <col min="12804" max="12804" width="13" style="487" bestFit="1" customWidth="1"/>
    <col min="12805" max="13054" width="9" style="487"/>
    <col min="13055" max="13055" width="12" style="487" customWidth="1"/>
    <col min="13056" max="13056" width="8.109375" style="487" bestFit="1" customWidth="1"/>
    <col min="13057" max="13057" width="40.77734375" style="487" bestFit="1" customWidth="1"/>
    <col min="13058" max="13058" width="11.77734375" style="487" bestFit="1" customWidth="1"/>
    <col min="13059" max="13059" width="11.21875" style="487" bestFit="1" customWidth="1"/>
    <col min="13060" max="13060" width="13" style="487" bestFit="1" customWidth="1"/>
    <col min="13061" max="13310" width="9" style="487"/>
    <col min="13311" max="13311" width="12" style="487" customWidth="1"/>
    <col min="13312" max="13312" width="8.109375" style="487" bestFit="1" customWidth="1"/>
    <col min="13313" max="13313" width="40.77734375" style="487" bestFit="1" customWidth="1"/>
    <col min="13314" max="13314" width="11.77734375" style="487" bestFit="1" customWidth="1"/>
    <col min="13315" max="13315" width="11.21875" style="487" bestFit="1" customWidth="1"/>
    <col min="13316" max="13316" width="13" style="487" bestFit="1" customWidth="1"/>
    <col min="13317" max="13566" width="9" style="487"/>
    <col min="13567" max="13567" width="12" style="487" customWidth="1"/>
    <col min="13568" max="13568" width="8.109375" style="487" bestFit="1" customWidth="1"/>
    <col min="13569" max="13569" width="40.77734375" style="487" bestFit="1" customWidth="1"/>
    <col min="13570" max="13570" width="11.77734375" style="487" bestFit="1" customWidth="1"/>
    <col min="13571" max="13571" width="11.21875" style="487" bestFit="1" customWidth="1"/>
    <col min="13572" max="13572" width="13" style="487" bestFit="1" customWidth="1"/>
    <col min="13573" max="13822" width="9" style="487"/>
    <col min="13823" max="13823" width="12" style="487" customWidth="1"/>
    <col min="13824" max="13824" width="8.109375" style="487" bestFit="1" customWidth="1"/>
    <col min="13825" max="13825" width="40.77734375" style="487" bestFit="1" customWidth="1"/>
    <col min="13826" max="13826" width="11.77734375" style="487" bestFit="1" customWidth="1"/>
    <col min="13827" max="13827" width="11.21875" style="487" bestFit="1" customWidth="1"/>
    <col min="13828" max="13828" width="13" style="487" bestFit="1" customWidth="1"/>
    <col min="13829" max="14078" width="9" style="487"/>
    <col min="14079" max="14079" width="12" style="487" customWidth="1"/>
    <col min="14080" max="14080" width="8.109375" style="487" bestFit="1" customWidth="1"/>
    <col min="14081" max="14081" width="40.77734375" style="487" bestFit="1" customWidth="1"/>
    <col min="14082" max="14082" width="11.77734375" style="487" bestFit="1" customWidth="1"/>
    <col min="14083" max="14083" width="11.21875" style="487" bestFit="1" customWidth="1"/>
    <col min="14084" max="14084" width="13" style="487" bestFit="1" customWidth="1"/>
    <col min="14085" max="14334" width="9" style="487"/>
    <col min="14335" max="14335" width="12" style="487" customWidth="1"/>
    <col min="14336" max="14336" width="8.109375" style="487" bestFit="1" customWidth="1"/>
    <col min="14337" max="14337" width="40.77734375" style="487" bestFit="1" customWidth="1"/>
    <col min="14338" max="14338" width="11.77734375" style="487" bestFit="1" customWidth="1"/>
    <col min="14339" max="14339" width="11.21875" style="487" bestFit="1" customWidth="1"/>
    <col min="14340" max="14340" width="13" style="487" bestFit="1" customWidth="1"/>
    <col min="14341" max="14590" width="9" style="487"/>
    <col min="14591" max="14591" width="12" style="487" customWidth="1"/>
    <col min="14592" max="14592" width="8.109375" style="487" bestFit="1" customWidth="1"/>
    <col min="14593" max="14593" width="40.77734375" style="487" bestFit="1" customWidth="1"/>
    <col min="14594" max="14594" width="11.77734375" style="487" bestFit="1" customWidth="1"/>
    <col min="14595" max="14595" width="11.21875" style="487" bestFit="1" customWidth="1"/>
    <col min="14596" max="14596" width="13" style="487" bestFit="1" customWidth="1"/>
    <col min="14597" max="14846" width="9" style="487"/>
    <col min="14847" max="14847" width="12" style="487" customWidth="1"/>
    <col min="14848" max="14848" width="8.109375" style="487" bestFit="1" customWidth="1"/>
    <col min="14849" max="14849" width="40.77734375" style="487" bestFit="1" customWidth="1"/>
    <col min="14850" max="14850" width="11.77734375" style="487" bestFit="1" customWidth="1"/>
    <col min="14851" max="14851" width="11.21875" style="487" bestFit="1" customWidth="1"/>
    <col min="14852" max="14852" width="13" style="487" bestFit="1" customWidth="1"/>
    <col min="14853" max="15102" width="9" style="487"/>
    <col min="15103" max="15103" width="12" style="487" customWidth="1"/>
    <col min="15104" max="15104" width="8.109375" style="487" bestFit="1" customWidth="1"/>
    <col min="15105" max="15105" width="40.77734375" style="487" bestFit="1" customWidth="1"/>
    <col min="15106" max="15106" width="11.77734375" style="487" bestFit="1" customWidth="1"/>
    <col min="15107" max="15107" width="11.21875" style="487" bestFit="1" customWidth="1"/>
    <col min="15108" max="15108" width="13" style="487" bestFit="1" customWidth="1"/>
    <col min="15109" max="15358" width="9" style="487"/>
    <col min="15359" max="15359" width="12" style="487" customWidth="1"/>
    <col min="15360" max="15360" width="8.109375" style="487" bestFit="1" customWidth="1"/>
    <col min="15361" max="15361" width="40.77734375" style="487" bestFit="1" customWidth="1"/>
    <col min="15362" max="15362" width="11.77734375" style="487" bestFit="1" customWidth="1"/>
    <col min="15363" max="15363" width="11.21875" style="487" bestFit="1" customWidth="1"/>
    <col min="15364" max="15364" width="13" style="487" bestFit="1" customWidth="1"/>
    <col min="15365" max="15614" width="9" style="487"/>
    <col min="15615" max="15615" width="12" style="487" customWidth="1"/>
    <col min="15616" max="15616" width="8.109375" style="487" bestFit="1" customWidth="1"/>
    <col min="15617" max="15617" width="40.77734375" style="487" bestFit="1" customWidth="1"/>
    <col min="15618" max="15618" width="11.77734375" style="487" bestFit="1" customWidth="1"/>
    <col min="15619" max="15619" width="11.21875" style="487" bestFit="1" customWidth="1"/>
    <col min="15620" max="15620" width="13" style="487" bestFit="1" customWidth="1"/>
    <col min="15621" max="15870" width="9" style="487"/>
    <col min="15871" max="15871" width="12" style="487" customWidth="1"/>
    <col min="15872" max="15872" width="8.109375" style="487" bestFit="1" customWidth="1"/>
    <col min="15873" max="15873" width="40.77734375" style="487" bestFit="1" customWidth="1"/>
    <col min="15874" max="15874" width="11.77734375" style="487" bestFit="1" customWidth="1"/>
    <col min="15875" max="15875" width="11.21875" style="487" bestFit="1" customWidth="1"/>
    <col min="15876" max="15876" width="13" style="487" bestFit="1" customWidth="1"/>
    <col min="15877" max="16126" width="9" style="487"/>
    <col min="16127" max="16127" width="12" style="487" customWidth="1"/>
    <col min="16128" max="16128" width="8.109375" style="487" bestFit="1" customWidth="1"/>
    <col min="16129" max="16129" width="40.77734375" style="487" bestFit="1" customWidth="1"/>
    <col min="16130" max="16130" width="11.77734375" style="487" bestFit="1" customWidth="1"/>
    <col min="16131" max="16131" width="11.21875" style="487" bestFit="1" customWidth="1"/>
    <col min="16132" max="16132" width="13" style="487" bestFit="1" customWidth="1"/>
    <col min="16133" max="16383" width="9" style="487"/>
    <col min="16384" max="16384" width="9" style="487" customWidth="1"/>
  </cols>
  <sheetData>
    <row r="1" spans="1:17" s="214" customFormat="1" ht="15.6">
      <c r="A1" s="420"/>
      <c r="C1" s="71"/>
      <c r="D1" s="70"/>
      <c r="E1" s="293"/>
      <c r="G1" s="484"/>
      <c r="H1" s="484"/>
      <c r="I1" s="484"/>
      <c r="J1" s="485"/>
      <c r="K1" s="485"/>
    </row>
    <row r="2" spans="1:17" s="216" customFormat="1" ht="15">
      <c r="B2" s="71"/>
      <c r="C2" s="71"/>
      <c r="D2" s="71"/>
      <c r="F2" s="71"/>
      <c r="G2" s="486"/>
      <c r="H2" s="486"/>
      <c r="I2" s="486"/>
      <c r="J2" s="487"/>
      <c r="K2" s="487"/>
      <c r="L2" s="71"/>
      <c r="M2" s="71"/>
    </row>
    <row r="3" spans="1:17" s="216" customFormat="1">
      <c r="G3" s="486"/>
      <c r="H3" s="486"/>
      <c r="I3" s="486"/>
      <c r="J3" s="487"/>
      <c r="K3" s="487"/>
    </row>
    <row r="4" spans="1:17" s="216" customFormat="1" ht="17.399999999999999">
      <c r="A4" s="488"/>
      <c r="B4" s="218"/>
      <c r="C4" s="218"/>
      <c r="D4" s="218"/>
      <c r="E4" s="218"/>
      <c r="F4" s="218"/>
      <c r="G4" s="489"/>
      <c r="H4" s="489"/>
      <c r="I4" s="489"/>
      <c r="J4" s="490"/>
      <c r="K4" s="490"/>
      <c r="L4" s="218"/>
      <c r="M4" s="71"/>
    </row>
    <row r="5" spans="1:17" s="216" customFormat="1" ht="17.399999999999999">
      <c r="A5" s="1463" t="s">
        <v>20</v>
      </c>
      <c r="B5" s="1463"/>
      <c r="C5" s="1463"/>
      <c r="D5" s="1463"/>
      <c r="E5" s="1463"/>
      <c r="F5" s="1463"/>
      <c r="G5" s="1463"/>
      <c r="H5" s="1463"/>
      <c r="I5" s="1463"/>
      <c r="J5" s="1463"/>
      <c r="K5" s="1463"/>
      <c r="L5" s="1463"/>
      <c r="M5" s="1463"/>
      <c r="N5" s="70"/>
    </row>
    <row r="6" spans="1:17" s="216" customFormat="1" ht="17.399999999999999">
      <c r="A6" s="1463" t="s">
        <v>1</v>
      </c>
      <c r="B6" s="1463"/>
      <c r="C6" s="1463"/>
      <c r="D6" s="1463"/>
      <c r="E6" s="1463"/>
      <c r="F6" s="1463"/>
      <c r="G6" s="1463"/>
      <c r="H6" s="1463"/>
      <c r="I6" s="1463"/>
      <c r="J6" s="1463"/>
      <c r="K6" s="1463"/>
      <c r="L6" s="1463"/>
      <c r="M6" s="1463"/>
      <c r="N6" s="221"/>
    </row>
    <row r="7" spans="1:17" s="216" customFormat="1" ht="17.399999999999999">
      <c r="A7" s="1464" t="str">
        <f>SUMMARY!A7</f>
        <v>YEAR ENDING DECEMBER 31, 2022</v>
      </c>
      <c r="B7" s="1464"/>
      <c r="C7" s="1464"/>
      <c r="D7" s="1464"/>
      <c r="E7" s="1464"/>
      <c r="F7" s="1464"/>
      <c r="G7" s="1464"/>
      <c r="H7" s="1464"/>
      <c r="I7" s="1464"/>
      <c r="J7" s="1464"/>
      <c r="K7" s="1464"/>
      <c r="L7" s="1464"/>
      <c r="M7" s="1464"/>
      <c r="N7" s="70"/>
    </row>
    <row r="8" spans="1:17" s="216" customFormat="1" ht="17.399999999999999">
      <c r="A8" s="488"/>
      <c r="B8" s="488"/>
      <c r="C8" s="488"/>
      <c r="D8" s="488"/>
      <c r="E8" s="488"/>
      <c r="F8" s="491"/>
      <c r="G8" s="489"/>
      <c r="H8" s="489"/>
      <c r="I8" s="489"/>
      <c r="J8" s="490"/>
      <c r="K8" s="490"/>
      <c r="L8" s="488"/>
    </row>
    <row r="9" spans="1:17" s="216" customFormat="1" ht="15.6">
      <c r="A9" s="1469" t="s">
        <v>1640</v>
      </c>
      <c r="B9" s="1469"/>
      <c r="C9" s="1469"/>
      <c r="D9" s="1469"/>
      <c r="E9" s="1469"/>
      <c r="F9" s="1469"/>
      <c r="G9" s="1469"/>
      <c r="H9" s="1469"/>
      <c r="I9" s="1469"/>
      <c r="J9" s="1469"/>
      <c r="K9" s="1469"/>
      <c r="L9" s="1469"/>
      <c r="M9" s="1469"/>
    </row>
    <row r="10" spans="1:17" s="216" customFormat="1" ht="15.6">
      <c r="A10" s="1469" t="s">
        <v>1641</v>
      </c>
      <c r="B10" s="1469"/>
      <c r="C10" s="1469"/>
      <c r="D10" s="1469"/>
      <c r="E10" s="1469"/>
      <c r="F10" s="1469"/>
      <c r="G10" s="1469"/>
      <c r="H10" s="1469"/>
      <c r="I10" s="1469"/>
      <c r="J10" s="1469"/>
      <c r="K10" s="1469"/>
      <c r="L10" s="1469"/>
      <c r="M10" s="1469"/>
    </row>
    <row r="11" spans="1:17" s="216" customFormat="1" ht="15" customHeight="1">
      <c r="A11" s="222"/>
      <c r="B11" s="492"/>
      <c r="C11" s="492"/>
      <c r="D11" s="492"/>
      <c r="E11" s="493"/>
      <c r="F11" s="222"/>
      <c r="G11" s="222"/>
      <c r="H11" s="222"/>
      <c r="I11" s="222"/>
      <c r="J11" s="494"/>
      <c r="K11" s="494"/>
      <c r="L11" s="494"/>
      <c r="M11" s="494"/>
      <c r="N11" s="494"/>
      <c r="O11" s="487"/>
      <c r="P11" s="71"/>
      <c r="Q11" s="71"/>
    </row>
    <row r="12" spans="1:17" s="71" customFormat="1" ht="15" customHeight="1">
      <c r="E12" s="70"/>
      <c r="F12" s="1513">
        <v>2022</v>
      </c>
      <c r="G12" s="1514"/>
      <c r="H12" s="1514"/>
      <c r="I12" s="1401"/>
      <c r="J12" s="1513">
        <v>2021</v>
      </c>
      <c r="K12" s="1514"/>
      <c r="L12" s="1514"/>
      <c r="M12" s="1402"/>
      <c r="N12" s="484"/>
      <c r="O12" s="485"/>
    </row>
    <row r="13" spans="1:17" s="71" customFormat="1" ht="15.6">
      <c r="F13" s="460" t="s">
        <v>8</v>
      </c>
      <c r="G13" s="460" t="s">
        <v>9</v>
      </c>
      <c r="H13" s="460" t="s">
        <v>359</v>
      </c>
      <c r="I13" s="460" t="s">
        <v>360</v>
      </c>
      <c r="J13" s="460" t="s">
        <v>162</v>
      </c>
      <c r="K13" s="460" t="s">
        <v>163</v>
      </c>
      <c r="L13" s="460" t="s">
        <v>228</v>
      </c>
      <c r="M13" s="460" t="s">
        <v>361</v>
      </c>
      <c r="N13" s="484"/>
      <c r="O13" s="485"/>
    </row>
    <row r="14" spans="1:17" s="71" customFormat="1" ht="15.6">
      <c r="F14" s="426" t="s">
        <v>1239</v>
      </c>
      <c r="H14" s="426" t="s">
        <v>1239</v>
      </c>
      <c r="I14" s="426"/>
      <c r="J14" s="426" t="s">
        <v>1239</v>
      </c>
      <c r="L14" s="426" t="s">
        <v>1239</v>
      </c>
      <c r="M14" s="426"/>
      <c r="N14" s="484"/>
      <c r="O14" s="485"/>
    </row>
    <row r="15" spans="1:17" s="485" customFormat="1" ht="15.6">
      <c r="F15" s="426" t="s">
        <v>352</v>
      </c>
      <c r="G15" s="426" t="s">
        <v>353</v>
      </c>
      <c r="H15" s="426" t="s">
        <v>352</v>
      </c>
      <c r="I15" s="426" t="s">
        <v>305</v>
      </c>
      <c r="J15" s="426" t="s">
        <v>352</v>
      </c>
      <c r="K15" s="426" t="s">
        <v>353</v>
      </c>
      <c r="L15" s="426" t="s">
        <v>352</v>
      </c>
      <c r="M15" s="426" t="s">
        <v>305</v>
      </c>
      <c r="N15" s="484"/>
      <c r="O15" s="71"/>
    </row>
    <row r="16" spans="1:17" s="485" customFormat="1" ht="16.2" thickBot="1">
      <c r="A16" s="495" t="s">
        <v>1642</v>
      </c>
      <c r="B16" s="427" t="s">
        <v>1643</v>
      </c>
      <c r="C16" s="427" t="s">
        <v>1644</v>
      </c>
      <c r="D16" s="427"/>
      <c r="E16" s="427" t="s">
        <v>1645</v>
      </c>
      <c r="F16" s="427" t="s">
        <v>355</v>
      </c>
      <c r="G16" s="427" t="s">
        <v>356</v>
      </c>
      <c r="H16" s="427" t="s">
        <v>1646</v>
      </c>
      <c r="I16" s="427" t="s">
        <v>358</v>
      </c>
      <c r="J16" s="427" t="s">
        <v>355</v>
      </c>
      <c r="K16" s="427" t="s">
        <v>356</v>
      </c>
      <c r="L16" s="427" t="s">
        <v>1646</v>
      </c>
      <c r="M16" s="427" t="s">
        <v>358</v>
      </c>
      <c r="N16" s="496"/>
      <c r="O16" s="71"/>
    </row>
    <row r="17" spans="1:15" s="485" customFormat="1" ht="15">
      <c r="A17" s="485" t="s">
        <v>167</v>
      </c>
      <c r="B17" s="497"/>
      <c r="C17" s="498">
        <v>37072</v>
      </c>
      <c r="D17" s="498"/>
      <c r="E17" s="499" t="s">
        <v>1647</v>
      </c>
      <c r="F17" s="232">
        <v>8374458</v>
      </c>
      <c r="G17" s="232">
        <v>-3587343</v>
      </c>
      <c r="H17" s="232">
        <v>4787115</v>
      </c>
      <c r="I17" s="232">
        <v>-186427</v>
      </c>
      <c r="J17" s="232">
        <v>8374457.5199999996</v>
      </c>
      <c r="K17" s="232">
        <v>-3400915.52</v>
      </c>
      <c r="L17" s="232">
        <v>4973542</v>
      </c>
      <c r="M17" s="229">
        <v>-183075</v>
      </c>
      <c r="N17" s="484"/>
      <c r="O17" s="71"/>
    </row>
    <row r="18" spans="1:15" s="485" customFormat="1" ht="15">
      <c r="A18" s="485" t="s">
        <v>171</v>
      </c>
      <c r="B18" s="497"/>
      <c r="C18" s="498">
        <v>37072</v>
      </c>
      <c r="D18" s="498"/>
      <c r="E18" s="499" t="s">
        <v>1648</v>
      </c>
      <c r="F18" s="232">
        <v>2686912</v>
      </c>
      <c r="G18" s="232">
        <v>-1180854</v>
      </c>
      <c r="H18" s="232">
        <v>1506059</v>
      </c>
      <c r="I18" s="232">
        <v>-58966</v>
      </c>
      <c r="J18" s="232">
        <v>2686912.39</v>
      </c>
      <c r="K18" s="232">
        <v>-1121887.3899999999</v>
      </c>
      <c r="L18" s="232">
        <v>1565025</v>
      </c>
      <c r="M18" s="229">
        <v>-57608</v>
      </c>
      <c r="N18" s="484"/>
      <c r="O18" s="71"/>
    </row>
    <row r="19" spans="1:15" s="485" customFormat="1" ht="15">
      <c r="A19" s="485" t="s">
        <v>174</v>
      </c>
      <c r="B19" s="497"/>
      <c r="C19" s="498">
        <v>37072</v>
      </c>
      <c r="D19" s="498"/>
      <c r="E19" s="499" t="s">
        <v>1649</v>
      </c>
      <c r="F19" s="232">
        <v>3403806</v>
      </c>
      <c r="G19" s="232">
        <v>-1481662</v>
      </c>
      <c r="H19" s="232">
        <v>1922145</v>
      </c>
      <c r="I19" s="232">
        <v>-75104</v>
      </c>
      <c r="J19" s="232">
        <v>3403806.2</v>
      </c>
      <c r="K19" s="232">
        <v>-1406557.2</v>
      </c>
      <c r="L19" s="232">
        <v>1997249</v>
      </c>
      <c r="M19" s="229">
        <v>-73518</v>
      </c>
      <c r="N19" s="484"/>
      <c r="O19" s="71"/>
    </row>
    <row r="20" spans="1:15" s="485" customFormat="1" ht="15.6">
      <c r="A20" s="485" t="s">
        <v>177</v>
      </c>
      <c r="B20" s="497"/>
      <c r="C20" s="498">
        <v>37072</v>
      </c>
      <c r="D20" s="498"/>
      <c r="E20" s="499" t="s">
        <v>1650</v>
      </c>
      <c r="F20" s="232">
        <v>413815</v>
      </c>
      <c r="G20" s="232">
        <v>-181665</v>
      </c>
      <c r="H20" s="232">
        <v>232150</v>
      </c>
      <c r="I20" s="232">
        <v>-9087</v>
      </c>
      <c r="J20" s="232">
        <v>413814.61</v>
      </c>
      <c r="K20" s="232">
        <v>-172577.61</v>
      </c>
      <c r="L20" s="232">
        <v>241237</v>
      </c>
      <c r="M20" s="229">
        <v>-8880</v>
      </c>
      <c r="N20" s="484"/>
      <c r="O20" s="70"/>
    </row>
    <row r="21" spans="1:15" s="485" customFormat="1" ht="15.6">
      <c r="A21" s="485" t="s">
        <v>237</v>
      </c>
      <c r="B21" s="497"/>
      <c r="C21" s="498">
        <v>37072</v>
      </c>
      <c r="D21" s="498"/>
      <c r="E21" s="499" t="s">
        <v>1650</v>
      </c>
      <c r="F21" s="232">
        <v>413815</v>
      </c>
      <c r="G21" s="232">
        <v>-181665</v>
      </c>
      <c r="H21" s="232">
        <v>232150</v>
      </c>
      <c r="I21" s="232">
        <v>-9087</v>
      </c>
      <c r="J21" s="232">
        <v>413814.59</v>
      </c>
      <c r="K21" s="232">
        <v>-172577.59</v>
      </c>
      <c r="L21" s="232">
        <v>241237</v>
      </c>
      <c r="M21" s="229">
        <v>-8880</v>
      </c>
      <c r="N21" s="484"/>
      <c r="O21" s="70"/>
    </row>
    <row r="22" spans="1:15" s="485" customFormat="1" ht="15.6">
      <c r="A22" s="485" t="s">
        <v>241</v>
      </c>
      <c r="B22" s="497"/>
      <c r="C22" s="498">
        <v>37072</v>
      </c>
      <c r="D22" s="498"/>
      <c r="E22" s="499" t="s">
        <v>1651</v>
      </c>
      <c r="F22" s="232">
        <v>374733</v>
      </c>
      <c r="G22" s="232">
        <v>-163479</v>
      </c>
      <c r="H22" s="232">
        <v>211254</v>
      </c>
      <c r="I22" s="232">
        <v>-8258</v>
      </c>
      <c r="J22" s="232">
        <v>374733.43</v>
      </c>
      <c r="K22" s="232">
        <v>-155221.43</v>
      </c>
      <c r="L22" s="232">
        <v>219512</v>
      </c>
      <c r="M22" s="229">
        <v>-8080</v>
      </c>
      <c r="N22" s="484"/>
      <c r="O22" s="70"/>
    </row>
    <row r="23" spans="1:15" s="485" customFormat="1" ht="15.6">
      <c r="A23" s="485" t="s">
        <v>246</v>
      </c>
      <c r="B23" s="497"/>
      <c r="C23" s="498">
        <v>37072</v>
      </c>
      <c r="D23" s="498"/>
      <c r="E23" s="499" t="s">
        <v>1652</v>
      </c>
      <c r="F23" s="232">
        <v>14348613</v>
      </c>
      <c r="G23" s="232">
        <v>-5910760</v>
      </c>
      <c r="H23" s="232">
        <v>8437852</v>
      </c>
      <c r="I23" s="232">
        <v>-326114</v>
      </c>
      <c r="J23" s="232">
        <v>14348612.939999999</v>
      </c>
      <c r="K23" s="232">
        <v>-5584646.9400000004</v>
      </c>
      <c r="L23" s="232">
        <v>8763966</v>
      </c>
      <c r="M23" s="229">
        <v>-322600</v>
      </c>
      <c r="N23" s="484"/>
      <c r="O23" s="70"/>
    </row>
    <row r="24" spans="1:15" s="485" customFormat="1" ht="15">
      <c r="A24" s="485" t="s">
        <v>249</v>
      </c>
      <c r="B24" s="497"/>
      <c r="C24" s="498">
        <v>37072</v>
      </c>
      <c r="D24" s="498"/>
      <c r="E24" s="499" t="s">
        <v>1653</v>
      </c>
      <c r="F24" s="232">
        <v>875338</v>
      </c>
      <c r="G24" s="232">
        <v>-375265</v>
      </c>
      <c r="H24" s="232">
        <v>500074</v>
      </c>
      <c r="I24" s="232">
        <v>-19477</v>
      </c>
      <c r="J24" s="232">
        <v>875338.42</v>
      </c>
      <c r="K24" s="232">
        <v>-355787.42</v>
      </c>
      <c r="L24" s="232">
        <v>519551</v>
      </c>
      <c r="M24" s="229">
        <v>-19125</v>
      </c>
      <c r="N24" s="484"/>
      <c r="O24" s="71"/>
    </row>
    <row r="25" spans="1:15" s="485" customFormat="1" ht="15">
      <c r="A25" s="485" t="s">
        <v>253</v>
      </c>
      <c r="B25" s="497"/>
      <c r="C25" s="498">
        <v>37438</v>
      </c>
      <c r="D25" s="498"/>
      <c r="E25" s="499" t="s">
        <v>1654</v>
      </c>
      <c r="F25" s="232">
        <v>3759861</v>
      </c>
      <c r="G25" s="232">
        <v>-1580235</v>
      </c>
      <c r="H25" s="232">
        <v>2179626</v>
      </c>
      <c r="I25" s="232">
        <v>-84562</v>
      </c>
      <c r="J25" s="232">
        <v>3759861.41</v>
      </c>
      <c r="K25" s="232">
        <v>-1495673.41</v>
      </c>
      <c r="L25" s="232">
        <v>2264188</v>
      </c>
      <c r="M25" s="229">
        <v>-83344</v>
      </c>
      <c r="N25" s="484"/>
      <c r="O25" s="71"/>
    </row>
    <row r="26" spans="1:15" s="485" customFormat="1" ht="15">
      <c r="A26" s="485" t="s">
        <v>257</v>
      </c>
      <c r="B26" s="497"/>
      <c r="C26" s="498">
        <v>37257</v>
      </c>
      <c r="D26" s="498"/>
      <c r="E26" s="499" t="s">
        <v>1655</v>
      </c>
      <c r="F26" s="232">
        <v>206434</v>
      </c>
      <c r="G26" s="232">
        <v>-87502</v>
      </c>
      <c r="H26" s="232">
        <v>118932</v>
      </c>
      <c r="I26" s="232">
        <v>-4622</v>
      </c>
      <c r="J26" s="232">
        <v>206433.72</v>
      </c>
      <c r="K26" s="232">
        <v>-82879.72</v>
      </c>
      <c r="L26" s="232">
        <v>123554</v>
      </c>
      <c r="M26" s="229">
        <v>-4548</v>
      </c>
      <c r="N26" s="484"/>
      <c r="O26" s="71"/>
    </row>
    <row r="27" spans="1:15" s="485" customFormat="1" ht="15">
      <c r="A27" s="485" t="s">
        <v>261</v>
      </c>
      <c r="B27" s="497"/>
      <c r="C27" s="498">
        <v>37257</v>
      </c>
      <c r="D27" s="498"/>
      <c r="E27" s="499" t="s">
        <v>1656</v>
      </c>
      <c r="F27" s="232">
        <v>157167</v>
      </c>
      <c r="G27" s="232">
        <v>-122736</v>
      </c>
      <c r="H27" s="232">
        <v>34431</v>
      </c>
      <c r="I27" s="232">
        <v>-1926</v>
      </c>
      <c r="J27" s="232">
        <v>157167.45000000001</v>
      </c>
      <c r="K27" s="232">
        <v>-120810.45</v>
      </c>
      <c r="L27" s="232">
        <v>36357</v>
      </c>
      <c r="M27" s="229">
        <v>-1338</v>
      </c>
      <c r="N27" s="484"/>
      <c r="O27" s="71"/>
    </row>
    <row r="28" spans="1:15" s="485" customFormat="1" ht="15">
      <c r="A28" s="485" t="s">
        <v>265</v>
      </c>
      <c r="B28" s="497"/>
      <c r="C28" s="498">
        <v>37987</v>
      </c>
      <c r="D28" s="498"/>
      <c r="E28" s="499" t="s">
        <v>1657</v>
      </c>
      <c r="F28" s="232">
        <v>4795066</v>
      </c>
      <c r="G28" s="232">
        <v>-1907518</v>
      </c>
      <c r="H28" s="232">
        <v>2887548</v>
      </c>
      <c r="I28" s="232">
        <v>-110905</v>
      </c>
      <c r="J28" s="232">
        <v>4795066.01</v>
      </c>
      <c r="K28" s="232">
        <v>-1796613.01</v>
      </c>
      <c r="L28" s="232">
        <v>2998453</v>
      </c>
      <c r="M28" s="229">
        <v>-110373</v>
      </c>
      <c r="N28" s="484"/>
      <c r="O28" s="71"/>
    </row>
    <row r="29" spans="1:15" s="485" customFormat="1" ht="15">
      <c r="A29" s="485" t="s">
        <v>273</v>
      </c>
      <c r="B29" s="497"/>
      <c r="C29" s="498">
        <v>37987</v>
      </c>
      <c r="D29" s="498"/>
      <c r="E29" s="499" t="s">
        <v>1658</v>
      </c>
      <c r="F29" s="232">
        <v>550776</v>
      </c>
      <c r="G29" s="232">
        <v>-219110</v>
      </c>
      <c r="H29" s="232">
        <v>331666</v>
      </c>
      <c r="I29" s="232">
        <v>-12739</v>
      </c>
      <c r="J29" s="232">
        <v>550775.93000000005</v>
      </c>
      <c r="K29" s="232">
        <v>-206370.93</v>
      </c>
      <c r="L29" s="232">
        <v>344405</v>
      </c>
      <c r="M29" s="229">
        <v>-12677</v>
      </c>
      <c r="N29" s="484"/>
      <c r="O29" s="71"/>
    </row>
    <row r="30" spans="1:15" s="485" customFormat="1" ht="15">
      <c r="A30" s="485" t="s">
        <v>270</v>
      </c>
      <c r="B30" s="497"/>
      <c r="C30" s="498">
        <v>37987</v>
      </c>
      <c r="D30" s="498"/>
      <c r="E30" s="499" t="s">
        <v>1658</v>
      </c>
      <c r="F30" s="232">
        <v>550776</v>
      </c>
      <c r="G30" s="232">
        <v>-219110</v>
      </c>
      <c r="H30" s="232">
        <v>331666</v>
      </c>
      <c r="I30" s="232">
        <v>-12739</v>
      </c>
      <c r="J30" s="232">
        <v>550775.89</v>
      </c>
      <c r="K30" s="232">
        <v>-206370.89</v>
      </c>
      <c r="L30" s="232">
        <v>344405</v>
      </c>
      <c r="M30" s="229">
        <v>-12677</v>
      </c>
      <c r="N30" s="484"/>
      <c r="O30" s="71"/>
    </row>
    <row r="31" spans="1:15" s="485" customFormat="1" ht="15">
      <c r="A31" s="485" t="s">
        <v>640</v>
      </c>
      <c r="B31" s="497"/>
      <c r="C31" s="498">
        <v>37987</v>
      </c>
      <c r="D31" s="498"/>
      <c r="E31" s="499" t="s">
        <v>1659</v>
      </c>
      <c r="F31" s="232">
        <v>657918</v>
      </c>
      <c r="G31" s="232">
        <v>-261736</v>
      </c>
      <c r="H31" s="232">
        <v>396182</v>
      </c>
      <c r="I31" s="232">
        <v>-15217</v>
      </c>
      <c r="J31" s="232">
        <v>657917.54</v>
      </c>
      <c r="K31" s="232">
        <v>-246518.54</v>
      </c>
      <c r="L31" s="232">
        <v>411399</v>
      </c>
      <c r="M31" s="229">
        <v>-15143</v>
      </c>
      <c r="N31" s="484"/>
    </row>
    <row r="32" spans="1:15" s="485" customFormat="1" ht="15">
      <c r="A32" s="485" t="s">
        <v>1006</v>
      </c>
      <c r="B32" s="497"/>
      <c r="C32" s="498">
        <v>37987</v>
      </c>
      <c r="D32" s="498"/>
      <c r="E32" s="499" t="s">
        <v>1660</v>
      </c>
      <c r="F32" s="232">
        <v>470106</v>
      </c>
      <c r="G32" s="232">
        <v>-187024</v>
      </c>
      <c r="H32" s="232">
        <v>283083</v>
      </c>
      <c r="I32" s="232">
        <v>-10872</v>
      </c>
      <c r="J32" s="232">
        <v>470106.43</v>
      </c>
      <c r="K32" s="232">
        <v>-176151.43</v>
      </c>
      <c r="L32" s="232">
        <v>293955</v>
      </c>
      <c r="M32" s="229">
        <v>-10820</v>
      </c>
      <c r="N32" s="484"/>
    </row>
    <row r="33" spans="1:14" s="485" customFormat="1" ht="15">
      <c r="A33" s="485" t="s">
        <v>1008</v>
      </c>
      <c r="B33" s="497"/>
      <c r="C33" s="498">
        <v>37987</v>
      </c>
      <c r="D33" s="498"/>
      <c r="E33" s="499" t="s">
        <v>1661</v>
      </c>
      <c r="F33" s="232">
        <v>647185</v>
      </c>
      <c r="G33" s="232">
        <v>-257466</v>
      </c>
      <c r="H33" s="232">
        <v>389720</v>
      </c>
      <c r="I33" s="232">
        <v>-14968</v>
      </c>
      <c r="J33" s="232">
        <v>647185.41</v>
      </c>
      <c r="K33" s="232">
        <v>-242497.41</v>
      </c>
      <c r="L33" s="232">
        <v>404688</v>
      </c>
      <c r="M33" s="229">
        <v>-14897</v>
      </c>
      <c r="N33" s="484"/>
    </row>
    <row r="34" spans="1:14" s="485" customFormat="1" ht="15">
      <c r="A34" s="485" t="s">
        <v>1010</v>
      </c>
      <c r="B34" s="497"/>
      <c r="C34" s="498">
        <v>37987</v>
      </c>
      <c r="D34" s="498"/>
      <c r="E34" s="499" t="s">
        <v>1662</v>
      </c>
      <c r="F34" s="232">
        <v>111221</v>
      </c>
      <c r="G34" s="232">
        <v>-44255</v>
      </c>
      <c r="H34" s="232">
        <v>66967</v>
      </c>
      <c r="I34" s="232">
        <v>-2572</v>
      </c>
      <c r="J34" s="232">
        <v>111221.23</v>
      </c>
      <c r="K34" s="232">
        <v>-41682.230000000003</v>
      </c>
      <c r="L34" s="232">
        <v>69539</v>
      </c>
      <c r="M34" s="229">
        <v>-2560</v>
      </c>
      <c r="N34" s="484"/>
    </row>
    <row r="35" spans="1:14" s="485" customFormat="1" ht="15">
      <c r="A35" s="485" t="s">
        <v>1012</v>
      </c>
      <c r="B35" s="497"/>
      <c r="C35" s="498">
        <v>37987</v>
      </c>
      <c r="D35" s="498"/>
      <c r="E35" s="499" t="s">
        <v>1663</v>
      </c>
      <c r="F35" s="232">
        <v>202557</v>
      </c>
      <c r="G35" s="232">
        <v>-80590</v>
      </c>
      <c r="H35" s="232">
        <v>121967</v>
      </c>
      <c r="I35" s="232">
        <v>-4684</v>
      </c>
      <c r="J35" s="232">
        <v>202557.24</v>
      </c>
      <c r="K35" s="232">
        <v>-75906.240000000005</v>
      </c>
      <c r="L35" s="232">
        <v>126651</v>
      </c>
      <c r="M35" s="229">
        <v>-4662</v>
      </c>
      <c r="N35" s="484"/>
    </row>
    <row r="36" spans="1:14" s="485" customFormat="1" ht="15">
      <c r="A36" s="485" t="s">
        <v>1014</v>
      </c>
      <c r="B36" s="497"/>
      <c r="C36" s="498">
        <v>37987</v>
      </c>
      <c r="D36" s="498"/>
      <c r="E36" s="499" t="s">
        <v>1664</v>
      </c>
      <c r="F36" s="232">
        <v>1369456</v>
      </c>
      <c r="G36" s="232">
        <v>-544792</v>
      </c>
      <c r="H36" s="232">
        <v>824664</v>
      </c>
      <c r="I36" s="232">
        <v>-31674</v>
      </c>
      <c r="J36" s="232">
        <v>1369456.07</v>
      </c>
      <c r="K36" s="232">
        <v>-513118.07</v>
      </c>
      <c r="L36" s="232">
        <v>856338</v>
      </c>
      <c r="M36" s="229">
        <v>-31522</v>
      </c>
      <c r="N36" s="484"/>
    </row>
    <row r="37" spans="1:14" s="485" customFormat="1" ht="15">
      <c r="A37" s="485" t="s">
        <v>1016</v>
      </c>
      <c r="B37" s="497"/>
      <c r="C37" s="498">
        <v>37987</v>
      </c>
      <c r="D37" s="498"/>
      <c r="E37" s="499" t="s">
        <v>1665</v>
      </c>
      <c r="F37" s="232">
        <v>158379</v>
      </c>
      <c r="G37" s="232">
        <v>-61082</v>
      </c>
      <c r="H37" s="232">
        <v>97297</v>
      </c>
      <c r="I37" s="232">
        <v>-3718</v>
      </c>
      <c r="J37" s="232">
        <v>158379.32999999999</v>
      </c>
      <c r="K37" s="232">
        <v>-57364.33</v>
      </c>
      <c r="L37" s="232">
        <v>101015</v>
      </c>
      <c r="M37" s="229">
        <v>-3718</v>
      </c>
      <c r="N37" s="484"/>
    </row>
    <row r="38" spans="1:14" s="485" customFormat="1" ht="15">
      <c r="A38" s="485" t="s">
        <v>1018</v>
      </c>
      <c r="B38" s="497"/>
      <c r="C38" s="498">
        <v>38353</v>
      </c>
      <c r="D38" s="498"/>
      <c r="E38" s="499" t="s">
        <v>1666</v>
      </c>
      <c r="F38" s="232">
        <v>188336</v>
      </c>
      <c r="G38" s="232">
        <v>-188336</v>
      </c>
      <c r="H38" s="232">
        <v>0</v>
      </c>
      <c r="I38" s="232">
        <v>0</v>
      </c>
      <c r="J38" s="232">
        <v>188335.56</v>
      </c>
      <c r="K38" s="232">
        <v>-188335.56</v>
      </c>
      <c r="L38" s="232">
        <v>0</v>
      </c>
      <c r="M38" s="229">
        <v>0</v>
      </c>
      <c r="N38" s="484"/>
    </row>
    <row r="39" spans="1:14" s="485" customFormat="1" ht="15">
      <c r="A39" s="485" t="s">
        <v>1020</v>
      </c>
      <c r="B39" s="497"/>
      <c r="C39" s="498">
        <v>39417</v>
      </c>
      <c r="D39" s="498"/>
      <c r="E39" s="499" t="s">
        <v>1667</v>
      </c>
      <c r="F39" s="232">
        <v>26924</v>
      </c>
      <c r="G39" s="232">
        <v>-14841</v>
      </c>
      <c r="H39" s="232">
        <v>12083</v>
      </c>
      <c r="I39" s="232">
        <v>-506</v>
      </c>
      <c r="J39" s="232">
        <v>26923.7</v>
      </c>
      <c r="K39" s="232">
        <v>-14334.7</v>
      </c>
      <c r="L39" s="232">
        <v>12589</v>
      </c>
      <c r="M39" s="229">
        <v>-463</v>
      </c>
      <c r="N39" s="484"/>
    </row>
    <row r="40" spans="1:14" s="485" customFormat="1" ht="15">
      <c r="A40" s="485" t="s">
        <v>1668</v>
      </c>
      <c r="B40" s="497"/>
      <c r="C40" s="500" t="s">
        <v>146</v>
      </c>
      <c r="D40" s="498"/>
      <c r="E40" s="500"/>
      <c r="F40" s="500"/>
      <c r="G40" s="500"/>
      <c r="H40" s="500"/>
      <c r="I40" s="500"/>
      <c r="J40" s="500"/>
      <c r="K40" s="500"/>
      <c r="L40" s="500"/>
      <c r="M40" s="500"/>
      <c r="N40" s="484"/>
    </row>
    <row r="41" spans="1:14" s="485" customFormat="1" ht="16.2" thickBot="1">
      <c r="A41" s="485">
        <v>2</v>
      </c>
      <c r="C41" s="501"/>
      <c r="D41" s="501"/>
      <c r="E41" s="502" t="s">
        <v>1669</v>
      </c>
      <c r="F41" s="503">
        <f>SUM(F17:F40)</f>
        <v>44743652</v>
      </c>
      <c r="G41" s="503">
        <f t="shared" ref="G41:M41" si="0">SUM(G17:G40)</f>
        <v>-18839026</v>
      </c>
      <c r="H41" s="503">
        <f t="shared" si="0"/>
        <v>25904631</v>
      </c>
      <c r="I41" s="503">
        <f>SUM(I17:I40)</f>
        <v>-1004224</v>
      </c>
      <c r="J41" s="503">
        <f t="shared" si="0"/>
        <v>44743653.020000003</v>
      </c>
      <c r="K41" s="503">
        <f t="shared" si="0"/>
        <v>-17834798.019999992</v>
      </c>
      <c r="L41" s="503">
        <f t="shared" si="0"/>
        <v>26908855</v>
      </c>
      <c r="M41" s="503">
        <f t="shared" si="0"/>
        <v>-990508</v>
      </c>
      <c r="N41" s="484"/>
    </row>
    <row r="42" spans="1:14" s="485" customFormat="1" ht="16.2" thickTop="1" thickBot="1">
      <c r="F42" s="504"/>
      <c r="G42" s="504"/>
      <c r="H42" s="504"/>
      <c r="I42" s="504"/>
      <c r="J42" s="504"/>
      <c r="K42" s="504"/>
      <c r="L42" s="504"/>
      <c r="M42" s="484"/>
      <c r="N42" s="484"/>
    </row>
    <row r="43" spans="1:14" s="485" customFormat="1" ht="16.2" thickBot="1">
      <c r="A43" s="485">
        <f>+A41+1</f>
        <v>3</v>
      </c>
      <c r="E43" s="505" t="s">
        <v>1670</v>
      </c>
      <c r="F43" s="504"/>
      <c r="G43" s="506">
        <f>G41-K41</f>
        <v>-1004227.9800000079</v>
      </c>
      <c r="H43" s="504"/>
      <c r="I43" s="504"/>
      <c r="J43" s="504"/>
      <c r="K43" s="504"/>
      <c r="L43" s="504"/>
      <c r="M43" s="484"/>
      <c r="N43" s="484"/>
    </row>
    <row r="44" spans="1:14" s="59" customFormat="1" ht="12"/>
    <row r="45" spans="1:14" s="59" customFormat="1" ht="12"/>
    <row r="46" spans="1:14" s="59" customFormat="1" ht="12"/>
    <row r="47" spans="1:14" s="485" customFormat="1" ht="15">
      <c r="A47" s="507"/>
      <c r="B47" s="507"/>
      <c r="C47" s="507"/>
      <c r="D47" s="507"/>
      <c r="E47" s="507"/>
      <c r="F47" s="507"/>
      <c r="G47" s="507"/>
      <c r="H47" s="507"/>
      <c r="I47" s="507"/>
      <c r="J47" s="508"/>
      <c r="K47" s="509"/>
      <c r="L47" s="508"/>
      <c r="M47" s="508"/>
      <c r="N47" s="484"/>
    </row>
    <row r="48" spans="1:14" s="485" customFormat="1" ht="15">
      <c r="J48" s="484"/>
      <c r="K48" s="510"/>
      <c r="L48" s="484"/>
      <c r="M48" s="484"/>
      <c r="N48" s="484"/>
    </row>
    <row r="49" spans="1:1" ht="15.6">
      <c r="A49" s="511" t="s">
        <v>1671</v>
      </c>
    </row>
  </sheetData>
  <customSheetViews>
    <customSheetView guid="{343BF296-013A-41F5-BDAB-AD6220EA7F78}" scale="70" showPageBreaks="1" fitToPage="1" printArea="1" hiddenColumns="1" view="pageBreakPreview">
      <selection activeCell="D33" sqref="D33"/>
      <pageMargins left="0" right="0" top="0" bottom="0" header="0" footer="0"/>
      <printOptions horizontalCentered="1"/>
      <pageSetup scale="62" orientation="landscape" r:id="rId1"/>
    </customSheetView>
    <customSheetView guid="{B321D76C-CDE5-48BB-9CDE-80FF97D58FCF}" scale="70" showPageBreaks="1" fitToPage="1" printArea="1" hiddenColumns="1" view="pageBreakPreview">
      <selection activeCell="D33" sqref="D33"/>
      <pageMargins left="0" right="0" top="0" bottom="0" header="0" footer="0"/>
      <printOptions horizontalCentered="1"/>
      <pageSetup scale="62" orientation="landscape" r:id="rId2"/>
    </customSheetView>
  </customSheetViews>
  <mergeCells count="7">
    <mergeCell ref="J12:L12"/>
    <mergeCell ref="F12:H12"/>
    <mergeCell ref="A10:M10"/>
    <mergeCell ref="A9:M9"/>
    <mergeCell ref="A5:M5"/>
    <mergeCell ref="A6:M6"/>
    <mergeCell ref="A7:M7"/>
  </mergeCells>
  <printOptions horizontalCentered="1"/>
  <pageMargins left="0.2" right="0.2" top="0.25" bottom="0.25" header="0.3" footer="0.3"/>
  <pageSetup scale="66" orientation="landscape" r:id="rId3"/>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0070C0"/>
    <pageSetUpPr fitToPage="1"/>
  </sheetPr>
  <dimension ref="A1:T66"/>
  <sheetViews>
    <sheetView view="pageBreakPreview" zoomScale="90" zoomScaleNormal="80" zoomScaleSheetLayoutView="90" workbookViewId="0">
      <selection activeCell="L23" sqref="L23"/>
    </sheetView>
  </sheetViews>
  <sheetFormatPr defaultRowHeight="13.2"/>
  <cols>
    <col min="1" max="1" width="9.109375" style="74" customWidth="1"/>
    <col min="2" max="2" width="57.109375" style="74" bestFit="1" customWidth="1"/>
    <col min="3" max="3" width="2.21875" style="74" customWidth="1"/>
    <col min="4" max="4" width="18.77734375" style="74" customWidth="1"/>
    <col min="5" max="5" width="1.77734375" style="74" customWidth="1"/>
    <col min="6" max="6" width="13.77734375" style="74" bestFit="1" customWidth="1"/>
    <col min="7" max="7" width="1.77734375" style="74" customWidth="1"/>
    <col min="8" max="8" width="16.77734375" style="74" bestFit="1" customWidth="1"/>
    <col min="9" max="9" width="1.33203125" style="74" customWidth="1"/>
    <col min="10" max="10" width="15" style="74" bestFit="1" customWidth="1"/>
    <col min="11" max="11" width="2.5546875" style="74" customWidth="1"/>
    <col min="12" max="12" width="14.33203125" style="74" bestFit="1" customWidth="1"/>
    <col min="13" max="13" width="4.77734375" style="74" customWidth="1"/>
    <col min="14" max="14" width="14.21875" style="74" bestFit="1" customWidth="1"/>
    <col min="15" max="15" width="2" style="74" customWidth="1"/>
    <col min="16" max="16" width="16.77734375" style="74" bestFit="1" customWidth="1"/>
    <col min="17" max="17" width="2.33203125" style="74" customWidth="1"/>
    <col min="18" max="18" width="15" style="74" bestFit="1" customWidth="1"/>
    <col min="19" max="19" width="1.77734375" style="74" customWidth="1"/>
    <col min="20" max="20" width="14.33203125" style="74" bestFit="1" customWidth="1"/>
    <col min="21" max="257" width="9" style="74"/>
    <col min="258" max="258" width="40.109375" style="74" bestFit="1" customWidth="1"/>
    <col min="259" max="259" width="6.77734375" style="74" customWidth="1"/>
    <col min="260" max="260" width="12.77734375" style="74" bestFit="1" customWidth="1"/>
    <col min="261" max="261" width="12.33203125" style="74" bestFit="1" customWidth="1"/>
    <col min="262" max="262" width="8.77734375" style="74" bestFit="1" customWidth="1"/>
    <col min="263" max="263" width="15.21875" style="74" bestFit="1" customWidth="1"/>
    <col min="264" max="264" width="13.33203125" style="74" customWidth="1"/>
    <col min="265" max="265" width="2.77734375" style="74" customWidth="1"/>
    <col min="266" max="266" width="12" style="74" bestFit="1" customWidth="1"/>
    <col min="267" max="267" width="8.109375" style="74" bestFit="1" customWidth="1"/>
    <col min="268" max="268" width="10.21875" style="74" customWidth="1"/>
    <col min="269" max="513" width="9" style="74"/>
    <col min="514" max="514" width="40.109375" style="74" bestFit="1" customWidth="1"/>
    <col min="515" max="515" width="6.77734375" style="74" customWidth="1"/>
    <col min="516" max="516" width="12.77734375" style="74" bestFit="1" customWidth="1"/>
    <col min="517" max="517" width="12.33203125" style="74" bestFit="1" customWidth="1"/>
    <col min="518" max="518" width="8.77734375" style="74" bestFit="1" customWidth="1"/>
    <col min="519" max="519" width="15.21875" style="74" bestFit="1" customWidth="1"/>
    <col min="520" max="520" width="13.33203125" style="74" customWidth="1"/>
    <col min="521" max="521" width="2.77734375" style="74" customWidth="1"/>
    <col min="522" max="522" width="12" style="74" bestFit="1" customWidth="1"/>
    <col min="523" max="523" width="8.109375" style="74" bestFit="1" customWidth="1"/>
    <col min="524" max="524" width="10.21875" style="74" customWidth="1"/>
    <col min="525" max="769" width="9" style="74"/>
    <col min="770" max="770" width="40.109375" style="74" bestFit="1" customWidth="1"/>
    <col min="771" max="771" width="6.77734375" style="74" customWidth="1"/>
    <col min="772" max="772" width="12.77734375" style="74" bestFit="1" customWidth="1"/>
    <col min="773" max="773" width="12.33203125" style="74" bestFit="1" customWidth="1"/>
    <col min="774" max="774" width="8.77734375" style="74" bestFit="1" customWidth="1"/>
    <col min="775" max="775" width="15.21875" style="74" bestFit="1" customWidth="1"/>
    <col min="776" max="776" width="13.33203125" style="74" customWidth="1"/>
    <col min="777" max="777" width="2.77734375" style="74" customWidth="1"/>
    <col min="778" max="778" width="12" style="74" bestFit="1" customWidth="1"/>
    <col min="779" max="779" width="8.109375" style="74" bestFit="1" customWidth="1"/>
    <col min="780" max="780" width="10.21875" style="74" customWidth="1"/>
    <col min="781" max="1025" width="9" style="74"/>
    <col min="1026" max="1026" width="40.109375" style="74" bestFit="1" customWidth="1"/>
    <col min="1027" max="1027" width="6.77734375" style="74" customWidth="1"/>
    <col min="1028" max="1028" width="12.77734375" style="74" bestFit="1" customWidth="1"/>
    <col min="1029" max="1029" width="12.33203125" style="74" bestFit="1" customWidth="1"/>
    <col min="1030" max="1030" width="8.77734375" style="74" bestFit="1" customWidth="1"/>
    <col min="1031" max="1031" width="15.21875" style="74" bestFit="1" customWidth="1"/>
    <col min="1032" max="1032" width="13.33203125" style="74" customWidth="1"/>
    <col min="1033" max="1033" width="2.77734375" style="74" customWidth="1"/>
    <col min="1034" max="1034" width="12" style="74" bestFit="1" customWidth="1"/>
    <col min="1035" max="1035" width="8.109375" style="74" bestFit="1" customWidth="1"/>
    <col min="1036" max="1036" width="10.21875" style="74" customWidth="1"/>
    <col min="1037" max="1281" width="9" style="74"/>
    <col min="1282" max="1282" width="40.109375" style="74" bestFit="1" customWidth="1"/>
    <col min="1283" max="1283" width="6.77734375" style="74" customWidth="1"/>
    <col min="1284" max="1284" width="12.77734375" style="74" bestFit="1" customWidth="1"/>
    <col min="1285" max="1285" width="12.33203125" style="74" bestFit="1" customWidth="1"/>
    <col min="1286" max="1286" width="8.77734375" style="74" bestFit="1" customWidth="1"/>
    <col min="1287" max="1287" width="15.21875" style="74" bestFit="1" customWidth="1"/>
    <col min="1288" max="1288" width="13.33203125" style="74" customWidth="1"/>
    <col min="1289" max="1289" width="2.77734375" style="74" customWidth="1"/>
    <col min="1290" max="1290" width="12" style="74" bestFit="1" customWidth="1"/>
    <col min="1291" max="1291" width="8.109375" style="74" bestFit="1" customWidth="1"/>
    <col min="1292" max="1292" width="10.21875" style="74" customWidth="1"/>
    <col min="1293" max="1537" width="9" style="74"/>
    <col min="1538" max="1538" width="40.109375" style="74" bestFit="1" customWidth="1"/>
    <col min="1539" max="1539" width="6.77734375" style="74" customWidth="1"/>
    <col min="1540" max="1540" width="12.77734375" style="74" bestFit="1" customWidth="1"/>
    <col min="1541" max="1541" width="12.33203125" style="74" bestFit="1" customWidth="1"/>
    <col min="1542" max="1542" width="8.77734375" style="74" bestFit="1" customWidth="1"/>
    <col min="1543" max="1543" width="15.21875" style="74" bestFit="1" customWidth="1"/>
    <col min="1544" max="1544" width="13.33203125" style="74" customWidth="1"/>
    <col min="1545" max="1545" width="2.77734375" style="74" customWidth="1"/>
    <col min="1546" max="1546" width="12" style="74" bestFit="1" customWidth="1"/>
    <col min="1547" max="1547" width="8.109375" style="74" bestFit="1" customWidth="1"/>
    <col min="1548" max="1548" width="10.21875" style="74" customWidth="1"/>
    <col min="1549" max="1793" width="9" style="74"/>
    <col min="1794" max="1794" width="40.109375" style="74" bestFit="1" customWidth="1"/>
    <col min="1795" max="1795" width="6.77734375" style="74" customWidth="1"/>
    <col min="1796" max="1796" width="12.77734375" style="74" bestFit="1" customWidth="1"/>
    <col min="1797" max="1797" width="12.33203125" style="74" bestFit="1" customWidth="1"/>
    <col min="1798" max="1798" width="8.77734375" style="74" bestFit="1" customWidth="1"/>
    <col min="1799" max="1799" width="15.21875" style="74" bestFit="1" customWidth="1"/>
    <col min="1800" max="1800" width="13.33203125" style="74" customWidth="1"/>
    <col min="1801" max="1801" width="2.77734375" style="74" customWidth="1"/>
    <col min="1802" max="1802" width="12" style="74" bestFit="1" customWidth="1"/>
    <col min="1803" max="1803" width="8.109375" style="74" bestFit="1" customWidth="1"/>
    <col min="1804" max="1804" width="10.21875" style="74" customWidth="1"/>
    <col min="1805" max="2049" width="9" style="74"/>
    <col min="2050" max="2050" width="40.109375" style="74" bestFit="1" customWidth="1"/>
    <col min="2051" max="2051" width="6.77734375" style="74" customWidth="1"/>
    <col min="2052" max="2052" width="12.77734375" style="74" bestFit="1" customWidth="1"/>
    <col min="2053" max="2053" width="12.33203125" style="74" bestFit="1" customWidth="1"/>
    <col min="2054" max="2054" width="8.77734375" style="74" bestFit="1" customWidth="1"/>
    <col min="2055" max="2055" width="15.21875" style="74" bestFit="1" customWidth="1"/>
    <col min="2056" max="2056" width="13.33203125" style="74" customWidth="1"/>
    <col min="2057" max="2057" width="2.77734375" style="74" customWidth="1"/>
    <col min="2058" max="2058" width="12" style="74" bestFit="1" customWidth="1"/>
    <col min="2059" max="2059" width="8.109375" style="74" bestFit="1" customWidth="1"/>
    <col min="2060" max="2060" width="10.21875" style="74" customWidth="1"/>
    <col min="2061" max="2305" width="9" style="74"/>
    <col min="2306" max="2306" width="40.109375" style="74" bestFit="1" customWidth="1"/>
    <col min="2307" max="2307" width="6.77734375" style="74" customWidth="1"/>
    <col min="2308" max="2308" width="12.77734375" style="74" bestFit="1" customWidth="1"/>
    <col min="2309" max="2309" width="12.33203125" style="74" bestFit="1" customWidth="1"/>
    <col min="2310" max="2310" width="8.77734375" style="74" bestFit="1" customWidth="1"/>
    <col min="2311" max="2311" width="15.21875" style="74" bestFit="1" customWidth="1"/>
    <col min="2312" max="2312" width="13.33203125" style="74" customWidth="1"/>
    <col min="2313" max="2313" width="2.77734375" style="74" customWidth="1"/>
    <col min="2314" max="2314" width="12" style="74" bestFit="1" customWidth="1"/>
    <col min="2315" max="2315" width="8.109375" style="74" bestFit="1" customWidth="1"/>
    <col min="2316" max="2316" width="10.21875" style="74" customWidth="1"/>
    <col min="2317" max="2561" width="9" style="74"/>
    <col min="2562" max="2562" width="40.109375" style="74" bestFit="1" customWidth="1"/>
    <col min="2563" max="2563" width="6.77734375" style="74" customWidth="1"/>
    <col min="2564" max="2564" width="12.77734375" style="74" bestFit="1" customWidth="1"/>
    <col min="2565" max="2565" width="12.33203125" style="74" bestFit="1" customWidth="1"/>
    <col min="2566" max="2566" width="8.77734375" style="74" bestFit="1" customWidth="1"/>
    <col min="2567" max="2567" width="15.21875" style="74" bestFit="1" customWidth="1"/>
    <col min="2568" max="2568" width="13.33203125" style="74" customWidth="1"/>
    <col min="2569" max="2569" width="2.77734375" style="74" customWidth="1"/>
    <col min="2570" max="2570" width="12" style="74" bestFit="1" customWidth="1"/>
    <col min="2571" max="2571" width="8.109375" style="74" bestFit="1" customWidth="1"/>
    <col min="2572" max="2572" width="10.21875" style="74" customWidth="1"/>
    <col min="2573" max="2817" width="9" style="74"/>
    <col min="2818" max="2818" width="40.109375" style="74" bestFit="1" customWidth="1"/>
    <col min="2819" max="2819" width="6.77734375" style="74" customWidth="1"/>
    <col min="2820" max="2820" width="12.77734375" style="74" bestFit="1" customWidth="1"/>
    <col min="2821" max="2821" width="12.33203125" style="74" bestFit="1" customWidth="1"/>
    <col min="2822" max="2822" width="8.77734375" style="74" bestFit="1" customWidth="1"/>
    <col min="2823" max="2823" width="15.21875" style="74" bestFit="1" customWidth="1"/>
    <col min="2824" max="2824" width="13.33203125" style="74" customWidth="1"/>
    <col min="2825" max="2825" width="2.77734375" style="74" customWidth="1"/>
    <col min="2826" max="2826" width="12" style="74" bestFit="1" customWidth="1"/>
    <col min="2827" max="2827" width="8.109375" style="74" bestFit="1" customWidth="1"/>
    <col min="2828" max="2828" width="10.21875" style="74" customWidth="1"/>
    <col min="2829" max="3073" width="9" style="74"/>
    <col min="3074" max="3074" width="40.109375" style="74" bestFit="1" customWidth="1"/>
    <col min="3075" max="3075" width="6.77734375" style="74" customWidth="1"/>
    <col min="3076" max="3076" width="12.77734375" style="74" bestFit="1" customWidth="1"/>
    <col min="3077" max="3077" width="12.33203125" style="74" bestFit="1" customWidth="1"/>
    <col min="3078" max="3078" width="8.77734375" style="74" bestFit="1" customWidth="1"/>
    <col min="3079" max="3079" width="15.21875" style="74" bestFit="1" customWidth="1"/>
    <col min="3080" max="3080" width="13.33203125" style="74" customWidth="1"/>
    <col min="3081" max="3081" width="2.77734375" style="74" customWidth="1"/>
    <col min="3082" max="3082" width="12" style="74" bestFit="1" customWidth="1"/>
    <col min="3083" max="3083" width="8.109375" style="74" bestFit="1" customWidth="1"/>
    <col min="3084" max="3084" width="10.21875" style="74" customWidth="1"/>
    <col min="3085" max="3329" width="9" style="74"/>
    <col min="3330" max="3330" width="40.109375" style="74" bestFit="1" customWidth="1"/>
    <col min="3331" max="3331" width="6.77734375" style="74" customWidth="1"/>
    <col min="3332" max="3332" width="12.77734375" style="74" bestFit="1" customWidth="1"/>
    <col min="3333" max="3333" width="12.33203125" style="74" bestFit="1" customWidth="1"/>
    <col min="3334" max="3334" width="8.77734375" style="74" bestFit="1" customWidth="1"/>
    <col min="3335" max="3335" width="15.21875" style="74" bestFit="1" customWidth="1"/>
    <col min="3336" max="3336" width="13.33203125" style="74" customWidth="1"/>
    <col min="3337" max="3337" width="2.77734375" style="74" customWidth="1"/>
    <col min="3338" max="3338" width="12" style="74" bestFit="1" customWidth="1"/>
    <col min="3339" max="3339" width="8.109375" style="74" bestFit="1" customWidth="1"/>
    <col min="3340" max="3340" width="10.21875" style="74" customWidth="1"/>
    <col min="3341" max="3585" width="9" style="74"/>
    <col min="3586" max="3586" width="40.109375" style="74" bestFit="1" customWidth="1"/>
    <col min="3587" max="3587" width="6.77734375" style="74" customWidth="1"/>
    <col min="3588" max="3588" width="12.77734375" style="74" bestFit="1" customWidth="1"/>
    <col min="3589" max="3589" width="12.33203125" style="74" bestFit="1" customWidth="1"/>
    <col min="3590" max="3590" width="8.77734375" style="74" bestFit="1" customWidth="1"/>
    <col min="3591" max="3591" width="15.21875" style="74" bestFit="1" customWidth="1"/>
    <col min="3592" max="3592" width="13.33203125" style="74" customWidth="1"/>
    <col min="3593" max="3593" width="2.77734375" style="74" customWidth="1"/>
    <col min="3594" max="3594" width="12" style="74" bestFit="1" customWidth="1"/>
    <col min="3595" max="3595" width="8.109375" style="74" bestFit="1" customWidth="1"/>
    <col min="3596" max="3596" width="10.21875" style="74" customWidth="1"/>
    <col min="3597" max="3841" width="9" style="74"/>
    <col min="3842" max="3842" width="40.109375" style="74" bestFit="1" customWidth="1"/>
    <col min="3843" max="3843" width="6.77734375" style="74" customWidth="1"/>
    <col min="3844" max="3844" width="12.77734375" style="74" bestFit="1" customWidth="1"/>
    <col min="3845" max="3845" width="12.33203125" style="74" bestFit="1" customWidth="1"/>
    <col min="3846" max="3846" width="8.77734375" style="74" bestFit="1" customWidth="1"/>
    <col min="3847" max="3847" width="15.21875" style="74" bestFit="1" customWidth="1"/>
    <col min="3848" max="3848" width="13.33203125" style="74" customWidth="1"/>
    <col min="3849" max="3849" width="2.77734375" style="74" customWidth="1"/>
    <col min="3850" max="3850" width="12" style="74" bestFit="1" customWidth="1"/>
    <col min="3851" max="3851" width="8.109375" style="74" bestFit="1" customWidth="1"/>
    <col min="3852" max="3852" width="10.21875" style="74" customWidth="1"/>
    <col min="3853" max="4097" width="9" style="74"/>
    <col min="4098" max="4098" width="40.109375" style="74" bestFit="1" customWidth="1"/>
    <col min="4099" max="4099" width="6.77734375" style="74" customWidth="1"/>
    <col min="4100" max="4100" width="12.77734375" style="74" bestFit="1" customWidth="1"/>
    <col min="4101" max="4101" width="12.33203125" style="74" bestFit="1" customWidth="1"/>
    <col min="4102" max="4102" width="8.77734375" style="74" bestFit="1" customWidth="1"/>
    <col min="4103" max="4103" width="15.21875" style="74" bestFit="1" customWidth="1"/>
    <col min="4104" max="4104" width="13.33203125" style="74" customWidth="1"/>
    <col min="4105" max="4105" width="2.77734375" style="74" customWidth="1"/>
    <col min="4106" max="4106" width="12" style="74" bestFit="1" customWidth="1"/>
    <col min="4107" max="4107" width="8.109375" style="74" bestFit="1" customWidth="1"/>
    <col min="4108" max="4108" width="10.21875" style="74" customWidth="1"/>
    <col min="4109" max="4353" width="9" style="74"/>
    <col min="4354" max="4354" width="40.109375" style="74" bestFit="1" customWidth="1"/>
    <col min="4355" max="4355" width="6.77734375" style="74" customWidth="1"/>
    <col min="4356" max="4356" width="12.77734375" style="74" bestFit="1" customWidth="1"/>
    <col min="4357" max="4357" width="12.33203125" style="74" bestFit="1" customWidth="1"/>
    <col min="4358" max="4358" width="8.77734375" style="74" bestFit="1" customWidth="1"/>
    <col min="4359" max="4359" width="15.21875" style="74" bestFit="1" customWidth="1"/>
    <col min="4360" max="4360" width="13.33203125" style="74" customWidth="1"/>
    <col min="4361" max="4361" width="2.77734375" style="74" customWidth="1"/>
    <col min="4362" max="4362" width="12" style="74" bestFit="1" customWidth="1"/>
    <col min="4363" max="4363" width="8.109375" style="74" bestFit="1" customWidth="1"/>
    <col min="4364" max="4364" width="10.21875" style="74" customWidth="1"/>
    <col min="4365" max="4609" width="9" style="74"/>
    <col min="4610" max="4610" width="40.109375" style="74" bestFit="1" customWidth="1"/>
    <col min="4611" max="4611" width="6.77734375" style="74" customWidth="1"/>
    <col min="4612" max="4612" width="12.77734375" style="74" bestFit="1" customWidth="1"/>
    <col min="4613" max="4613" width="12.33203125" style="74" bestFit="1" customWidth="1"/>
    <col min="4614" max="4614" width="8.77734375" style="74" bestFit="1" customWidth="1"/>
    <col min="4615" max="4615" width="15.21875" style="74" bestFit="1" customWidth="1"/>
    <col min="4616" max="4616" width="13.33203125" style="74" customWidth="1"/>
    <col min="4617" max="4617" width="2.77734375" style="74" customWidth="1"/>
    <col min="4618" max="4618" width="12" style="74" bestFit="1" customWidth="1"/>
    <col min="4619" max="4619" width="8.109375" style="74" bestFit="1" customWidth="1"/>
    <col min="4620" max="4620" width="10.21875" style="74" customWidth="1"/>
    <col min="4621" max="4865" width="9" style="74"/>
    <col min="4866" max="4866" width="40.109375" style="74" bestFit="1" customWidth="1"/>
    <col min="4867" max="4867" width="6.77734375" style="74" customWidth="1"/>
    <col min="4868" max="4868" width="12.77734375" style="74" bestFit="1" customWidth="1"/>
    <col min="4869" max="4869" width="12.33203125" style="74" bestFit="1" customWidth="1"/>
    <col min="4870" max="4870" width="8.77734375" style="74" bestFit="1" customWidth="1"/>
    <col min="4871" max="4871" width="15.21875" style="74" bestFit="1" customWidth="1"/>
    <col min="4872" max="4872" width="13.33203125" style="74" customWidth="1"/>
    <col min="4873" max="4873" width="2.77734375" style="74" customWidth="1"/>
    <col min="4874" max="4874" width="12" style="74" bestFit="1" customWidth="1"/>
    <col min="4875" max="4875" width="8.109375" style="74" bestFit="1" customWidth="1"/>
    <col min="4876" max="4876" width="10.21875" style="74" customWidth="1"/>
    <col min="4877" max="5121" width="9" style="74"/>
    <col min="5122" max="5122" width="40.109375" style="74" bestFit="1" customWidth="1"/>
    <col min="5123" max="5123" width="6.77734375" style="74" customWidth="1"/>
    <col min="5124" max="5124" width="12.77734375" style="74" bestFit="1" customWidth="1"/>
    <col min="5125" max="5125" width="12.33203125" style="74" bestFit="1" customWidth="1"/>
    <col min="5126" max="5126" width="8.77734375" style="74" bestFit="1" customWidth="1"/>
    <col min="5127" max="5127" width="15.21875" style="74" bestFit="1" customWidth="1"/>
    <col min="5128" max="5128" width="13.33203125" style="74" customWidth="1"/>
    <col min="5129" max="5129" width="2.77734375" style="74" customWidth="1"/>
    <col min="5130" max="5130" width="12" style="74" bestFit="1" customWidth="1"/>
    <col min="5131" max="5131" width="8.109375" style="74" bestFit="1" customWidth="1"/>
    <col min="5132" max="5132" width="10.21875" style="74" customWidth="1"/>
    <col min="5133" max="5377" width="9" style="74"/>
    <col min="5378" max="5378" width="40.109375" style="74" bestFit="1" customWidth="1"/>
    <col min="5379" max="5379" width="6.77734375" style="74" customWidth="1"/>
    <col min="5380" max="5380" width="12.77734375" style="74" bestFit="1" customWidth="1"/>
    <col min="5381" max="5381" width="12.33203125" style="74" bestFit="1" customWidth="1"/>
    <col min="5382" max="5382" width="8.77734375" style="74" bestFit="1" customWidth="1"/>
    <col min="5383" max="5383" width="15.21875" style="74" bestFit="1" customWidth="1"/>
    <col min="5384" max="5384" width="13.33203125" style="74" customWidth="1"/>
    <col min="5385" max="5385" width="2.77734375" style="74" customWidth="1"/>
    <col min="5386" max="5386" width="12" style="74" bestFit="1" customWidth="1"/>
    <col min="5387" max="5387" width="8.109375" style="74" bestFit="1" customWidth="1"/>
    <col min="5388" max="5388" width="10.21875" style="74" customWidth="1"/>
    <col min="5389" max="5633" width="9" style="74"/>
    <col min="5634" max="5634" width="40.109375" style="74" bestFit="1" customWidth="1"/>
    <col min="5635" max="5635" width="6.77734375" style="74" customWidth="1"/>
    <col min="5636" max="5636" width="12.77734375" style="74" bestFit="1" customWidth="1"/>
    <col min="5637" max="5637" width="12.33203125" style="74" bestFit="1" customWidth="1"/>
    <col min="5638" max="5638" width="8.77734375" style="74" bestFit="1" customWidth="1"/>
    <col min="5639" max="5639" width="15.21875" style="74" bestFit="1" customWidth="1"/>
    <col min="5640" max="5640" width="13.33203125" style="74" customWidth="1"/>
    <col min="5641" max="5641" width="2.77734375" style="74" customWidth="1"/>
    <col min="5642" max="5642" width="12" style="74" bestFit="1" customWidth="1"/>
    <col min="5643" max="5643" width="8.109375" style="74" bestFit="1" customWidth="1"/>
    <col min="5644" max="5644" width="10.21875" style="74" customWidth="1"/>
    <col min="5645" max="5889" width="9" style="74"/>
    <col min="5890" max="5890" width="40.109375" style="74" bestFit="1" customWidth="1"/>
    <col min="5891" max="5891" width="6.77734375" style="74" customWidth="1"/>
    <col min="5892" max="5892" width="12.77734375" style="74" bestFit="1" customWidth="1"/>
    <col min="5893" max="5893" width="12.33203125" style="74" bestFit="1" customWidth="1"/>
    <col min="5894" max="5894" width="8.77734375" style="74" bestFit="1" customWidth="1"/>
    <col min="5895" max="5895" width="15.21875" style="74" bestFit="1" customWidth="1"/>
    <col min="5896" max="5896" width="13.33203125" style="74" customWidth="1"/>
    <col min="5897" max="5897" width="2.77734375" style="74" customWidth="1"/>
    <col min="5898" max="5898" width="12" style="74" bestFit="1" customWidth="1"/>
    <col min="5899" max="5899" width="8.109375" style="74" bestFit="1" customWidth="1"/>
    <col min="5900" max="5900" width="10.21875" style="74" customWidth="1"/>
    <col min="5901" max="6145" width="9" style="74"/>
    <col min="6146" max="6146" width="40.109375" style="74" bestFit="1" customWidth="1"/>
    <col min="6147" max="6147" width="6.77734375" style="74" customWidth="1"/>
    <col min="6148" max="6148" width="12.77734375" style="74" bestFit="1" customWidth="1"/>
    <col min="6149" max="6149" width="12.33203125" style="74" bestFit="1" customWidth="1"/>
    <col min="6150" max="6150" width="8.77734375" style="74" bestFit="1" customWidth="1"/>
    <col min="6151" max="6151" width="15.21875" style="74" bestFit="1" customWidth="1"/>
    <col min="6152" max="6152" width="13.33203125" style="74" customWidth="1"/>
    <col min="6153" max="6153" width="2.77734375" style="74" customWidth="1"/>
    <col min="6154" max="6154" width="12" style="74" bestFit="1" customWidth="1"/>
    <col min="6155" max="6155" width="8.109375" style="74" bestFit="1" customWidth="1"/>
    <col min="6156" max="6156" width="10.21875" style="74" customWidth="1"/>
    <col min="6157" max="6401" width="9" style="74"/>
    <col min="6402" max="6402" width="40.109375" style="74" bestFit="1" customWidth="1"/>
    <col min="6403" max="6403" width="6.77734375" style="74" customWidth="1"/>
    <col min="6404" max="6404" width="12.77734375" style="74" bestFit="1" customWidth="1"/>
    <col min="6405" max="6405" width="12.33203125" style="74" bestFit="1" customWidth="1"/>
    <col min="6406" max="6406" width="8.77734375" style="74" bestFit="1" customWidth="1"/>
    <col min="6407" max="6407" width="15.21875" style="74" bestFit="1" customWidth="1"/>
    <col min="6408" max="6408" width="13.33203125" style="74" customWidth="1"/>
    <col min="6409" max="6409" width="2.77734375" style="74" customWidth="1"/>
    <col min="6410" max="6410" width="12" style="74" bestFit="1" customWidth="1"/>
    <col min="6411" max="6411" width="8.109375" style="74" bestFit="1" customWidth="1"/>
    <col min="6412" max="6412" width="10.21875" style="74" customWidth="1"/>
    <col min="6413" max="6657" width="9" style="74"/>
    <col min="6658" max="6658" width="40.109375" style="74" bestFit="1" customWidth="1"/>
    <col min="6659" max="6659" width="6.77734375" style="74" customWidth="1"/>
    <col min="6660" max="6660" width="12.77734375" style="74" bestFit="1" customWidth="1"/>
    <col min="6661" max="6661" width="12.33203125" style="74" bestFit="1" customWidth="1"/>
    <col min="6662" max="6662" width="8.77734375" style="74" bestFit="1" customWidth="1"/>
    <col min="6663" max="6663" width="15.21875" style="74" bestFit="1" customWidth="1"/>
    <col min="6664" max="6664" width="13.33203125" style="74" customWidth="1"/>
    <col min="6665" max="6665" width="2.77734375" style="74" customWidth="1"/>
    <col min="6666" max="6666" width="12" style="74" bestFit="1" customWidth="1"/>
    <col min="6667" max="6667" width="8.109375" style="74" bestFit="1" customWidth="1"/>
    <col min="6668" max="6668" width="10.21875" style="74" customWidth="1"/>
    <col min="6669" max="6913" width="9" style="74"/>
    <col min="6914" max="6914" width="40.109375" style="74" bestFit="1" customWidth="1"/>
    <col min="6915" max="6915" width="6.77734375" style="74" customWidth="1"/>
    <col min="6916" max="6916" width="12.77734375" style="74" bestFit="1" customWidth="1"/>
    <col min="6917" max="6917" width="12.33203125" style="74" bestFit="1" customWidth="1"/>
    <col min="6918" max="6918" width="8.77734375" style="74" bestFit="1" customWidth="1"/>
    <col min="6919" max="6919" width="15.21875" style="74" bestFit="1" customWidth="1"/>
    <col min="6920" max="6920" width="13.33203125" style="74" customWidth="1"/>
    <col min="6921" max="6921" width="2.77734375" style="74" customWidth="1"/>
    <col min="6922" max="6922" width="12" style="74" bestFit="1" customWidth="1"/>
    <col min="6923" max="6923" width="8.109375" style="74" bestFit="1" customWidth="1"/>
    <col min="6924" max="6924" width="10.21875" style="74" customWidth="1"/>
    <col min="6925" max="7169" width="9" style="74"/>
    <col min="7170" max="7170" width="40.109375" style="74" bestFit="1" customWidth="1"/>
    <col min="7171" max="7171" width="6.77734375" style="74" customWidth="1"/>
    <col min="7172" max="7172" width="12.77734375" style="74" bestFit="1" customWidth="1"/>
    <col min="7173" max="7173" width="12.33203125" style="74" bestFit="1" customWidth="1"/>
    <col min="7174" max="7174" width="8.77734375" style="74" bestFit="1" customWidth="1"/>
    <col min="7175" max="7175" width="15.21875" style="74" bestFit="1" customWidth="1"/>
    <col min="7176" max="7176" width="13.33203125" style="74" customWidth="1"/>
    <col min="7177" max="7177" width="2.77734375" style="74" customWidth="1"/>
    <col min="7178" max="7178" width="12" style="74" bestFit="1" customWidth="1"/>
    <col min="7179" max="7179" width="8.109375" style="74" bestFit="1" customWidth="1"/>
    <col min="7180" max="7180" width="10.21875" style="74" customWidth="1"/>
    <col min="7181" max="7425" width="9" style="74"/>
    <col min="7426" max="7426" width="40.109375" style="74" bestFit="1" customWidth="1"/>
    <col min="7427" max="7427" width="6.77734375" style="74" customWidth="1"/>
    <col min="7428" max="7428" width="12.77734375" style="74" bestFit="1" customWidth="1"/>
    <col min="7429" max="7429" width="12.33203125" style="74" bestFit="1" customWidth="1"/>
    <col min="7430" max="7430" width="8.77734375" style="74" bestFit="1" customWidth="1"/>
    <col min="7431" max="7431" width="15.21875" style="74" bestFit="1" customWidth="1"/>
    <col min="7432" max="7432" width="13.33203125" style="74" customWidth="1"/>
    <col min="7433" max="7433" width="2.77734375" style="74" customWidth="1"/>
    <col min="7434" max="7434" width="12" style="74" bestFit="1" customWidth="1"/>
    <col min="7435" max="7435" width="8.109375" style="74" bestFit="1" customWidth="1"/>
    <col min="7436" max="7436" width="10.21875" style="74" customWidth="1"/>
    <col min="7437" max="7681" width="9" style="74"/>
    <col min="7682" max="7682" width="40.109375" style="74" bestFit="1" customWidth="1"/>
    <col min="7683" max="7683" width="6.77734375" style="74" customWidth="1"/>
    <col min="7684" max="7684" width="12.77734375" style="74" bestFit="1" customWidth="1"/>
    <col min="7685" max="7685" width="12.33203125" style="74" bestFit="1" customWidth="1"/>
    <col min="7686" max="7686" width="8.77734375" style="74" bestFit="1" customWidth="1"/>
    <col min="7687" max="7687" width="15.21875" style="74" bestFit="1" customWidth="1"/>
    <col min="7688" max="7688" width="13.33203125" style="74" customWidth="1"/>
    <col min="7689" max="7689" width="2.77734375" style="74" customWidth="1"/>
    <col min="7690" max="7690" width="12" style="74" bestFit="1" customWidth="1"/>
    <col min="7691" max="7691" width="8.109375" style="74" bestFit="1" customWidth="1"/>
    <col min="7692" max="7692" width="10.21875" style="74" customWidth="1"/>
    <col min="7693" max="7937" width="9" style="74"/>
    <col min="7938" max="7938" width="40.109375" style="74" bestFit="1" customWidth="1"/>
    <col min="7939" max="7939" width="6.77734375" style="74" customWidth="1"/>
    <col min="7940" max="7940" width="12.77734375" style="74" bestFit="1" customWidth="1"/>
    <col min="7941" max="7941" width="12.33203125" style="74" bestFit="1" customWidth="1"/>
    <col min="7942" max="7942" width="8.77734375" style="74" bestFit="1" customWidth="1"/>
    <col min="7943" max="7943" width="15.21875" style="74" bestFit="1" customWidth="1"/>
    <col min="7944" max="7944" width="13.33203125" style="74" customWidth="1"/>
    <col min="7945" max="7945" width="2.77734375" style="74" customWidth="1"/>
    <col min="7946" max="7946" width="12" style="74" bestFit="1" customWidth="1"/>
    <col min="7947" max="7947" width="8.109375" style="74" bestFit="1" customWidth="1"/>
    <col min="7948" max="7948" width="10.21875" style="74" customWidth="1"/>
    <col min="7949" max="8193" width="9" style="74"/>
    <col min="8194" max="8194" width="40.109375" style="74" bestFit="1" customWidth="1"/>
    <col min="8195" max="8195" width="6.77734375" style="74" customWidth="1"/>
    <col min="8196" max="8196" width="12.77734375" style="74" bestFit="1" customWidth="1"/>
    <col min="8197" max="8197" width="12.33203125" style="74" bestFit="1" customWidth="1"/>
    <col min="8198" max="8198" width="8.77734375" style="74" bestFit="1" customWidth="1"/>
    <col min="8199" max="8199" width="15.21875" style="74" bestFit="1" customWidth="1"/>
    <col min="8200" max="8200" width="13.33203125" style="74" customWidth="1"/>
    <col min="8201" max="8201" width="2.77734375" style="74" customWidth="1"/>
    <col min="8202" max="8202" width="12" style="74" bestFit="1" customWidth="1"/>
    <col min="8203" max="8203" width="8.109375" style="74" bestFit="1" customWidth="1"/>
    <col min="8204" max="8204" width="10.21875" style="74" customWidth="1"/>
    <col min="8205" max="8449" width="9" style="74"/>
    <col min="8450" max="8450" width="40.109375" style="74" bestFit="1" customWidth="1"/>
    <col min="8451" max="8451" width="6.77734375" style="74" customWidth="1"/>
    <col min="8452" max="8452" width="12.77734375" style="74" bestFit="1" customWidth="1"/>
    <col min="8453" max="8453" width="12.33203125" style="74" bestFit="1" customWidth="1"/>
    <col min="8454" max="8454" width="8.77734375" style="74" bestFit="1" customWidth="1"/>
    <col min="8455" max="8455" width="15.21875" style="74" bestFit="1" customWidth="1"/>
    <col min="8456" max="8456" width="13.33203125" style="74" customWidth="1"/>
    <col min="8457" max="8457" width="2.77734375" style="74" customWidth="1"/>
    <col min="8458" max="8458" width="12" style="74" bestFit="1" customWidth="1"/>
    <col min="8459" max="8459" width="8.109375" style="74" bestFit="1" customWidth="1"/>
    <col min="8460" max="8460" width="10.21875" style="74" customWidth="1"/>
    <col min="8461" max="8705" width="9" style="74"/>
    <col min="8706" max="8706" width="40.109375" style="74" bestFit="1" customWidth="1"/>
    <col min="8707" max="8707" width="6.77734375" style="74" customWidth="1"/>
    <col min="8708" max="8708" width="12.77734375" style="74" bestFit="1" customWidth="1"/>
    <col min="8709" max="8709" width="12.33203125" style="74" bestFit="1" customWidth="1"/>
    <col min="8710" max="8710" width="8.77734375" style="74" bestFit="1" customWidth="1"/>
    <col min="8711" max="8711" width="15.21875" style="74" bestFit="1" customWidth="1"/>
    <col min="8712" max="8712" width="13.33203125" style="74" customWidth="1"/>
    <col min="8713" max="8713" width="2.77734375" style="74" customWidth="1"/>
    <col min="8714" max="8714" width="12" style="74" bestFit="1" customWidth="1"/>
    <col min="8715" max="8715" width="8.109375" style="74" bestFit="1" customWidth="1"/>
    <col min="8716" max="8716" width="10.21875" style="74" customWidth="1"/>
    <col min="8717" max="8961" width="9" style="74"/>
    <col min="8962" max="8962" width="40.109375" style="74" bestFit="1" customWidth="1"/>
    <col min="8963" max="8963" width="6.77734375" style="74" customWidth="1"/>
    <col min="8964" max="8964" width="12.77734375" style="74" bestFit="1" customWidth="1"/>
    <col min="8965" max="8965" width="12.33203125" style="74" bestFit="1" customWidth="1"/>
    <col min="8966" max="8966" width="8.77734375" style="74" bestFit="1" customWidth="1"/>
    <col min="8967" max="8967" width="15.21875" style="74" bestFit="1" customWidth="1"/>
    <col min="8968" max="8968" width="13.33203125" style="74" customWidth="1"/>
    <col min="8969" max="8969" width="2.77734375" style="74" customWidth="1"/>
    <col min="8970" max="8970" width="12" style="74" bestFit="1" customWidth="1"/>
    <col min="8971" max="8971" width="8.109375" style="74" bestFit="1" customWidth="1"/>
    <col min="8972" max="8972" width="10.21875" style="74" customWidth="1"/>
    <col min="8973" max="9217" width="9" style="74"/>
    <col min="9218" max="9218" width="40.109375" style="74" bestFit="1" customWidth="1"/>
    <col min="9219" max="9219" width="6.77734375" style="74" customWidth="1"/>
    <col min="9220" max="9220" width="12.77734375" style="74" bestFit="1" customWidth="1"/>
    <col min="9221" max="9221" width="12.33203125" style="74" bestFit="1" customWidth="1"/>
    <col min="9222" max="9222" width="8.77734375" style="74" bestFit="1" customWidth="1"/>
    <col min="9223" max="9223" width="15.21875" style="74" bestFit="1" customWidth="1"/>
    <col min="9224" max="9224" width="13.33203125" style="74" customWidth="1"/>
    <col min="9225" max="9225" width="2.77734375" style="74" customWidth="1"/>
    <col min="9226" max="9226" width="12" style="74" bestFit="1" customWidth="1"/>
    <col min="9227" max="9227" width="8.109375" style="74" bestFit="1" customWidth="1"/>
    <col min="9228" max="9228" width="10.21875" style="74" customWidth="1"/>
    <col min="9229" max="9473" width="9" style="74"/>
    <col min="9474" max="9474" width="40.109375" style="74" bestFit="1" customWidth="1"/>
    <col min="9475" max="9475" width="6.77734375" style="74" customWidth="1"/>
    <col min="9476" max="9476" width="12.77734375" style="74" bestFit="1" customWidth="1"/>
    <col min="9477" max="9477" width="12.33203125" style="74" bestFit="1" customWidth="1"/>
    <col min="9478" max="9478" width="8.77734375" style="74" bestFit="1" customWidth="1"/>
    <col min="9479" max="9479" width="15.21875" style="74" bestFit="1" customWidth="1"/>
    <col min="9480" max="9480" width="13.33203125" style="74" customWidth="1"/>
    <col min="9481" max="9481" width="2.77734375" style="74" customWidth="1"/>
    <col min="9482" max="9482" width="12" style="74" bestFit="1" customWidth="1"/>
    <col min="9483" max="9483" width="8.109375" style="74" bestFit="1" customWidth="1"/>
    <col min="9484" max="9484" width="10.21875" style="74" customWidth="1"/>
    <col min="9485" max="9729" width="9" style="74"/>
    <col min="9730" max="9730" width="40.109375" style="74" bestFit="1" customWidth="1"/>
    <col min="9731" max="9731" width="6.77734375" style="74" customWidth="1"/>
    <col min="9732" max="9732" width="12.77734375" style="74" bestFit="1" customWidth="1"/>
    <col min="9733" max="9733" width="12.33203125" style="74" bestFit="1" customWidth="1"/>
    <col min="9734" max="9734" width="8.77734375" style="74" bestFit="1" customWidth="1"/>
    <col min="9735" max="9735" width="15.21875" style="74" bestFit="1" customWidth="1"/>
    <col min="9736" max="9736" width="13.33203125" style="74" customWidth="1"/>
    <col min="9737" max="9737" width="2.77734375" style="74" customWidth="1"/>
    <col min="9738" max="9738" width="12" style="74" bestFit="1" customWidth="1"/>
    <col min="9739" max="9739" width="8.109375" style="74" bestFit="1" customWidth="1"/>
    <col min="9740" max="9740" width="10.21875" style="74" customWidth="1"/>
    <col min="9741" max="9985" width="9" style="74"/>
    <col min="9986" max="9986" width="40.109375" style="74" bestFit="1" customWidth="1"/>
    <col min="9987" max="9987" width="6.77734375" style="74" customWidth="1"/>
    <col min="9988" max="9988" width="12.77734375" style="74" bestFit="1" customWidth="1"/>
    <col min="9989" max="9989" width="12.33203125" style="74" bestFit="1" customWidth="1"/>
    <col min="9990" max="9990" width="8.77734375" style="74" bestFit="1" customWidth="1"/>
    <col min="9991" max="9991" width="15.21875" style="74" bestFit="1" customWidth="1"/>
    <col min="9992" max="9992" width="13.33203125" style="74" customWidth="1"/>
    <col min="9993" max="9993" width="2.77734375" style="74" customWidth="1"/>
    <col min="9994" max="9994" width="12" style="74" bestFit="1" customWidth="1"/>
    <col min="9995" max="9995" width="8.109375" style="74" bestFit="1" customWidth="1"/>
    <col min="9996" max="9996" width="10.21875" style="74" customWidth="1"/>
    <col min="9997" max="10241" width="9" style="74"/>
    <col min="10242" max="10242" width="40.109375" style="74" bestFit="1" customWidth="1"/>
    <col min="10243" max="10243" width="6.77734375" style="74" customWidth="1"/>
    <col min="10244" max="10244" width="12.77734375" style="74" bestFit="1" customWidth="1"/>
    <col min="10245" max="10245" width="12.33203125" style="74" bestFit="1" customWidth="1"/>
    <col min="10246" max="10246" width="8.77734375" style="74" bestFit="1" customWidth="1"/>
    <col min="10247" max="10247" width="15.21875" style="74" bestFit="1" customWidth="1"/>
    <col min="10248" max="10248" width="13.33203125" style="74" customWidth="1"/>
    <col min="10249" max="10249" width="2.77734375" style="74" customWidth="1"/>
    <col min="10250" max="10250" width="12" style="74" bestFit="1" customWidth="1"/>
    <col min="10251" max="10251" width="8.109375" style="74" bestFit="1" customWidth="1"/>
    <col min="10252" max="10252" width="10.21875" style="74" customWidth="1"/>
    <col min="10253" max="10497" width="9" style="74"/>
    <col min="10498" max="10498" width="40.109375" style="74" bestFit="1" customWidth="1"/>
    <col min="10499" max="10499" width="6.77734375" style="74" customWidth="1"/>
    <col min="10500" max="10500" width="12.77734375" style="74" bestFit="1" customWidth="1"/>
    <col min="10501" max="10501" width="12.33203125" style="74" bestFit="1" customWidth="1"/>
    <col min="10502" max="10502" width="8.77734375" style="74" bestFit="1" customWidth="1"/>
    <col min="10503" max="10503" width="15.21875" style="74" bestFit="1" customWidth="1"/>
    <col min="10504" max="10504" width="13.33203125" style="74" customWidth="1"/>
    <col min="10505" max="10505" width="2.77734375" style="74" customWidth="1"/>
    <col min="10506" max="10506" width="12" style="74" bestFit="1" customWidth="1"/>
    <col min="10507" max="10507" width="8.109375" style="74" bestFit="1" customWidth="1"/>
    <col min="10508" max="10508" width="10.21875" style="74" customWidth="1"/>
    <col min="10509" max="10753" width="9" style="74"/>
    <col min="10754" max="10754" width="40.109375" style="74" bestFit="1" customWidth="1"/>
    <col min="10755" max="10755" width="6.77734375" style="74" customWidth="1"/>
    <col min="10756" max="10756" width="12.77734375" style="74" bestFit="1" customWidth="1"/>
    <col min="10757" max="10757" width="12.33203125" style="74" bestFit="1" customWidth="1"/>
    <col min="10758" max="10758" width="8.77734375" style="74" bestFit="1" customWidth="1"/>
    <col min="10759" max="10759" width="15.21875" style="74" bestFit="1" customWidth="1"/>
    <col min="10760" max="10760" width="13.33203125" style="74" customWidth="1"/>
    <col min="10761" max="10761" width="2.77734375" style="74" customWidth="1"/>
    <col min="10762" max="10762" width="12" style="74" bestFit="1" customWidth="1"/>
    <col min="10763" max="10763" width="8.109375" style="74" bestFit="1" customWidth="1"/>
    <col min="10764" max="10764" width="10.21875" style="74" customWidth="1"/>
    <col min="10765" max="11009" width="9" style="74"/>
    <col min="11010" max="11010" width="40.109375" style="74" bestFit="1" customWidth="1"/>
    <col min="11011" max="11011" width="6.77734375" style="74" customWidth="1"/>
    <col min="11012" max="11012" width="12.77734375" style="74" bestFit="1" customWidth="1"/>
    <col min="11013" max="11013" width="12.33203125" style="74" bestFit="1" customWidth="1"/>
    <col min="11014" max="11014" width="8.77734375" style="74" bestFit="1" customWidth="1"/>
    <col min="11015" max="11015" width="15.21875" style="74" bestFit="1" customWidth="1"/>
    <col min="11016" max="11016" width="13.33203125" style="74" customWidth="1"/>
    <col min="11017" max="11017" width="2.77734375" style="74" customWidth="1"/>
    <col min="11018" max="11018" width="12" style="74" bestFit="1" customWidth="1"/>
    <col min="11019" max="11019" width="8.109375" style="74" bestFit="1" customWidth="1"/>
    <col min="11020" max="11020" width="10.21875" style="74" customWidth="1"/>
    <col min="11021" max="11265" width="9" style="74"/>
    <col min="11266" max="11266" width="40.109375" style="74" bestFit="1" customWidth="1"/>
    <col min="11267" max="11267" width="6.77734375" style="74" customWidth="1"/>
    <col min="11268" max="11268" width="12.77734375" style="74" bestFit="1" customWidth="1"/>
    <col min="11269" max="11269" width="12.33203125" style="74" bestFit="1" customWidth="1"/>
    <col min="11270" max="11270" width="8.77734375" style="74" bestFit="1" customWidth="1"/>
    <col min="11271" max="11271" width="15.21875" style="74" bestFit="1" customWidth="1"/>
    <col min="11272" max="11272" width="13.33203125" style="74" customWidth="1"/>
    <col min="11273" max="11273" width="2.77734375" style="74" customWidth="1"/>
    <col min="11274" max="11274" width="12" style="74" bestFit="1" customWidth="1"/>
    <col min="11275" max="11275" width="8.109375" style="74" bestFit="1" customWidth="1"/>
    <col min="11276" max="11276" width="10.21875" style="74" customWidth="1"/>
    <col min="11277" max="11521" width="9" style="74"/>
    <col min="11522" max="11522" width="40.109375" style="74" bestFit="1" customWidth="1"/>
    <col min="11523" max="11523" width="6.77734375" style="74" customWidth="1"/>
    <col min="11524" max="11524" width="12.77734375" style="74" bestFit="1" customWidth="1"/>
    <col min="11525" max="11525" width="12.33203125" style="74" bestFit="1" customWidth="1"/>
    <col min="11526" max="11526" width="8.77734375" style="74" bestFit="1" customWidth="1"/>
    <col min="11527" max="11527" width="15.21875" style="74" bestFit="1" customWidth="1"/>
    <col min="11528" max="11528" width="13.33203125" style="74" customWidth="1"/>
    <col min="11529" max="11529" width="2.77734375" style="74" customWidth="1"/>
    <col min="11530" max="11530" width="12" style="74" bestFit="1" customWidth="1"/>
    <col min="11531" max="11531" width="8.109375" style="74" bestFit="1" customWidth="1"/>
    <col min="11532" max="11532" width="10.21875" style="74" customWidth="1"/>
    <col min="11533" max="11777" width="9" style="74"/>
    <col min="11778" max="11778" width="40.109375" style="74" bestFit="1" customWidth="1"/>
    <col min="11779" max="11779" width="6.77734375" style="74" customWidth="1"/>
    <col min="11780" max="11780" width="12.77734375" style="74" bestFit="1" customWidth="1"/>
    <col min="11781" max="11781" width="12.33203125" style="74" bestFit="1" customWidth="1"/>
    <col min="11782" max="11782" width="8.77734375" style="74" bestFit="1" customWidth="1"/>
    <col min="11783" max="11783" width="15.21875" style="74" bestFit="1" customWidth="1"/>
    <col min="11784" max="11784" width="13.33203125" style="74" customWidth="1"/>
    <col min="11785" max="11785" width="2.77734375" style="74" customWidth="1"/>
    <col min="11786" max="11786" width="12" style="74" bestFit="1" customWidth="1"/>
    <col min="11787" max="11787" width="8.109375" style="74" bestFit="1" customWidth="1"/>
    <col min="11788" max="11788" width="10.21875" style="74" customWidth="1"/>
    <col min="11789" max="12033" width="9" style="74"/>
    <col min="12034" max="12034" width="40.109375" style="74" bestFit="1" customWidth="1"/>
    <col min="12035" max="12035" width="6.77734375" style="74" customWidth="1"/>
    <col min="12036" max="12036" width="12.77734375" style="74" bestFit="1" customWidth="1"/>
    <col min="12037" max="12037" width="12.33203125" style="74" bestFit="1" customWidth="1"/>
    <col min="12038" max="12038" width="8.77734375" style="74" bestFit="1" customWidth="1"/>
    <col min="12039" max="12039" width="15.21875" style="74" bestFit="1" customWidth="1"/>
    <col min="12040" max="12040" width="13.33203125" style="74" customWidth="1"/>
    <col min="12041" max="12041" width="2.77734375" style="74" customWidth="1"/>
    <col min="12042" max="12042" width="12" style="74" bestFit="1" customWidth="1"/>
    <col min="12043" max="12043" width="8.109375" style="74" bestFit="1" customWidth="1"/>
    <col min="12044" max="12044" width="10.21875" style="74" customWidth="1"/>
    <col min="12045" max="12289" width="9" style="74"/>
    <col min="12290" max="12290" width="40.109375" style="74" bestFit="1" customWidth="1"/>
    <col min="12291" max="12291" width="6.77734375" style="74" customWidth="1"/>
    <col min="12292" max="12292" width="12.77734375" style="74" bestFit="1" customWidth="1"/>
    <col min="12293" max="12293" width="12.33203125" style="74" bestFit="1" customWidth="1"/>
    <col min="12294" max="12294" width="8.77734375" style="74" bestFit="1" customWidth="1"/>
    <col min="12295" max="12295" width="15.21875" style="74" bestFit="1" customWidth="1"/>
    <col min="12296" max="12296" width="13.33203125" style="74" customWidth="1"/>
    <col min="12297" max="12297" width="2.77734375" style="74" customWidth="1"/>
    <col min="12298" max="12298" width="12" style="74" bestFit="1" customWidth="1"/>
    <col min="12299" max="12299" width="8.109375" style="74" bestFit="1" customWidth="1"/>
    <col min="12300" max="12300" width="10.21875" style="74" customWidth="1"/>
    <col min="12301" max="12545" width="9" style="74"/>
    <col min="12546" max="12546" width="40.109375" style="74" bestFit="1" customWidth="1"/>
    <col min="12547" max="12547" width="6.77734375" style="74" customWidth="1"/>
    <col min="12548" max="12548" width="12.77734375" style="74" bestFit="1" customWidth="1"/>
    <col min="12549" max="12549" width="12.33203125" style="74" bestFit="1" customWidth="1"/>
    <col min="12550" max="12550" width="8.77734375" style="74" bestFit="1" customWidth="1"/>
    <col min="12551" max="12551" width="15.21875" style="74" bestFit="1" customWidth="1"/>
    <col min="12552" max="12552" width="13.33203125" style="74" customWidth="1"/>
    <col min="12553" max="12553" width="2.77734375" style="74" customWidth="1"/>
    <col min="12554" max="12554" width="12" style="74" bestFit="1" customWidth="1"/>
    <col min="12555" max="12555" width="8.109375" style="74" bestFit="1" customWidth="1"/>
    <col min="12556" max="12556" width="10.21875" style="74" customWidth="1"/>
    <col min="12557" max="12801" width="9" style="74"/>
    <col min="12802" max="12802" width="40.109375" style="74" bestFit="1" customWidth="1"/>
    <col min="12803" max="12803" width="6.77734375" style="74" customWidth="1"/>
    <col min="12804" max="12804" width="12.77734375" style="74" bestFit="1" customWidth="1"/>
    <col min="12805" max="12805" width="12.33203125" style="74" bestFit="1" customWidth="1"/>
    <col min="12806" max="12806" width="8.77734375" style="74" bestFit="1" customWidth="1"/>
    <col min="12807" max="12807" width="15.21875" style="74" bestFit="1" customWidth="1"/>
    <col min="12808" max="12808" width="13.33203125" style="74" customWidth="1"/>
    <col min="12809" max="12809" width="2.77734375" style="74" customWidth="1"/>
    <col min="12810" max="12810" width="12" style="74" bestFit="1" customWidth="1"/>
    <col min="12811" max="12811" width="8.109375" style="74" bestFit="1" customWidth="1"/>
    <col min="12812" max="12812" width="10.21875" style="74" customWidth="1"/>
    <col min="12813" max="13057" width="9" style="74"/>
    <col min="13058" max="13058" width="40.109375" style="74" bestFit="1" customWidth="1"/>
    <col min="13059" max="13059" width="6.77734375" style="74" customWidth="1"/>
    <col min="13060" max="13060" width="12.77734375" style="74" bestFit="1" customWidth="1"/>
    <col min="13061" max="13061" width="12.33203125" style="74" bestFit="1" customWidth="1"/>
    <col min="13062" max="13062" width="8.77734375" style="74" bestFit="1" customWidth="1"/>
    <col min="13063" max="13063" width="15.21875" style="74" bestFit="1" customWidth="1"/>
    <col min="13064" max="13064" width="13.33203125" style="74" customWidth="1"/>
    <col min="13065" max="13065" width="2.77734375" style="74" customWidth="1"/>
    <col min="13066" max="13066" width="12" style="74" bestFit="1" customWidth="1"/>
    <col min="13067" max="13067" width="8.109375" style="74" bestFit="1" customWidth="1"/>
    <col min="13068" max="13068" width="10.21875" style="74" customWidth="1"/>
    <col min="13069" max="13313" width="9" style="74"/>
    <col min="13314" max="13314" width="40.109375" style="74" bestFit="1" customWidth="1"/>
    <col min="13315" max="13315" width="6.77734375" style="74" customWidth="1"/>
    <col min="13316" max="13316" width="12.77734375" style="74" bestFit="1" customWidth="1"/>
    <col min="13317" max="13317" width="12.33203125" style="74" bestFit="1" customWidth="1"/>
    <col min="13318" max="13318" width="8.77734375" style="74" bestFit="1" customWidth="1"/>
    <col min="13319" max="13319" width="15.21875" style="74" bestFit="1" customWidth="1"/>
    <col min="13320" max="13320" width="13.33203125" style="74" customWidth="1"/>
    <col min="13321" max="13321" width="2.77734375" style="74" customWidth="1"/>
    <col min="13322" max="13322" width="12" style="74" bestFit="1" customWidth="1"/>
    <col min="13323" max="13323" width="8.109375" style="74" bestFit="1" customWidth="1"/>
    <col min="13324" max="13324" width="10.21875" style="74" customWidth="1"/>
    <col min="13325" max="13569" width="9" style="74"/>
    <col min="13570" max="13570" width="40.109375" style="74" bestFit="1" customWidth="1"/>
    <col min="13571" max="13571" width="6.77734375" style="74" customWidth="1"/>
    <col min="13572" max="13572" width="12.77734375" style="74" bestFit="1" customWidth="1"/>
    <col min="13573" max="13573" width="12.33203125" style="74" bestFit="1" customWidth="1"/>
    <col min="13574" max="13574" width="8.77734375" style="74" bestFit="1" customWidth="1"/>
    <col min="13575" max="13575" width="15.21875" style="74" bestFit="1" customWidth="1"/>
    <col min="13576" max="13576" width="13.33203125" style="74" customWidth="1"/>
    <col min="13577" max="13577" width="2.77734375" style="74" customWidth="1"/>
    <col min="13578" max="13578" width="12" style="74" bestFit="1" customWidth="1"/>
    <col min="13579" max="13579" width="8.109375" style="74" bestFit="1" customWidth="1"/>
    <col min="13580" max="13580" width="10.21875" style="74" customWidth="1"/>
    <col min="13581" max="13825" width="9" style="74"/>
    <col min="13826" max="13826" width="40.109375" style="74" bestFit="1" customWidth="1"/>
    <col min="13827" max="13827" width="6.77734375" style="74" customWidth="1"/>
    <col min="13828" max="13828" width="12.77734375" style="74" bestFit="1" customWidth="1"/>
    <col min="13829" max="13829" width="12.33203125" style="74" bestFit="1" customWidth="1"/>
    <col min="13830" max="13830" width="8.77734375" style="74" bestFit="1" customWidth="1"/>
    <col min="13831" max="13831" width="15.21875" style="74" bestFit="1" customWidth="1"/>
    <col min="13832" max="13832" width="13.33203125" style="74" customWidth="1"/>
    <col min="13833" max="13833" width="2.77734375" style="74" customWidth="1"/>
    <col min="13834" max="13834" width="12" style="74" bestFit="1" customWidth="1"/>
    <col min="13835" max="13835" width="8.109375" style="74" bestFit="1" customWidth="1"/>
    <col min="13836" max="13836" width="10.21875" style="74" customWidth="1"/>
    <col min="13837" max="14081" width="9" style="74"/>
    <col min="14082" max="14082" width="40.109375" style="74" bestFit="1" customWidth="1"/>
    <col min="14083" max="14083" width="6.77734375" style="74" customWidth="1"/>
    <col min="14084" max="14084" width="12.77734375" style="74" bestFit="1" customWidth="1"/>
    <col min="14085" max="14085" width="12.33203125" style="74" bestFit="1" customWidth="1"/>
    <col min="14086" max="14086" width="8.77734375" style="74" bestFit="1" customWidth="1"/>
    <col min="14087" max="14087" width="15.21875" style="74" bestFit="1" customWidth="1"/>
    <col min="14088" max="14088" width="13.33203125" style="74" customWidth="1"/>
    <col min="14089" max="14089" width="2.77734375" style="74" customWidth="1"/>
    <col min="14090" max="14090" width="12" style="74" bestFit="1" customWidth="1"/>
    <col min="14091" max="14091" width="8.109375" style="74" bestFit="1" customWidth="1"/>
    <col min="14092" max="14092" width="10.21875" style="74" customWidth="1"/>
    <col min="14093" max="14337" width="9" style="74"/>
    <col min="14338" max="14338" width="40.109375" style="74" bestFit="1" customWidth="1"/>
    <col min="14339" max="14339" width="6.77734375" style="74" customWidth="1"/>
    <col min="14340" max="14340" width="12.77734375" style="74" bestFit="1" customWidth="1"/>
    <col min="14341" max="14341" width="12.33203125" style="74" bestFit="1" customWidth="1"/>
    <col min="14342" max="14342" width="8.77734375" style="74" bestFit="1" customWidth="1"/>
    <col min="14343" max="14343" width="15.21875" style="74" bestFit="1" customWidth="1"/>
    <col min="14344" max="14344" width="13.33203125" style="74" customWidth="1"/>
    <col min="14345" max="14345" width="2.77734375" style="74" customWidth="1"/>
    <col min="14346" max="14346" width="12" style="74" bestFit="1" customWidth="1"/>
    <col min="14347" max="14347" width="8.109375" style="74" bestFit="1" customWidth="1"/>
    <col min="14348" max="14348" width="10.21875" style="74" customWidth="1"/>
    <col min="14349" max="14593" width="9" style="74"/>
    <col min="14594" max="14594" width="40.109375" style="74" bestFit="1" customWidth="1"/>
    <col min="14595" max="14595" width="6.77734375" style="74" customWidth="1"/>
    <col min="14596" max="14596" width="12.77734375" style="74" bestFit="1" customWidth="1"/>
    <col min="14597" max="14597" width="12.33203125" style="74" bestFit="1" customWidth="1"/>
    <col min="14598" max="14598" width="8.77734375" style="74" bestFit="1" customWidth="1"/>
    <col min="14599" max="14599" width="15.21875" style="74" bestFit="1" customWidth="1"/>
    <col min="14600" max="14600" width="13.33203125" style="74" customWidth="1"/>
    <col min="14601" max="14601" width="2.77734375" style="74" customWidth="1"/>
    <col min="14602" max="14602" width="12" style="74" bestFit="1" customWidth="1"/>
    <col min="14603" max="14603" width="8.109375" style="74" bestFit="1" customWidth="1"/>
    <col min="14604" max="14604" width="10.21875" style="74" customWidth="1"/>
    <col min="14605" max="14849" width="9" style="74"/>
    <col min="14850" max="14850" width="40.109375" style="74" bestFit="1" customWidth="1"/>
    <col min="14851" max="14851" width="6.77734375" style="74" customWidth="1"/>
    <col min="14852" max="14852" width="12.77734375" style="74" bestFit="1" customWidth="1"/>
    <col min="14853" max="14853" width="12.33203125" style="74" bestFit="1" customWidth="1"/>
    <col min="14854" max="14854" width="8.77734375" style="74" bestFit="1" customWidth="1"/>
    <col min="14855" max="14855" width="15.21875" style="74" bestFit="1" customWidth="1"/>
    <col min="14856" max="14856" width="13.33203125" style="74" customWidth="1"/>
    <col min="14857" max="14857" width="2.77734375" style="74" customWidth="1"/>
    <col min="14858" max="14858" width="12" style="74" bestFit="1" customWidth="1"/>
    <col min="14859" max="14859" width="8.109375" style="74" bestFit="1" customWidth="1"/>
    <col min="14860" max="14860" width="10.21875" style="74" customWidth="1"/>
    <col min="14861" max="15105" width="9" style="74"/>
    <col min="15106" max="15106" width="40.109375" style="74" bestFit="1" customWidth="1"/>
    <col min="15107" max="15107" width="6.77734375" style="74" customWidth="1"/>
    <col min="15108" max="15108" width="12.77734375" style="74" bestFit="1" customWidth="1"/>
    <col min="15109" max="15109" width="12.33203125" style="74" bestFit="1" customWidth="1"/>
    <col min="15110" max="15110" width="8.77734375" style="74" bestFit="1" customWidth="1"/>
    <col min="15111" max="15111" width="15.21875" style="74" bestFit="1" customWidth="1"/>
    <col min="15112" max="15112" width="13.33203125" style="74" customWidth="1"/>
    <col min="15113" max="15113" width="2.77734375" style="74" customWidth="1"/>
    <col min="15114" max="15114" width="12" style="74" bestFit="1" customWidth="1"/>
    <col min="15115" max="15115" width="8.109375" style="74" bestFit="1" customWidth="1"/>
    <col min="15116" max="15116" width="10.21875" style="74" customWidth="1"/>
    <col min="15117" max="15361" width="9" style="74"/>
    <col min="15362" max="15362" width="40.109375" style="74" bestFit="1" customWidth="1"/>
    <col min="15363" max="15363" width="6.77734375" style="74" customWidth="1"/>
    <col min="15364" max="15364" width="12.77734375" style="74" bestFit="1" customWidth="1"/>
    <col min="15365" max="15365" width="12.33203125" style="74" bestFit="1" customWidth="1"/>
    <col min="15366" max="15366" width="8.77734375" style="74" bestFit="1" customWidth="1"/>
    <col min="15367" max="15367" width="15.21875" style="74" bestFit="1" customWidth="1"/>
    <col min="15368" max="15368" width="13.33203125" style="74" customWidth="1"/>
    <col min="15369" max="15369" width="2.77734375" style="74" customWidth="1"/>
    <col min="15370" max="15370" width="12" style="74" bestFit="1" customWidth="1"/>
    <col min="15371" max="15371" width="8.109375" style="74" bestFit="1" customWidth="1"/>
    <col min="15372" max="15372" width="10.21875" style="74" customWidth="1"/>
    <col min="15373" max="15617" width="9" style="74"/>
    <col min="15618" max="15618" width="40.109375" style="74" bestFit="1" customWidth="1"/>
    <col min="15619" max="15619" width="6.77734375" style="74" customWidth="1"/>
    <col min="15620" max="15620" width="12.77734375" style="74" bestFit="1" customWidth="1"/>
    <col min="15621" max="15621" width="12.33203125" style="74" bestFit="1" customWidth="1"/>
    <col min="15622" max="15622" width="8.77734375" style="74" bestFit="1" customWidth="1"/>
    <col min="15623" max="15623" width="15.21875" style="74" bestFit="1" customWidth="1"/>
    <col min="15624" max="15624" width="13.33203125" style="74" customWidth="1"/>
    <col min="15625" max="15625" width="2.77734375" style="74" customWidth="1"/>
    <col min="15626" max="15626" width="12" style="74" bestFit="1" customWidth="1"/>
    <col min="15627" max="15627" width="8.109375" style="74" bestFit="1" customWidth="1"/>
    <col min="15628" max="15628" width="10.21875" style="74" customWidth="1"/>
    <col min="15629" max="15873" width="9" style="74"/>
    <col min="15874" max="15874" width="40.109375" style="74" bestFit="1" customWidth="1"/>
    <col min="15875" max="15875" width="6.77734375" style="74" customWidth="1"/>
    <col min="15876" max="15876" width="12.77734375" style="74" bestFit="1" customWidth="1"/>
    <col min="15877" max="15877" width="12.33203125" style="74" bestFit="1" customWidth="1"/>
    <col min="15878" max="15878" width="8.77734375" style="74" bestFit="1" customWidth="1"/>
    <col min="15879" max="15879" width="15.21875" style="74" bestFit="1" customWidth="1"/>
    <col min="15880" max="15880" width="13.33203125" style="74" customWidth="1"/>
    <col min="15881" max="15881" width="2.77734375" style="74" customWidth="1"/>
    <col min="15882" max="15882" width="12" style="74" bestFit="1" customWidth="1"/>
    <col min="15883" max="15883" width="8.109375" style="74" bestFit="1" customWidth="1"/>
    <col min="15884" max="15884" width="10.21875" style="74" customWidth="1"/>
    <col min="15885" max="16129" width="9" style="74"/>
    <col min="16130" max="16130" width="40.109375" style="74" bestFit="1" customWidth="1"/>
    <col min="16131" max="16131" width="6.77734375" style="74" customWidth="1"/>
    <col min="16132" max="16132" width="12.77734375" style="74" bestFit="1" customWidth="1"/>
    <col min="16133" max="16133" width="12.33203125" style="74" bestFit="1" customWidth="1"/>
    <col min="16134" max="16134" width="8.77734375" style="74" bestFit="1" customWidth="1"/>
    <col min="16135" max="16135" width="15.21875" style="74" bestFit="1" customWidth="1"/>
    <col min="16136" max="16136" width="13.33203125" style="74" customWidth="1"/>
    <col min="16137" max="16137" width="2.77734375" style="74" customWidth="1"/>
    <col min="16138" max="16138" width="12" style="74" bestFit="1" customWidth="1"/>
    <col min="16139" max="16139" width="8.109375" style="74" bestFit="1" customWidth="1"/>
    <col min="16140" max="16140" width="10.21875" style="74" customWidth="1"/>
    <col min="16141" max="16384" width="9" style="74"/>
  </cols>
  <sheetData>
    <row r="1" spans="1:20" s="71" customFormat="1" ht="15.6">
      <c r="A1" s="70"/>
      <c r="B1" s="70"/>
      <c r="D1" s="324"/>
      <c r="L1" s="294"/>
    </row>
    <row r="2" spans="1:20" s="73" customFormat="1" ht="17.399999999999999">
      <c r="A2" s="221"/>
      <c r="B2" s="221"/>
      <c r="C2" s="218"/>
      <c r="D2" s="408"/>
      <c r="E2" s="218"/>
      <c r="F2" s="218"/>
      <c r="G2" s="218"/>
      <c r="H2" s="218"/>
      <c r="I2" s="218"/>
      <c r="J2" s="218"/>
      <c r="K2" s="218"/>
      <c r="L2" s="448"/>
      <c r="M2" s="1264"/>
    </row>
    <row r="3" spans="1:20" s="73" customFormat="1" ht="17.399999999999999">
      <c r="A3" s="449"/>
      <c r="B3" s="449" t="s">
        <v>0</v>
      </c>
      <c r="C3" s="449"/>
      <c r="D3" s="449"/>
      <c r="E3" s="449"/>
      <c r="F3" s="449"/>
      <c r="G3" s="449"/>
      <c r="H3" s="449"/>
      <c r="I3" s="449"/>
      <c r="J3" s="449"/>
      <c r="K3" s="449"/>
      <c r="L3" s="449"/>
      <c r="M3" s="449"/>
      <c r="N3" s="450"/>
      <c r="O3" s="450"/>
      <c r="P3" s="450"/>
      <c r="Q3" s="450"/>
      <c r="R3" s="450"/>
      <c r="S3" s="450"/>
      <c r="T3" s="450"/>
    </row>
    <row r="4" spans="1:20" s="73" customFormat="1" ht="17.399999999999999">
      <c r="A4" s="449"/>
      <c r="B4" s="449" t="s">
        <v>1</v>
      </c>
      <c r="C4" s="449"/>
      <c r="D4" s="449"/>
      <c r="E4" s="449"/>
      <c r="F4" s="449"/>
      <c r="G4" s="449"/>
      <c r="H4" s="449"/>
      <c r="I4" s="449"/>
      <c r="J4" s="449"/>
      <c r="K4" s="449"/>
      <c r="L4" s="449"/>
      <c r="M4" s="449"/>
      <c r="N4" s="450"/>
      <c r="O4" s="450"/>
      <c r="P4" s="450"/>
      <c r="Q4" s="450"/>
      <c r="R4" s="450"/>
      <c r="S4" s="450"/>
      <c r="T4" s="450"/>
    </row>
    <row r="5" spans="1:20" s="73" customFormat="1" ht="17.399999999999999">
      <c r="A5" s="449"/>
      <c r="B5" s="449" t="str">
        <f>SUMMARY!A7</f>
        <v>YEAR ENDING DECEMBER 31, 2022</v>
      </c>
      <c r="C5" s="449"/>
      <c r="D5" s="449"/>
      <c r="E5" s="449"/>
      <c r="F5" s="451"/>
      <c r="G5" s="451"/>
      <c r="H5" s="451"/>
      <c r="I5" s="451"/>
      <c r="J5" s="451"/>
      <c r="K5" s="451"/>
      <c r="L5" s="451"/>
      <c r="M5" s="449"/>
      <c r="N5" s="450"/>
      <c r="O5" s="450"/>
      <c r="P5" s="450"/>
      <c r="Q5" s="450"/>
      <c r="R5" s="450"/>
      <c r="S5" s="450"/>
      <c r="T5" s="450"/>
    </row>
    <row r="6" spans="1:20" s="73" customFormat="1" ht="12" customHeight="1">
      <c r="A6" s="449"/>
      <c r="B6" s="449"/>
      <c r="C6" s="452"/>
      <c r="D6" s="453"/>
      <c r="E6" s="452"/>
      <c r="F6" s="452"/>
      <c r="G6" s="452"/>
      <c r="H6" s="452"/>
      <c r="I6" s="452"/>
      <c r="J6" s="452"/>
      <c r="K6" s="452"/>
      <c r="L6" s="452"/>
      <c r="M6" s="452"/>
      <c r="N6" s="450"/>
      <c r="O6" s="450"/>
      <c r="P6" s="450"/>
      <c r="Q6" s="450"/>
      <c r="R6" s="450"/>
      <c r="S6" s="450"/>
      <c r="T6" s="450"/>
    </row>
    <row r="7" spans="1:20" s="73" customFormat="1" ht="17.399999999999999">
      <c r="A7" s="449"/>
      <c r="B7" s="449" t="s">
        <v>1672</v>
      </c>
      <c r="C7" s="449"/>
      <c r="D7" s="449"/>
      <c r="E7" s="449"/>
      <c r="F7" s="449"/>
      <c r="G7" s="449"/>
      <c r="H7" s="449"/>
      <c r="I7" s="449"/>
      <c r="J7" s="449"/>
      <c r="K7" s="449"/>
      <c r="L7" s="449"/>
      <c r="M7" s="449"/>
      <c r="N7" s="450"/>
      <c r="O7" s="450"/>
      <c r="P7" s="450"/>
      <c r="Q7" s="450"/>
      <c r="R7" s="450"/>
      <c r="S7" s="450"/>
      <c r="T7" s="450"/>
    </row>
    <row r="8" spans="1:20" ht="17.399999999999999">
      <c r="A8" s="449"/>
      <c r="B8" s="449" t="s">
        <v>78</v>
      </c>
      <c r="C8" s="449"/>
      <c r="D8" s="449"/>
      <c r="E8" s="449"/>
      <c r="F8" s="449"/>
      <c r="G8" s="449"/>
      <c r="H8" s="449"/>
      <c r="I8" s="449"/>
      <c r="J8" s="449"/>
      <c r="K8" s="449"/>
      <c r="L8" s="449"/>
      <c r="M8" s="449"/>
      <c r="N8" s="454"/>
      <c r="O8" s="454"/>
      <c r="P8" s="454"/>
      <c r="Q8" s="454"/>
      <c r="R8" s="454"/>
      <c r="S8" s="454"/>
      <c r="T8" s="454"/>
    </row>
    <row r="9" spans="1:20" ht="17.399999999999999">
      <c r="A9" s="1264"/>
      <c r="B9" s="1264"/>
      <c r="C9" s="1264"/>
      <c r="D9" s="1264"/>
      <c r="E9" s="1264"/>
      <c r="F9" s="1264"/>
      <c r="G9" s="1264"/>
      <c r="H9" s="1264"/>
      <c r="I9" s="1264"/>
      <c r="J9" s="1264"/>
      <c r="K9" s="1264"/>
      <c r="L9" s="1264"/>
      <c r="M9" s="1264"/>
    </row>
    <row r="10" spans="1:20" s="83" customFormat="1" ht="15.6">
      <c r="A10" s="455"/>
      <c r="B10" s="455"/>
      <c r="C10" s="455"/>
      <c r="D10" s="455"/>
      <c r="E10" s="455"/>
      <c r="F10" s="1515">
        <v>2022</v>
      </c>
      <c r="G10" s="1515"/>
      <c r="H10" s="1515"/>
      <c r="I10" s="1515"/>
      <c r="J10" s="1515"/>
      <c r="K10" s="1515"/>
      <c r="L10" s="1515"/>
      <c r="N10" s="1515">
        <v>2021</v>
      </c>
      <c r="O10" s="1515"/>
      <c r="P10" s="1515"/>
      <c r="Q10" s="1515"/>
      <c r="R10" s="1515"/>
      <c r="S10" s="1515"/>
      <c r="T10" s="1515"/>
    </row>
    <row r="11" spans="1:20" s="83" customFormat="1" ht="8.25" customHeight="1">
      <c r="A11" s="455"/>
      <c r="B11" s="455"/>
      <c r="C11" s="455"/>
      <c r="D11" s="455"/>
      <c r="E11" s="455"/>
      <c r="F11" s="455"/>
      <c r="G11" s="455"/>
      <c r="H11" s="455"/>
      <c r="I11" s="455"/>
      <c r="J11" s="455"/>
      <c r="K11" s="455"/>
      <c r="L11" s="455"/>
      <c r="N11" s="455"/>
      <c r="O11" s="455"/>
      <c r="P11" s="455"/>
      <c r="Q11" s="455"/>
      <c r="R11" s="455"/>
      <c r="S11" s="455"/>
      <c r="T11" s="455"/>
    </row>
    <row r="12" spans="1:20" s="83" customFormat="1" ht="15.6">
      <c r="A12" s="455"/>
      <c r="B12" s="455"/>
      <c r="C12" s="455"/>
      <c r="D12" s="456"/>
      <c r="E12" s="455"/>
      <c r="F12" s="456" t="s">
        <v>1239</v>
      </c>
      <c r="G12" s="455"/>
      <c r="H12" s="455"/>
      <c r="I12" s="455"/>
      <c r="J12" s="455"/>
      <c r="K12" s="455"/>
      <c r="L12" s="455"/>
      <c r="N12" s="456" t="s">
        <v>1239</v>
      </c>
      <c r="O12" s="455"/>
      <c r="P12" s="455"/>
      <c r="Q12" s="455"/>
      <c r="R12" s="455"/>
      <c r="S12" s="455"/>
      <c r="T12" s="455"/>
    </row>
    <row r="13" spans="1:20" s="83" customFormat="1" ht="15.6">
      <c r="A13" s="455"/>
      <c r="B13" s="455"/>
      <c r="C13" s="455"/>
      <c r="D13" s="456"/>
      <c r="E13" s="455"/>
      <c r="F13" s="456" t="s">
        <v>352</v>
      </c>
      <c r="G13" s="455"/>
      <c r="H13" s="456" t="s">
        <v>353</v>
      </c>
      <c r="I13" s="455"/>
      <c r="J13" s="456" t="s">
        <v>1673</v>
      </c>
      <c r="K13" s="455"/>
      <c r="L13" s="456" t="s">
        <v>305</v>
      </c>
      <c r="N13" s="456" t="s">
        <v>352</v>
      </c>
      <c r="O13" s="455"/>
      <c r="P13" s="456" t="s">
        <v>353</v>
      </c>
      <c r="Q13" s="455"/>
      <c r="R13" s="456" t="s">
        <v>1673</v>
      </c>
      <c r="S13" s="455"/>
      <c r="T13" s="456" t="s">
        <v>305</v>
      </c>
    </row>
    <row r="14" spans="1:20" s="83" customFormat="1" ht="16.2" thickBot="1">
      <c r="C14" s="455"/>
      <c r="D14" s="457" t="s">
        <v>1674</v>
      </c>
      <c r="E14" s="455"/>
      <c r="F14" s="427" t="s">
        <v>355</v>
      </c>
      <c r="H14" s="427" t="s">
        <v>356</v>
      </c>
      <c r="J14" s="427" t="s">
        <v>1675</v>
      </c>
      <c r="L14" s="427" t="s">
        <v>358</v>
      </c>
      <c r="N14" s="427" t="s">
        <v>355</v>
      </c>
      <c r="P14" s="427" t="s">
        <v>356</v>
      </c>
      <c r="R14" s="427" t="s">
        <v>1675</v>
      </c>
      <c r="T14" s="427" t="s">
        <v>358</v>
      </c>
    </row>
    <row r="15" spans="1:20" s="83" customFormat="1" ht="15.6">
      <c r="A15" s="429">
        <v>1</v>
      </c>
      <c r="B15" s="425" t="s">
        <v>1676</v>
      </c>
      <c r="C15" s="458"/>
      <c r="D15" s="459"/>
      <c r="E15" s="455"/>
      <c r="F15" s="460" t="s">
        <v>8</v>
      </c>
      <c r="H15" s="460" t="s">
        <v>9</v>
      </c>
      <c r="I15" s="460"/>
      <c r="J15" s="460" t="s">
        <v>359</v>
      </c>
      <c r="K15" s="460"/>
      <c r="L15" s="460" t="s">
        <v>360</v>
      </c>
      <c r="M15" s="460"/>
      <c r="N15" s="460" t="s">
        <v>162</v>
      </c>
      <c r="O15" s="455"/>
      <c r="P15" s="460" t="s">
        <v>163</v>
      </c>
      <c r="Q15" s="455"/>
      <c r="R15" s="460" t="s">
        <v>228</v>
      </c>
      <c r="S15" s="455"/>
      <c r="T15" s="460" t="s">
        <v>361</v>
      </c>
    </row>
    <row r="16" spans="1:20" s="83" customFormat="1" ht="18" customHeight="1">
      <c r="A16" s="429" t="s">
        <v>167</v>
      </c>
      <c r="B16" s="458" t="s">
        <v>1677</v>
      </c>
      <c r="C16" s="458"/>
      <c r="D16" s="1225">
        <v>205300200001</v>
      </c>
      <c r="E16" s="455"/>
      <c r="F16" s="463">
        <v>0</v>
      </c>
      <c r="G16" s="463"/>
      <c r="H16" s="463">
        <v>0</v>
      </c>
      <c r="I16" s="1451"/>
      <c r="J16" s="463">
        <v>0</v>
      </c>
      <c r="K16" s="458"/>
      <c r="L16" s="463">
        <v>0</v>
      </c>
      <c r="M16" s="464"/>
      <c r="N16" s="462">
        <v>1817000</v>
      </c>
      <c r="O16" s="462"/>
      <c r="P16" s="462">
        <v>1708606</v>
      </c>
      <c r="Q16" s="462"/>
      <c r="R16" s="462">
        <v>108394</v>
      </c>
      <c r="S16" s="458"/>
      <c r="T16" s="463">
        <v>35977</v>
      </c>
    </row>
    <row r="17" spans="1:20" s="83" customFormat="1" ht="15">
      <c r="A17" s="429" t="s">
        <v>171</v>
      </c>
      <c r="B17" s="458" t="s">
        <v>1678</v>
      </c>
      <c r="C17" s="458"/>
      <c r="D17" s="1225">
        <v>205300200002</v>
      </c>
      <c r="E17" s="455"/>
      <c r="F17" s="463">
        <v>0</v>
      </c>
      <c r="G17" s="463"/>
      <c r="H17" s="463">
        <v>0</v>
      </c>
      <c r="I17" s="1451"/>
      <c r="J17" s="463">
        <v>0</v>
      </c>
      <c r="K17" s="458"/>
      <c r="L17" s="463">
        <v>0</v>
      </c>
      <c r="M17" s="464"/>
      <c r="N17" s="463">
        <v>0</v>
      </c>
      <c r="O17" s="1451"/>
      <c r="P17" s="463">
        <v>0</v>
      </c>
      <c r="Q17" s="463"/>
      <c r="R17" s="463">
        <v>0</v>
      </c>
      <c r="S17" s="458"/>
      <c r="T17" s="463">
        <v>37831.67</v>
      </c>
    </row>
    <row r="18" spans="1:20" s="83" customFormat="1" ht="15">
      <c r="A18" s="429" t="s">
        <v>174</v>
      </c>
      <c r="B18" s="458" t="s">
        <v>1678</v>
      </c>
      <c r="C18" s="458"/>
      <c r="D18" s="1225">
        <v>205300200003</v>
      </c>
      <c r="E18" s="455"/>
      <c r="F18" s="463">
        <v>0</v>
      </c>
      <c r="G18" s="463"/>
      <c r="H18" s="463">
        <v>0</v>
      </c>
      <c r="I18" s="1451"/>
      <c r="J18" s="463">
        <v>0</v>
      </c>
      <c r="K18" s="458"/>
      <c r="L18" s="463">
        <v>0</v>
      </c>
      <c r="M18" s="464"/>
      <c r="N18" s="463">
        <v>0</v>
      </c>
      <c r="O18" s="1451"/>
      <c r="P18" s="463">
        <v>0</v>
      </c>
      <c r="Q18" s="463"/>
      <c r="R18" s="463">
        <v>0</v>
      </c>
      <c r="S18" s="458"/>
      <c r="T18" s="463">
        <v>37831.67</v>
      </c>
    </row>
    <row r="19" spans="1:20" s="83" customFormat="1" ht="15">
      <c r="A19" s="429" t="s">
        <v>177</v>
      </c>
      <c r="B19" s="466" t="s">
        <v>1678</v>
      </c>
      <c r="C19" s="458"/>
      <c r="D19" s="1226">
        <v>205300200111</v>
      </c>
      <c r="E19" s="455"/>
      <c r="F19" s="462">
        <v>41852931</v>
      </c>
      <c r="G19" s="462"/>
      <c r="H19" s="462">
        <v>1907327</v>
      </c>
      <c r="I19" s="462"/>
      <c r="J19" s="462">
        <v>39945604</v>
      </c>
      <c r="K19" s="458"/>
      <c r="L19" s="463">
        <v>630190</v>
      </c>
      <c r="M19" s="464"/>
      <c r="N19" s="462">
        <v>41820217.009999998</v>
      </c>
      <c r="O19" s="462"/>
      <c r="P19" s="462">
        <v>1277137.01</v>
      </c>
      <c r="Q19" s="462"/>
      <c r="R19" s="462">
        <v>40543080</v>
      </c>
      <c r="S19" s="458"/>
      <c r="T19" s="463">
        <v>725090</v>
      </c>
    </row>
    <row r="20" spans="1:20" s="83" customFormat="1" ht="15">
      <c r="A20" s="429" t="s">
        <v>237</v>
      </c>
      <c r="B20" s="458" t="s">
        <v>1679</v>
      </c>
      <c r="C20" s="458"/>
      <c r="D20" s="1225"/>
      <c r="E20" s="455"/>
      <c r="F20" s="463">
        <v>0</v>
      </c>
      <c r="G20" s="463"/>
      <c r="H20" s="463">
        <v>0</v>
      </c>
      <c r="I20" s="1451">
        <v>0</v>
      </c>
      <c r="J20" s="463">
        <v>0</v>
      </c>
      <c r="K20" s="463"/>
      <c r="L20" s="463">
        <v>0</v>
      </c>
      <c r="M20" s="463"/>
      <c r="N20" s="463">
        <v>0</v>
      </c>
      <c r="O20" s="1451"/>
      <c r="P20" s="463">
        <v>0</v>
      </c>
      <c r="Q20" s="463"/>
      <c r="R20" s="463">
        <v>0</v>
      </c>
      <c r="S20" s="458"/>
      <c r="T20" s="463">
        <v>0</v>
      </c>
    </row>
    <row r="21" spans="1:20" s="83" customFormat="1" ht="15">
      <c r="A21" s="465" t="s">
        <v>146</v>
      </c>
      <c r="B21" s="464"/>
      <c r="C21" s="467"/>
      <c r="D21" s="464"/>
      <c r="E21" s="455"/>
      <c r="F21" s="1198"/>
      <c r="G21" s="462"/>
      <c r="H21" s="1198"/>
      <c r="I21" s="462"/>
      <c r="J21" s="1198"/>
      <c r="K21" s="458"/>
      <c r="L21" s="1198"/>
      <c r="M21" s="464"/>
      <c r="N21" s="1198"/>
      <c r="O21" s="462"/>
      <c r="P21" s="1198"/>
      <c r="Q21" s="462"/>
      <c r="R21" s="1198"/>
      <c r="S21" s="458"/>
      <c r="T21" s="1198"/>
    </row>
    <row r="22" spans="1:20" s="83" customFormat="1" ht="16.2" thickBot="1">
      <c r="B22" s="464"/>
      <c r="C22" s="458"/>
      <c r="D22" s="461"/>
      <c r="E22" s="455"/>
      <c r="F22" s="469">
        <f>SUM(F16:F21)</f>
        <v>41852931</v>
      </c>
      <c r="G22" s="470"/>
      <c r="H22" s="469">
        <f>SUM(H16:H21)</f>
        <v>1907327</v>
      </c>
      <c r="I22" s="446"/>
      <c r="J22" s="469">
        <f>SUM(J16:J21)</f>
        <v>39945604</v>
      </c>
      <c r="K22" s="470"/>
      <c r="L22" s="469">
        <f>SUM(L16:L21)</f>
        <v>630190</v>
      </c>
      <c r="M22" s="471"/>
      <c r="N22" s="469">
        <f>SUM(N16:N21)</f>
        <v>43637217.009999998</v>
      </c>
      <c r="O22" s="470"/>
      <c r="P22" s="469">
        <f>SUM(P16:P21)</f>
        <v>2985743.01</v>
      </c>
      <c r="Q22" s="445"/>
      <c r="R22" s="469">
        <f>SUM(R16:R21)</f>
        <v>40651474</v>
      </c>
      <c r="S22" s="470"/>
      <c r="T22" s="469">
        <f>SUM(T16:T21)</f>
        <v>836730.34</v>
      </c>
    </row>
    <row r="23" spans="1:20" s="83" customFormat="1" ht="15.6">
      <c r="A23" s="429"/>
      <c r="B23" s="455"/>
      <c r="C23" s="455"/>
      <c r="D23" s="1188"/>
      <c r="E23" s="455"/>
      <c r="F23" s="472"/>
      <c r="G23" s="473"/>
      <c r="H23" s="472"/>
      <c r="I23" s="472"/>
      <c r="J23" s="472"/>
      <c r="K23" s="455"/>
      <c r="L23" s="472"/>
      <c r="N23" s="472"/>
      <c r="O23" s="473"/>
      <c r="P23" s="472"/>
      <c r="Q23" s="474"/>
      <c r="R23" s="472"/>
      <c r="S23" s="455"/>
      <c r="T23" s="472"/>
    </row>
    <row r="24" spans="1:20" s="83" customFormat="1" ht="15.6">
      <c r="A24" s="429">
        <v>2</v>
      </c>
      <c r="B24" s="425" t="s">
        <v>1680</v>
      </c>
      <c r="C24" s="458"/>
      <c r="D24" s="461"/>
      <c r="E24" s="455"/>
      <c r="F24" s="473"/>
      <c r="G24" s="473"/>
      <c r="H24" s="473"/>
      <c r="I24" s="473"/>
      <c r="J24" s="473"/>
      <c r="K24" s="455"/>
      <c r="L24" s="438"/>
      <c r="N24" s="473"/>
      <c r="O24" s="473"/>
      <c r="P24" s="473"/>
      <c r="Q24" s="473"/>
      <c r="R24" s="473"/>
      <c r="S24" s="455"/>
      <c r="T24" s="438"/>
    </row>
    <row r="25" spans="1:20" s="83" customFormat="1" ht="15.6">
      <c r="A25" s="429" t="s">
        <v>769</v>
      </c>
      <c r="B25" s="458" t="s">
        <v>1681</v>
      </c>
      <c r="C25" s="425"/>
      <c r="D25" s="461">
        <v>205300300001</v>
      </c>
      <c r="E25" s="475"/>
      <c r="F25" s="462">
        <v>9775817</v>
      </c>
      <c r="G25" s="462"/>
      <c r="H25" s="462">
        <v>9622509</v>
      </c>
      <c r="I25" s="462">
        <v>9775817</v>
      </c>
      <c r="J25" s="462">
        <v>153308</v>
      </c>
      <c r="K25" s="462"/>
      <c r="L25" s="462">
        <v>189552</v>
      </c>
      <c r="M25" s="464"/>
      <c r="N25" s="462">
        <v>9775817</v>
      </c>
      <c r="O25" s="462"/>
      <c r="P25" s="462">
        <v>9432957</v>
      </c>
      <c r="Q25" s="462"/>
      <c r="R25" s="462">
        <v>342860</v>
      </c>
      <c r="S25" s="425"/>
      <c r="T25" s="463">
        <v>180061</v>
      </c>
    </row>
    <row r="26" spans="1:20" s="83" customFormat="1" ht="15">
      <c r="A26" s="429" t="s">
        <v>771</v>
      </c>
      <c r="B26" s="458" t="s">
        <v>1682</v>
      </c>
      <c r="C26" s="458"/>
      <c r="D26" s="461">
        <v>205300300002</v>
      </c>
      <c r="E26" s="455"/>
      <c r="F26" s="462">
        <v>2154273</v>
      </c>
      <c r="G26" s="462"/>
      <c r="H26" s="462">
        <v>1044525</v>
      </c>
      <c r="I26" s="462">
        <v>2154273</v>
      </c>
      <c r="J26" s="462">
        <v>1109748</v>
      </c>
      <c r="K26" s="462"/>
      <c r="L26" s="462">
        <v>47939</v>
      </c>
      <c r="M26" s="464"/>
      <c r="N26" s="462">
        <v>2154273.4300000002</v>
      </c>
      <c r="O26" s="462"/>
      <c r="P26" s="462">
        <v>996586.43</v>
      </c>
      <c r="Q26" s="462"/>
      <c r="R26" s="462">
        <v>1157687</v>
      </c>
      <c r="S26" s="458"/>
      <c r="T26" s="463">
        <v>47904</v>
      </c>
    </row>
    <row r="27" spans="1:20" s="83" customFormat="1" ht="15">
      <c r="A27" s="429" t="s">
        <v>773</v>
      </c>
      <c r="B27" s="458" t="s">
        <v>1683</v>
      </c>
      <c r="C27" s="458"/>
      <c r="D27" s="461">
        <v>205300300025</v>
      </c>
      <c r="E27" s="455"/>
      <c r="F27" s="462">
        <v>2021592</v>
      </c>
      <c r="G27" s="462"/>
      <c r="H27" s="462">
        <v>441456</v>
      </c>
      <c r="I27" s="462">
        <v>2021592</v>
      </c>
      <c r="J27" s="462">
        <v>1580136</v>
      </c>
      <c r="K27" s="462"/>
      <c r="L27" s="462">
        <v>62242</v>
      </c>
      <c r="M27" s="464"/>
      <c r="N27" s="462">
        <v>2021592</v>
      </c>
      <c r="O27" s="462"/>
      <c r="P27" s="462">
        <v>379214</v>
      </c>
      <c r="Q27" s="462"/>
      <c r="R27" s="462">
        <v>1642378</v>
      </c>
      <c r="S27" s="458"/>
      <c r="T27" s="463">
        <v>67960</v>
      </c>
    </row>
    <row r="28" spans="1:20" s="83" customFormat="1" ht="15">
      <c r="A28" s="429" t="s">
        <v>775</v>
      </c>
      <c r="B28" s="458" t="s">
        <v>1684</v>
      </c>
      <c r="C28" s="458"/>
      <c r="D28" s="461">
        <v>205300300004</v>
      </c>
      <c r="E28" s="455"/>
      <c r="F28" s="462">
        <v>2849131</v>
      </c>
      <c r="G28" s="462"/>
      <c r="H28" s="462">
        <v>1460376</v>
      </c>
      <c r="I28" s="462">
        <v>2849131</v>
      </c>
      <c r="J28" s="462">
        <v>1388755</v>
      </c>
      <c r="K28" s="462"/>
      <c r="L28" s="462">
        <v>60877</v>
      </c>
      <c r="M28" s="464"/>
      <c r="N28" s="462">
        <v>2849131.2500000005</v>
      </c>
      <c r="O28" s="462"/>
      <c r="P28" s="462">
        <v>1399499.25</v>
      </c>
      <c r="Q28" s="462"/>
      <c r="R28" s="462">
        <v>1449632.0000000005</v>
      </c>
      <c r="S28" s="458"/>
      <c r="T28" s="463">
        <v>59985</v>
      </c>
    </row>
    <row r="29" spans="1:20" s="83" customFormat="1" ht="15">
      <c r="A29" s="429" t="s">
        <v>777</v>
      </c>
      <c r="B29" s="458" t="s">
        <v>1685</v>
      </c>
      <c r="C29" s="458"/>
      <c r="D29" s="461">
        <v>205300300005</v>
      </c>
      <c r="E29" s="455"/>
      <c r="F29" s="462">
        <v>2134025</v>
      </c>
      <c r="G29" s="462"/>
      <c r="H29" s="462">
        <v>916831</v>
      </c>
      <c r="I29" s="462">
        <v>2134025</v>
      </c>
      <c r="J29" s="462">
        <v>1217194</v>
      </c>
      <c r="K29" s="462"/>
      <c r="L29" s="462">
        <v>51265</v>
      </c>
      <c r="M29" s="464"/>
      <c r="N29" s="462">
        <v>2134025.1</v>
      </c>
      <c r="O29" s="462"/>
      <c r="P29" s="462">
        <v>865566.1</v>
      </c>
      <c r="Q29" s="462"/>
      <c r="R29" s="462">
        <v>1268459</v>
      </c>
      <c r="S29" s="458"/>
      <c r="T29" s="463">
        <v>52488</v>
      </c>
    </row>
    <row r="30" spans="1:20" s="83" customFormat="1" ht="15">
      <c r="A30" s="429" t="s">
        <v>779</v>
      </c>
      <c r="B30" s="458" t="s">
        <v>1686</v>
      </c>
      <c r="C30" s="458"/>
      <c r="D30" s="461">
        <v>205300300007</v>
      </c>
      <c r="E30" s="455"/>
      <c r="F30" s="462">
        <v>2021861</v>
      </c>
      <c r="G30" s="462"/>
      <c r="H30" s="462">
        <v>884702</v>
      </c>
      <c r="I30" s="462">
        <v>2021861</v>
      </c>
      <c r="J30" s="462">
        <v>1137159</v>
      </c>
      <c r="K30" s="462"/>
      <c r="L30" s="462">
        <v>49694</v>
      </c>
      <c r="M30" s="464"/>
      <c r="N30" s="462">
        <v>2021860.69</v>
      </c>
      <c r="O30" s="462"/>
      <c r="P30" s="462">
        <v>835007.69</v>
      </c>
      <c r="Q30" s="462"/>
      <c r="R30" s="462">
        <v>1186853</v>
      </c>
      <c r="S30" s="458"/>
      <c r="T30" s="463">
        <v>51231</v>
      </c>
    </row>
    <row r="31" spans="1:20" s="83" customFormat="1" ht="15">
      <c r="A31" s="429" t="s">
        <v>781</v>
      </c>
      <c r="B31" s="458" t="s">
        <v>1687</v>
      </c>
      <c r="C31" s="458"/>
      <c r="D31" s="461">
        <v>205300300008</v>
      </c>
      <c r="E31" s="455"/>
      <c r="F31" s="462">
        <v>2103659</v>
      </c>
      <c r="G31" s="462"/>
      <c r="H31" s="462">
        <v>836944</v>
      </c>
      <c r="I31" s="462">
        <v>2103659</v>
      </c>
      <c r="J31" s="462">
        <v>1266715</v>
      </c>
      <c r="K31" s="462"/>
      <c r="L31" s="462">
        <v>52676</v>
      </c>
      <c r="M31" s="464"/>
      <c r="N31" s="462">
        <v>2103658.9500000002</v>
      </c>
      <c r="O31" s="462"/>
      <c r="P31" s="462">
        <v>784267.95</v>
      </c>
      <c r="Q31" s="462"/>
      <c r="R31" s="462">
        <v>1319391.0000000002</v>
      </c>
      <c r="S31" s="458"/>
      <c r="T31" s="463">
        <v>54596</v>
      </c>
    </row>
    <row r="32" spans="1:20" s="83" customFormat="1" ht="15">
      <c r="A32" s="429" t="s">
        <v>783</v>
      </c>
      <c r="B32" s="458" t="s">
        <v>1688</v>
      </c>
      <c r="C32" s="458"/>
      <c r="D32" s="461">
        <v>205300300009</v>
      </c>
      <c r="E32" s="455"/>
      <c r="F32" s="462">
        <v>2653522</v>
      </c>
      <c r="G32" s="462"/>
      <c r="H32" s="462">
        <v>1012325</v>
      </c>
      <c r="I32" s="462">
        <v>2653522</v>
      </c>
      <c r="J32" s="462">
        <v>1641197</v>
      </c>
      <c r="K32" s="462"/>
      <c r="L32" s="462">
        <v>67834</v>
      </c>
      <c r="M32" s="464"/>
      <c r="N32" s="462">
        <v>2653521.7399999998</v>
      </c>
      <c r="O32" s="462"/>
      <c r="P32" s="462">
        <v>944490.74</v>
      </c>
      <c r="Q32" s="462"/>
      <c r="R32" s="462">
        <v>1709030.9999999998</v>
      </c>
      <c r="S32" s="458"/>
      <c r="T32" s="463">
        <v>70718</v>
      </c>
    </row>
    <row r="33" spans="1:20" s="83" customFormat="1" ht="15">
      <c r="A33" s="465" t="s">
        <v>146</v>
      </c>
      <c r="B33" s="466"/>
      <c r="C33" s="467"/>
      <c r="D33" s="468"/>
      <c r="E33" s="455"/>
      <c r="F33" s="1198"/>
      <c r="G33" s="462"/>
      <c r="H33" s="1198"/>
      <c r="I33" s="462"/>
      <c r="J33" s="1198"/>
      <c r="K33" s="458"/>
      <c r="L33" s="1198"/>
      <c r="M33" s="464"/>
      <c r="N33" s="1198"/>
      <c r="O33" s="462"/>
      <c r="P33" s="1198"/>
      <c r="Q33" s="462"/>
      <c r="R33" s="1198"/>
      <c r="S33" s="458"/>
      <c r="T33" s="1198"/>
    </row>
    <row r="34" spans="1:20" s="83" customFormat="1" ht="16.2" thickBot="1">
      <c r="A34" s="429"/>
      <c r="B34" s="458"/>
      <c r="C34" s="458"/>
      <c r="D34" s="476"/>
      <c r="E34" s="455"/>
      <c r="F34" s="469">
        <f>SUM(F25:F33)</f>
        <v>25713880</v>
      </c>
      <c r="G34" s="445"/>
      <c r="H34" s="469">
        <f>SUM(H25:H33)</f>
        <v>16219668</v>
      </c>
      <c r="I34" s="446"/>
      <c r="J34" s="469">
        <f>SUM(J25:J33)</f>
        <v>9494212</v>
      </c>
      <c r="K34" s="470"/>
      <c r="L34" s="469">
        <f>SUM(L25:L33)</f>
        <v>582079</v>
      </c>
      <c r="M34" s="471"/>
      <c r="N34" s="469">
        <f>SUM(N25:N33)</f>
        <v>25713880.16</v>
      </c>
      <c r="O34" s="446"/>
      <c r="P34" s="469">
        <f>SUM(P25:P33)</f>
        <v>15637589.159999998</v>
      </c>
      <c r="Q34" s="445"/>
      <c r="R34" s="469">
        <f>SUM(R25:R33)</f>
        <v>10076291</v>
      </c>
      <c r="S34" s="470"/>
      <c r="T34" s="469">
        <f>SUM(T25:T33)</f>
        <v>584943</v>
      </c>
    </row>
    <row r="35" spans="1:20" s="83" customFormat="1" ht="15">
      <c r="A35" s="429"/>
      <c r="B35" s="455"/>
      <c r="C35" s="455"/>
      <c r="D35" s="1189"/>
      <c r="E35" s="455"/>
      <c r="F35" s="473"/>
      <c r="G35" s="473"/>
      <c r="H35" s="473"/>
      <c r="I35" s="473"/>
      <c r="J35" s="473"/>
      <c r="K35" s="455"/>
      <c r="L35" s="438"/>
      <c r="N35" s="473"/>
      <c r="O35" s="473"/>
      <c r="P35" s="473"/>
      <c r="Q35" s="473"/>
      <c r="R35" s="473"/>
      <c r="S35" s="455"/>
      <c r="T35" s="438"/>
    </row>
    <row r="36" spans="1:20" s="83" customFormat="1" ht="15.6">
      <c r="A36" s="429">
        <v>3</v>
      </c>
      <c r="B36" s="425" t="s">
        <v>421</v>
      </c>
      <c r="C36" s="458"/>
      <c r="D36" s="464"/>
      <c r="E36" s="455"/>
      <c r="F36" s="473"/>
      <c r="G36" s="473"/>
      <c r="H36" s="473"/>
      <c r="I36" s="473"/>
      <c r="J36" s="473"/>
      <c r="K36" s="455"/>
      <c r="L36" s="438"/>
      <c r="N36" s="473"/>
      <c r="O36" s="473"/>
      <c r="P36" s="473"/>
      <c r="Q36" s="473"/>
      <c r="R36" s="473"/>
      <c r="S36" s="455"/>
      <c r="T36" s="438"/>
    </row>
    <row r="37" spans="1:20" s="83" customFormat="1" ht="15.6">
      <c r="A37" s="429" t="s">
        <v>183</v>
      </c>
      <c r="B37" s="425" t="s">
        <v>421</v>
      </c>
      <c r="C37" s="458"/>
      <c r="D37" s="1223">
        <v>205300400001</v>
      </c>
      <c r="E37" s="455"/>
      <c r="F37" s="462">
        <v>3993000</v>
      </c>
      <c r="G37" s="462"/>
      <c r="H37" s="462">
        <v>3993000</v>
      </c>
      <c r="I37" s="462">
        <v>3993000</v>
      </c>
      <c r="J37" s="463">
        <v>0</v>
      </c>
      <c r="K37" s="463"/>
      <c r="L37" s="463">
        <v>0</v>
      </c>
      <c r="M37" s="464"/>
      <c r="N37" s="462">
        <v>3993000</v>
      </c>
      <c r="O37" s="462"/>
      <c r="P37" s="462">
        <v>3993000</v>
      </c>
      <c r="Q37" s="462"/>
      <c r="R37" s="463">
        <v>0</v>
      </c>
      <c r="S37" s="458"/>
      <c r="T37" s="463">
        <v>0</v>
      </c>
    </row>
    <row r="38" spans="1:20" s="83" customFormat="1" ht="15">
      <c r="A38" s="465" t="s">
        <v>146</v>
      </c>
      <c r="B38" s="466"/>
      <c r="C38" s="467"/>
      <c r="D38" s="1224"/>
      <c r="E38" s="455"/>
      <c r="F38" s="1198"/>
      <c r="G38" s="462"/>
      <c r="H38" s="1198"/>
      <c r="I38" s="462"/>
      <c r="J38" s="1198"/>
      <c r="K38" s="458"/>
      <c r="L38" s="1198"/>
      <c r="M38" s="464"/>
      <c r="N38" s="1198"/>
      <c r="O38" s="462"/>
      <c r="P38" s="1198"/>
      <c r="Q38" s="462"/>
      <c r="R38" s="1198"/>
      <c r="S38" s="458"/>
      <c r="T38" s="1198"/>
    </row>
    <row r="39" spans="1:20" s="83" customFormat="1" ht="16.2" thickBot="1">
      <c r="A39" s="429"/>
      <c r="B39" s="425"/>
      <c r="C39" s="458"/>
      <c r="D39" s="1227"/>
      <c r="E39" s="455"/>
      <c r="F39" s="469">
        <f>SUM(F37:F38)</f>
        <v>3993000</v>
      </c>
      <c r="G39" s="445"/>
      <c r="H39" s="469">
        <f t="shared" ref="H39:T39" si="0">SUM(H37:H38)</f>
        <v>3993000</v>
      </c>
      <c r="I39" s="446">
        <f t="shared" si="0"/>
        <v>3993000</v>
      </c>
      <c r="J39" s="469">
        <f t="shared" si="0"/>
        <v>0</v>
      </c>
      <c r="K39" s="470"/>
      <c r="L39" s="469">
        <f t="shared" si="0"/>
        <v>0</v>
      </c>
      <c r="M39" s="471"/>
      <c r="N39" s="469">
        <f t="shared" si="0"/>
        <v>3993000</v>
      </c>
      <c r="O39" s="446">
        <f t="shared" si="0"/>
        <v>0</v>
      </c>
      <c r="P39" s="469">
        <f t="shared" si="0"/>
        <v>3993000</v>
      </c>
      <c r="Q39" s="445">
        <f t="shared" si="0"/>
        <v>0</v>
      </c>
      <c r="R39" s="469">
        <f t="shared" si="0"/>
        <v>0</v>
      </c>
      <c r="S39" s="446">
        <f t="shared" si="0"/>
        <v>0</v>
      </c>
      <c r="T39" s="469">
        <f t="shared" si="0"/>
        <v>0</v>
      </c>
    </row>
    <row r="40" spans="1:20" s="83" customFormat="1" ht="15.6">
      <c r="A40" s="429"/>
      <c r="B40" s="455"/>
      <c r="C40" s="455"/>
      <c r="D40" s="1228"/>
      <c r="E40" s="455"/>
      <c r="F40" s="473"/>
      <c r="G40" s="473"/>
      <c r="H40" s="478"/>
      <c r="I40" s="473"/>
      <c r="J40" s="473"/>
      <c r="K40" s="455"/>
      <c r="L40" s="438"/>
      <c r="N40" s="473"/>
      <c r="O40" s="473"/>
      <c r="P40" s="478"/>
      <c r="Q40" s="474"/>
      <c r="R40" s="473"/>
      <c r="S40" s="455"/>
      <c r="T40" s="438"/>
    </row>
    <row r="41" spans="1:20" s="83" customFormat="1" ht="15.6">
      <c r="A41" s="429">
        <v>4</v>
      </c>
      <c r="B41" s="425" t="s">
        <v>1689</v>
      </c>
      <c r="C41" s="458"/>
      <c r="D41" s="464"/>
      <c r="E41" s="455"/>
      <c r="F41" s="473"/>
      <c r="G41" s="473"/>
      <c r="H41" s="478"/>
      <c r="I41" s="473"/>
      <c r="J41" s="473"/>
      <c r="K41" s="455"/>
      <c r="L41" s="438"/>
      <c r="N41" s="473"/>
      <c r="O41" s="473"/>
      <c r="P41" s="478"/>
      <c r="Q41" s="473"/>
      <c r="R41" s="473"/>
      <c r="S41" s="455"/>
      <c r="T41" s="438"/>
    </row>
    <row r="42" spans="1:20" s="83" customFormat="1" ht="15.6">
      <c r="A42" s="429" t="s">
        <v>861</v>
      </c>
      <c r="B42" s="425" t="s">
        <v>1689</v>
      </c>
      <c r="C42" s="458"/>
      <c r="D42" s="1223">
        <v>205400500001</v>
      </c>
      <c r="E42" s="455"/>
      <c r="F42" s="462">
        <v>2227045</v>
      </c>
      <c r="G42" s="462"/>
      <c r="H42" s="462">
        <v>2227045</v>
      </c>
      <c r="I42" s="462">
        <v>2227045</v>
      </c>
      <c r="J42" s="463">
        <v>0</v>
      </c>
      <c r="K42" s="463"/>
      <c r="L42" s="463">
        <v>0</v>
      </c>
      <c r="M42" s="464"/>
      <c r="N42" s="462">
        <v>2227045</v>
      </c>
      <c r="O42" s="462"/>
      <c r="P42" s="462">
        <v>2227045</v>
      </c>
      <c r="Q42" s="462"/>
      <c r="R42" s="463">
        <v>0</v>
      </c>
      <c r="S42" s="458"/>
      <c r="T42" s="463">
        <v>0</v>
      </c>
    </row>
    <row r="43" spans="1:20" s="83" customFormat="1" ht="15">
      <c r="A43" s="465" t="s">
        <v>146</v>
      </c>
      <c r="B43" s="466"/>
      <c r="C43" s="467"/>
      <c r="D43" s="468"/>
      <c r="E43" s="455"/>
      <c r="F43" s="1198"/>
      <c r="G43" s="462"/>
      <c r="H43" s="1198"/>
      <c r="I43" s="462"/>
      <c r="J43" s="1198"/>
      <c r="K43" s="458"/>
      <c r="L43" s="1198"/>
      <c r="M43" s="464"/>
      <c r="N43" s="1198"/>
      <c r="O43" s="462"/>
      <c r="P43" s="1198"/>
      <c r="Q43" s="462"/>
      <c r="R43" s="1198"/>
      <c r="S43" s="458"/>
      <c r="T43" s="1198"/>
    </row>
    <row r="44" spans="1:20" s="83" customFormat="1" ht="16.2" thickBot="1">
      <c r="A44" s="429"/>
      <c r="B44" s="425"/>
      <c r="C44" s="458"/>
      <c r="D44" s="477"/>
      <c r="E44" s="455"/>
      <c r="F44" s="469">
        <f>SUM(F42:F43)</f>
        <v>2227045</v>
      </c>
      <c r="G44" s="445"/>
      <c r="H44" s="469">
        <f>SUM(H42:H43)</f>
        <v>2227045</v>
      </c>
      <c r="I44" s="446"/>
      <c r="J44" s="469">
        <f>SUM(J42:J43)</f>
        <v>0</v>
      </c>
      <c r="K44" s="470"/>
      <c r="L44" s="469">
        <f>SUM(L42:L43)</f>
        <v>0</v>
      </c>
      <c r="M44" s="471"/>
      <c r="N44" s="469">
        <f>SUM(N42:N43)</f>
        <v>2227045</v>
      </c>
      <c r="O44" s="446"/>
      <c r="P44" s="469">
        <f>SUM(P42:P43)</f>
        <v>2227045</v>
      </c>
      <c r="Q44" s="445"/>
      <c r="R44" s="469">
        <f>SUM(R42:R43)</f>
        <v>0</v>
      </c>
      <c r="S44" s="446"/>
      <c r="T44" s="469">
        <f>SUM(T42:T43)</f>
        <v>0</v>
      </c>
    </row>
    <row r="45" spans="1:20" s="83" customFormat="1" ht="15.6">
      <c r="A45" s="429"/>
      <c r="B45" s="455"/>
      <c r="C45" s="455"/>
      <c r="D45" s="455"/>
      <c r="E45" s="455"/>
      <c r="F45" s="455"/>
      <c r="G45" s="455"/>
      <c r="H45" s="455"/>
      <c r="I45" s="455"/>
      <c r="J45" s="455"/>
      <c r="K45" s="455"/>
      <c r="L45" s="455"/>
      <c r="N45" s="455"/>
      <c r="O45" s="455"/>
      <c r="P45" s="455"/>
      <c r="Q45" s="474"/>
      <c r="R45" s="455"/>
      <c r="S45" s="455"/>
      <c r="T45" s="455"/>
    </row>
    <row r="46" spans="1:20" s="83" customFormat="1" ht="15.6">
      <c r="A46" s="429">
        <v>5</v>
      </c>
      <c r="B46" s="425" t="s">
        <v>1690</v>
      </c>
      <c r="C46" s="458"/>
      <c r="D46" s="458"/>
      <c r="E46" s="455"/>
      <c r="F46" s="455"/>
      <c r="G46" s="455"/>
      <c r="H46" s="455"/>
      <c r="I46" s="455"/>
      <c r="J46" s="455"/>
      <c r="K46" s="455"/>
      <c r="L46" s="455"/>
      <c r="N46" s="455"/>
      <c r="O46" s="455"/>
      <c r="P46" s="455"/>
      <c r="Q46" s="455"/>
      <c r="R46" s="455"/>
      <c r="S46" s="455"/>
      <c r="T46" s="455"/>
    </row>
    <row r="47" spans="1:20" s="83" customFormat="1" ht="15">
      <c r="A47" s="429" t="s">
        <v>332</v>
      </c>
      <c r="B47" s="458" t="s">
        <v>1691</v>
      </c>
      <c r="C47" s="458"/>
      <c r="D47" s="1225">
        <v>205303000001</v>
      </c>
      <c r="E47" s="455"/>
      <c r="F47" s="462">
        <v>2727277</v>
      </c>
      <c r="G47" s="462"/>
      <c r="H47" s="462">
        <v>1534583</v>
      </c>
      <c r="I47" s="462"/>
      <c r="J47" s="462">
        <v>1192694</v>
      </c>
      <c r="K47" s="462"/>
      <c r="L47" s="463">
        <v>0</v>
      </c>
      <c r="M47" s="464"/>
      <c r="N47" s="1412">
        <v>2727277</v>
      </c>
      <c r="O47" s="1413"/>
      <c r="P47" s="1412">
        <v>1454560</v>
      </c>
      <c r="Q47" s="1413"/>
      <c r="R47" s="1412">
        <v>1272717</v>
      </c>
      <c r="S47" s="462"/>
      <c r="T47" s="463">
        <v>0</v>
      </c>
    </row>
    <row r="48" spans="1:20" s="83" customFormat="1" ht="15">
      <c r="A48" s="429" t="s">
        <v>335</v>
      </c>
      <c r="B48" s="458" t="s">
        <v>1692</v>
      </c>
      <c r="C48" s="458"/>
      <c r="D48" s="1225">
        <v>205303000002</v>
      </c>
      <c r="E48" s="455"/>
      <c r="F48" s="462">
        <v>2727277</v>
      </c>
      <c r="G48" s="462"/>
      <c r="H48" s="462">
        <v>1534583</v>
      </c>
      <c r="I48" s="462"/>
      <c r="J48" s="462">
        <v>1192694</v>
      </c>
      <c r="K48" s="462"/>
      <c r="L48" s="463">
        <v>0</v>
      </c>
      <c r="M48" s="464"/>
      <c r="N48" s="1412">
        <v>2727277</v>
      </c>
      <c r="O48" s="1413"/>
      <c r="P48" s="1412">
        <v>1454560</v>
      </c>
      <c r="Q48" s="1413"/>
      <c r="R48" s="1412">
        <v>1272717</v>
      </c>
      <c r="S48" s="462"/>
      <c r="T48" s="463">
        <v>0</v>
      </c>
    </row>
    <row r="49" spans="1:20" s="83" customFormat="1" ht="15">
      <c r="A49" s="429" t="s">
        <v>338</v>
      </c>
      <c r="B49" s="458" t="s">
        <v>1693</v>
      </c>
      <c r="C49" s="458"/>
      <c r="D49" s="1225">
        <v>205303000003</v>
      </c>
      <c r="E49" s="455"/>
      <c r="F49" s="462">
        <v>2727277</v>
      </c>
      <c r="G49" s="462"/>
      <c r="H49" s="462">
        <v>1534583</v>
      </c>
      <c r="I49" s="462"/>
      <c r="J49" s="462">
        <v>1192694</v>
      </c>
      <c r="K49" s="462"/>
      <c r="L49" s="463">
        <v>0</v>
      </c>
      <c r="M49" s="464"/>
      <c r="N49" s="1412">
        <v>2727277</v>
      </c>
      <c r="O49" s="1413"/>
      <c r="P49" s="1412">
        <v>1454560</v>
      </c>
      <c r="Q49" s="1413"/>
      <c r="R49" s="1412">
        <v>1272717</v>
      </c>
      <c r="S49" s="462"/>
      <c r="T49" s="463">
        <v>0</v>
      </c>
    </row>
    <row r="50" spans="1:20" s="83" customFormat="1" ht="15">
      <c r="A50" s="83" t="s">
        <v>341</v>
      </c>
      <c r="B50" s="466" t="s">
        <v>1694</v>
      </c>
      <c r="C50" s="467"/>
      <c r="D50" s="1226">
        <v>205303000017</v>
      </c>
      <c r="E50" s="455"/>
      <c r="F50" s="462">
        <v>3155408</v>
      </c>
      <c r="G50" s="462"/>
      <c r="H50" s="462">
        <v>377021</v>
      </c>
      <c r="I50" s="462"/>
      <c r="J50" s="462">
        <v>2778387</v>
      </c>
      <c r="K50" s="458"/>
      <c r="L50" s="1451">
        <v>0</v>
      </c>
      <c r="M50" s="464"/>
      <c r="N50" s="1412">
        <v>2925379.63</v>
      </c>
      <c r="O50" s="1412"/>
      <c r="P50" s="1412">
        <v>290853.63</v>
      </c>
      <c r="Q50" s="1412"/>
      <c r="R50" s="1412">
        <v>2634526</v>
      </c>
      <c r="S50" s="458"/>
      <c r="T50" s="1451">
        <v>0</v>
      </c>
    </row>
    <row r="51" spans="1:20" s="83" customFormat="1" ht="15">
      <c r="A51" s="465" t="s">
        <v>146</v>
      </c>
      <c r="B51" s="466"/>
      <c r="C51" s="467"/>
      <c r="D51" s="1226"/>
      <c r="E51" s="455"/>
      <c r="F51" s="1198"/>
      <c r="G51" s="462"/>
      <c r="H51" s="1198"/>
      <c r="I51" s="462"/>
      <c r="J51" s="1198"/>
      <c r="K51" s="458"/>
      <c r="L51" s="1198"/>
      <c r="M51" s="464"/>
      <c r="N51" s="1198"/>
      <c r="O51" s="462"/>
      <c r="P51" s="1198"/>
      <c r="Q51" s="462"/>
      <c r="R51" s="1198"/>
      <c r="S51" s="458"/>
      <c r="T51" s="1198"/>
    </row>
    <row r="52" spans="1:20" s="83" customFormat="1" ht="16.2" thickBot="1">
      <c r="A52" s="455"/>
      <c r="B52" s="458"/>
      <c r="C52" s="458"/>
      <c r="D52" s="458"/>
      <c r="E52" s="455"/>
      <c r="F52" s="469">
        <f>SUM(F47:F51)</f>
        <v>11337239</v>
      </c>
      <c r="G52" s="446">
        <f t="shared" ref="G52:T52" si="1">SUM(G47:G51)</f>
        <v>0</v>
      </c>
      <c r="H52" s="469">
        <f t="shared" si="1"/>
        <v>4980770</v>
      </c>
      <c r="I52" s="446">
        <f t="shared" si="1"/>
        <v>0</v>
      </c>
      <c r="J52" s="469">
        <f>SUM(J47:J51)</f>
        <v>6356469</v>
      </c>
      <c r="K52" s="446"/>
      <c r="L52" s="469">
        <f t="shared" si="1"/>
        <v>0</v>
      </c>
      <c r="M52" s="446"/>
      <c r="N52" s="469">
        <f t="shared" si="1"/>
        <v>11107210.629999999</v>
      </c>
      <c r="O52" s="446">
        <f t="shared" si="1"/>
        <v>0</v>
      </c>
      <c r="P52" s="469">
        <f t="shared" si="1"/>
        <v>4654533.63</v>
      </c>
      <c r="Q52" s="446">
        <f t="shared" si="1"/>
        <v>0</v>
      </c>
      <c r="R52" s="469">
        <f t="shared" si="1"/>
        <v>6452677</v>
      </c>
      <c r="S52" s="446">
        <f t="shared" si="1"/>
        <v>0</v>
      </c>
      <c r="T52" s="469">
        <f t="shared" si="1"/>
        <v>0</v>
      </c>
    </row>
    <row r="53" spans="1:20" s="83" customFormat="1" ht="15">
      <c r="A53" s="455"/>
      <c r="B53" s="455"/>
      <c r="C53" s="455"/>
      <c r="D53" s="455"/>
      <c r="E53" s="455"/>
      <c r="F53" s="470"/>
      <c r="G53" s="470"/>
      <c r="H53" s="470"/>
      <c r="I53" s="470"/>
      <c r="J53" s="470"/>
      <c r="K53" s="470"/>
      <c r="L53" s="470"/>
      <c r="M53" s="471"/>
      <c r="N53" s="470"/>
      <c r="O53" s="470"/>
      <c r="P53" s="470"/>
      <c r="Q53" s="470"/>
      <c r="R53" s="470"/>
      <c r="S53" s="470"/>
      <c r="T53" s="470"/>
    </row>
    <row r="54" spans="1:20" s="83" customFormat="1" ht="15">
      <c r="A54" s="429">
        <v>6</v>
      </c>
      <c r="B54" s="458"/>
      <c r="C54" s="458"/>
      <c r="D54" s="458"/>
      <c r="E54" s="455"/>
      <c r="F54" s="470"/>
      <c r="G54" s="470"/>
      <c r="H54" s="470"/>
      <c r="I54" s="470"/>
      <c r="J54" s="470"/>
      <c r="K54" s="470"/>
      <c r="L54" s="470"/>
      <c r="M54" s="471"/>
      <c r="N54" s="470"/>
      <c r="O54" s="470"/>
      <c r="P54" s="470"/>
      <c r="Q54" s="470"/>
      <c r="R54" s="470"/>
      <c r="S54" s="470"/>
      <c r="T54" s="470"/>
    </row>
    <row r="55" spans="1:20" s="83" customFormat="1" ht="15">
      <c r="A55" s="429" t="s">
        <v>124</v>
      </c>
      <c r="B55" s="466"/>
      <c r="C55" s="458"/>
      <c r="D55" s="468"/>
      <c r="E55" s="455"/>
      <c r="F55" s="1170"/>
      <c r="G55" s="462"/>
      <c r="H55" s="1170"/>
      <c r="I55" s="462"/>
      <c r="J55" s="1170"/>
      <c r="K55" s="458"/>
      <c r="L55" s="1170"/>
      <c r="M55" s="464"/>
      <c r="N55" s="1170"/>
      <c r="O55" s="462"/>
      <c r="P55" s="1170"/>
      <c r="Q55" s="462"/>
      <c r="R55" s="1170"/>
      <c r="S55" s="458"/>
      <c r="T55" s="1170"/>
    </row>
    <row r="56" spans="1:20" s="83" customFormat="1" ht="15">
      <c r="A56" s="465" t="s">
        <v>146</v>
      </c>
      <c r="B56" s="466"/>
      <c r="C56" s="467"/>
      <c r="D56" s="468"/>
      <c r="E56" s="455"/>
      <c r="F56" s="1198"/>
      <c r="G56" s="462"/>
      <c r="H56" s="1198"/>
      <c r="I56" s="462"/>
      <c r="J56" s="1198"/>
      <c r="K56" s="458"/>
      <c r="L56" s="1198"/>
      <c r="M56" s="464"/>
      <c r="N56" s="1198"/>
      <c r="O56" s="462"/>
      <c r="P56" s="1198"/>
      <c r="Q56" s="462"/>
      <c r="R56" s="1198"/>
      <c r="S56" s="458"/>
      <c r="T56" s="1198"/>
    </row>
    <row r="57" spans="1:20" s="83" customFormat="1" ht="16.2" thickBot="1">
      <c r="A57" s="429"/>
      <c r="B57" s="458"/>
      <c r="C57" s="458"/>
      <c r="D57" s="458"/>
      <c r="E57" s="455"/>
      <c r="F57" s="469">
        <f>SUM(F55:F56)</f>
        <v>0</v>
      </c>
      <c r="G57" s="445"/>
      <c r="H57" s="469">
        <f>SUM(H55:H56)</f>
        <v>0</v>
      </c>
      <c r="I57" s="446"/>
      <c r="J57" s="469">
        <f>SUM(J55:J56)</f>
        <v>0</v>
      </c>
      <c r="K57" s="470"/>
      <c r="L57" s="469">
        <f>SUM(L55:L56)</f>
        <v>0</v>
      </c>
      <c r="M57" s="471"/>
      <c r="N57" s="469">
        <f>SUM(N55:N56)</f>
        <v>0</v>
      </c>
      <c r="O57" s="446"/>
      <c r="P57" s="469">
        <f>SUM(P55:P56)</f>
        <v>0</v>
      </c>
      <c r="Q57" s="445"/>
      <c r="R57" s="469">
        <f>SUM(R55:R56)</f>
        <v>0</v>
      </c>
      <c r="S57" s="446"/>
      <c r="T57" s="469">
        <f>SUM(T55:T56)</f>
        <v>0</v>
      </c>
    </row>
    <row r="58" spans="1:20" s="83" customFormat="1" ht="15.6">
      <c r="A58" s="455"/>
      <c r="B58" s="455"/>
      <c r="C58" s="455"/>
      <c r="D58" s="455"/>
      <c r="E58" s="455"/>
      <c r="F58" s="470"/>
      <c r="G58" s="470"/>
      <c r="H58" s="470"/>
      <c r="I58" s="470"/>
      <c r="J58" s="470"/>
      <c r="K58" s="455"/>
      <c r="L58" s="470"/>
      <c r="M58" s="471"/>
      <c r="N58" s="470"/>
      <c r="O58" s="470"/>
      <c r="P58" s="470"/>
      <c r="Q58" s="474"/>
      <c r="R58" s="470"/>
      <c r="S58" s="470"/>
      <c r="T58" s="470"/>
    </row>
    <row r="59" spans="1:20" s="83" customFormat="1" ht="15">
      <c r="A59" s="455"/>
      <c r="B59" s="455"/>
      <c r="C59" s="455"/>
      <c r="D59" s="455"/>
      <c r="E59" s="455"/>
      <c r="F59" s="470"/>
      <c r="G59" s="470"/>
      <c r="H59" s="470"/>
      <c r="I59" s="470"/>
      <c r="J59" s="470"/>
      <c r="K59" s="470"/>
      <c r="L59" s="470"/>
      <c r="M59" s="471"/>
      <c r="N59" s="470"/>
      <c r="O59" s="470"/>
      <c r="P59" s="470"/>
      <c r="Q59" s="470"/>
      <c r="R59" s="470"/>
      <c r="S59" s="470"/>
      <c r="T59" s="470"/>
    </row>
    <row r="60" spans="1:20" s="83" customFormat="1" ht="16.2" thickBot="1">
      <c r="A60" s="429">
        <v>7</v>
      </c>
      <c r="B60" s="456" t="s">
        <v>158</v>
      </c>
      <c r="C60" s="475"/>
      <c r="D60" s="475"/>
      <c r="E60" s="475"/>
      <c r="F60" s="469">
        <f>+F22+F34+F39+F44+F52+F57</f>
        <v>85124095</v>
      </c>
      <c r="G60" s="445"/>
      <c r="H60" s="469">
        <f>+H22+H34+H39+H44+H52</f>
        <v>29327810</v>
      </c>
      <c r="I60" s="446"/>
      <c r="J60" s="469">
        <f>+J22+J34+J39+J44+J52</f>
        <v>55796285</v>
      </c>
      <c r="K60" s="445"/>
      <c r="L60" s="469">
        <f>+L22+L34+L39+L44+L52</f>
        <v>1212269</v>
      </c>
      <c r="M60" s="471"/>
      <c r="N60" s="469">
        <f>+N22+N34+N39+N44+N52</f>
        <v>86678352.799999997</v>
      </c>
      <c r="O60" s="446"/>
      <c r="P60" s="469">
        <f>+P22+P34+P39+P44+P52</f>
        <v>29497910.799999997</v>
      </c>
      <c r="Q60" s="445"/>
      <c r="R60" s="469">
        <f>+R22+R34+R39+R44+R52</f>
        <v>57180442</v>
      </c>
      <c r="S60" s="446"/>
      <c r="T60" s="469">
        <f>+T22+T34+T39+T44+T52</f>
        <v>1421673.3399999999</v>
      </c>
    </row>
    <row r="61" spans="1:20" s="83" customFormat="1" ht="15">
      <c r="A61" s="429"/>
      <c r="B61" s="455"/>
      <c r="C61" s="455"/>
      <c r="D61" s="455"/>
      <c r="E61" s="455"/>
      <c r="F61" s="470"/>
      <c r="G61" s="470"/>
      <c r="H61" s="470"/>
      <c r="I61" s="470"/>
      <c r="J61" s="470"/>
      <c r="K61" s="470"/>
      <c r="L61" s="470"/>
      <c r="M61" s="471"/>
      <c r="N61" s="470"/>
      <c r="O61" s="470"/>
      <c r="P61" s="470"/>
      <c r="Q61" s="470"/>
      <c r="R61" s="470"/>
      <c r="S61" s="470"/>
      <c r="T61" s="470"/>
    </row>
    <row r="62" spans="1:20" s="83" customFormat="1" ht="15.6">
      <c r="A62" s="429">
        <v>8</v>
      </c>
      <c r="B62" s="479" t="s">
        <v>1695</v>
      </c>
      <c r="C62" s="455"/>
      <c r="D62" s="455"/>
      <c r="E62" s="455"/>
      <c r="F62" s="480">
        <f>+F60-F52</f>
        <v>73786856</v>
      </c>
      <c r="G62" s="480"/>
      <c r="H62" s="480">
        <f>-(H60-H52)</f>
        <v>-24347040</v>
      </c>
      <c r="I62" s="480"/>
      <c r="J62" s="480"/>
      <c r="K62" s="480"/>
      <c r="L62" s="480">
        <f>L60</f>
        <v>1212269</v>
      </c>
      <c r="M62" s="471"/>
      <c r="N62" s="480">
        <f>+N60-N52</f>
        <v>75571142.170000002</v>
      </c>
      <c r="O62" s="480"/>
      <c r="P62" s="480">
        <f>-(P60-P52)</f>
        <v>-24843377.169999998</v>
      </c>
      <c r="Q62" s="480"/>
      <c r="R62" s="480"/>
      <c r="S62" s="480"/>
      <c r="T62" s="480">
        <f>T60</f>
        <v>1421673.3399999999</v>
      </c>
    </row>
    <row r="63" spans="1:20" s="83" customFormat="1" ht="15.6">
      <c r="A63" s="429"/>
      <c r="B63" s="475"/>
      <c r="C63" s="455"/>
      <c r="D63" s="455"/>
      <c r="E63" s="455"/>
      <c r="F63" s="473"/>
      <c r="G63" s="455"/>
      <c r="H63" s="473"/>
      <c r="I63" s="455"/>
      <c r="J63" s="455"/>
      <c r="K63" s="455"/>
      <c r="L63" s="473"/>
    </row>
    <row r="64" spans="1:20">
      <c r="A64" s="481"/>
      <c r="B64" s="481"/>
      <c r="C64" s="482"/>
      <c r="D64" s="482"/>
      <c r="E64" s="482"/>
      <c r="F64" s="483"/>
      <c r="G64" s="482"/>
      <c r="H64" s="483"/>
      <c r="I64" s="482"/>
      <c r="J64" s="482"/>
      <c r="K64" s="482"/>
      <c r="L64" s="483"/>
    </row>
    <row r="65" spans="1:12">
      <c r="A65" s="481"/>
      <c r="B65" s="481"/>
      <c r="C65" s="482"/>
      <c r="D65" s="482"/>
      <c r="E65" s="482"/>
      <c r="F65" s="483"/>
      <c r="G65" s="482"/>
      <c r="H65" s="483"/>
      <c r="I65" s="482"/>
      <c r="J65" s="482"/>
      <c r="K65" s="482"/>
      <c r="L65" s="483"/>
    </row>
    <row r="66" spans="1:12">
      <c r="A66" s="481"/>
      <c r="B66" s="481"/>
      <c r="C66" s="482"/>
      <c r="D66" s="482"/>
      <c r="E66" s="482"/>
      <c r="F66" s="483"/>
      <c r="G66" s="482"/>
      <c r="H66" s="483"/>
      <c r="I66" s="482"/>
      <c r="J66" s="482"/>
      <c r="K66" s="482"/>
      <c r="L66" s="483"/>
    </row>
  </sheetData>
  <customSheetViews>
    <customSheetView guid="{343BF296-013A-41F5-BDAB-AD6220EA7F78}" scale="70" showPageBreaks="1" fitToPage="1" printArea="1" view="pageBreakPreview" topLeftCell="A43">
      <selection activeCell="D33" sqref="D33"/>
      <pageMargins left="0" right="0" top="0" bottom="0" header="0" footer="0"/>
      <printOptions horizontalCentered="1"/>
      <pageSetup scale="52" orientation="landscape" r:id="rId1"/>
    </customSheetView>
    <customSheetView guid="{B321D76C-CDE5-48BB-9CDE-80FF97D58FCF}" scale="70" showPageBreaks="1" fitToPage="1" printArea="1" view="pageBreakPreview" topLeftCell="A43">
      <selection activeCell="D33" sqref="D33"/>
      <pageMargins left="0" right="0" top="0" bottom="0" header="0" footer="0"/>
      <printOptions horizontalCentered="1"/>
      <pageSetup scale="52" orientation="landscape" r:id="rId2"/>
    </customSheetView>
  </customSheetViews>
  <mergeCells count="2">
    <mergeCell ref="N10:T10"/>
    <mergeCell ref="F10:L10"/>
  </mergeCells>
  <printOptions horizontalCentered="1"/>
  <pageMargins left="0.45" right="0.45" top="0.25" bottom="0.25" header="0.3" footer="0.3"/>
  <pageSetup scale="57" orientation="landscape" r:id="rId3"/>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0070C0"/>
    <pageSetUpPr fitToPage="1"/>
  </sheetPr>
  <dimension ref="A1:R53"/>
  <sheetViews>
    <sheetView view="pageBreakPreview" zoomScale="90" zoomScaleNormal="100" zoomScaleSheetLayoutView="90" workbookViewId="0">
      <selection activeCell="R45" sqref="R45"/>
    </sheetView>
  </sheetViews>
  <sheetFormatPr defaultRowHeight="13.2"/>
  <cols>
    <col min="1" max="1" width="3.109375" style="74" customWidth="1"/>
    <col min="2" max="2" width="46" style="74" customWidth="1"/>
    <col min="3" max="3" width="2.33203125" style="74" customWidth="1"/>
    <col min="4" max="4" width="1.77734375" style="74" customWidth="1"/>
    <col min="5" max="5" width="16.6640625" style="74" customWidth="1"/>
    <col min="6" max="6" width="18.33203125" style="74" bestFit="1" customWidth="1"/>
    <col min="7" max="7" width="17.77734375" style="74" bestFit="1" customWidth="1"/>
    <col min="8" max="8" width="15.77734375" style="74" customWidth="1"/>
    <col min="9" max="9" width="17" style="74" customWidth="1"/>
    <col min="10" max="10" width="18.33203125" style="74" bestFit="1" customWidth="1"/>
    <col min="11" max="11" width="19.5546875" style="74" customWidth="1"/>
    <col min="12" max="12" width="15.21875" style="74" customWidth="1"/>
    <col min="13" max="13" width="3.33203125" style="74" customWidth="1"/>
    <col min="14" max="249" width="9" style="74"/>
    <col min="250" max="250" width="11.33203125" style="74" bestFit="1" customWidth="1"/>
    <col min="251" max="251" width="1.77734375" style="74" customWidth="1"/>
    <col min="252" max="252" width="42.33203125" style="74" bestFit="1" customWidth="1"/>
    <col min="253" max="253" width="2.77734375" style="74" customWidth="1"/>
    <col min="254" max="254" width="11" style="74" bestFit="1" customWidth="1"/>
    <col min="255" max="255" width="2.77734375" style="74" customWidth="1"/>
    <col min="256" max="256" width="12.109375" style="74" bestFit="1" customWidth="1"/>
    <col min="257" max="257" width="2.33203125" style="74" customWidth="1"/>
    <col min="258" max="258" width="11.21875" style="74" bestFit="1" customWidth="1"/>
    <col min="259" max="259" width="2.77734375" style="74" customWidth="1"/>
    <col min="260" max="260" width="11.33203125" style="74" bestFit="1" customWidth="1"/>
    <col min="261" max="261" width="2.33203125" style="74" customWidth="1"/>
    <col min="262" max="262" width="11" style="74" bestFit="1" customWidth="1"/>
    <col min="263" max="263" width="3.33203125" style="74" customWidth="1"/>
    <col min="264" max="264" width="10.77734375" style="74" bestFit="1" customWidth="1"/>
    <col min="265" max="265" width="3.109375" style="74" customWidth="1"/>
    <col min="266" max="266" width="11.21875" style="74" bestFit="1" customWidth="1"/>
    <col min="267" max="267" width="2.33203125" style="74" customWidth="1"/>
    <col min="268" max="268" width="11.33203125" style="74" bestFit="1" customWidth="1"/>
    <col min="269" max="269" width="9.77734375" style="74" bestFit="1" customWidth="1"/>
    <col min="270" max="505" width="9" style="74"/>
    <col min="506" max="506" width="11.33203125" style="74" bestFit="1" customWidth="1"/>
    <col min="507" max="507" width="1.77734375" style="74" customWidth="1"/>
    <col min="508" max="508" width="42.33203125" style="74" bestFit="1" customWidth="1"/>
    <col min="509" max="509" width="2.77734375" style="74" customWidth="1"/>
    <col min="510" max="510" width="11" style="74" bestFit="1" customWidth="1"/>
    <col min="511" max="511" width="2.77734375" style="74" customWidth="1"/>
    <col min="512" max="512" width="12.109375" style="74" bestFit="1" customWidth="1"/>
    <col min="513" max="513" width="2.33203125" style="74" customWidth="1"/>
    <col min="514" max="514" width="11.21875" style="74" bestFit="1" customWidth="1"/>
    <col min="515" max="515" width="2.77734375" style="74" customWidth="1"/>
    <col min="516" max="516" width="11.33203125" style="74" bestFit="1" customWidth="1"/>
    <col min="517" max="517" width="2.33203125" style="74" customWidth="1"/>
    <col min="518" max="518" width="11" style="74" bestFit="1" customWidth="1"/>
    <col min="519" max="519" width="3.33203125" style="74" customWidth="1"/>
    <col min="520" max="520" width="10.77734375" style="74" bestFit="1" customWidth="1"/>
    <col min="521" max="521" width="3.109375" style="74" customWidth="1"/>
    <col min="522" max="522" width="11.21875" style="74" bestFit="1" customWidth="1"/>
    <col min="523" max="523" width="2.33203125" style="74" customWidth="1"/>
    <col min="524" max="524" width="11.33203125" style="74" bestFit="1" customWidth="1"/>
    <col min="525" max="525" width="9.77734375" style="74" bestFit="1" customWidth="1"/>
    <col min="526" max="761" width="9" style="74"/>
    <col min="762" max="762" width="11.33203125" style="74" bestFit="1" customWidth="1"/>
    <col min="763" max="763" width="1.77734375" style="74" customWidth="1"/>
    <col min="764" max="764" width="42.33203125" style="74" bestFit="1" customWidth="1"/>
    <col min="765" max="765" width="2.77734375" style="74" customWidth="1"/>
    <col min="766" max="766" width="11" style="74" bestFit="1" customWidth="1"/>
    <col min="767" max="767" width="2.77734375" style="74" customWidth="1"/>
    <col min="768" max="768" width="12.109375" style="74" bestFit="1" customWidth="1"/>
    <col min="769" max="769" width="2.33203125" style="74" customWidth="1"/>
    <col min="770" max="770" width="11.21875" style="74" bestFit="1" customWidth="1"/>
    <col min="771" max="771" width="2.77734375" style="74" customWidth="1"/>
    <col min="772" max="772" width="11.33203125" style="74" bestFit="1" customWidth="1"/>
    <col min="773" max="773" width="2.33203125" style="74" customWidth="1"/>
    <col min="774" max="774" width="11" style="74" bestFit="1" customWidth="1"/>
    <col min="775" max="775" width="3.33203125" style="74" customWidth="1"/>
    <col min="776" max="776" width="10.77734375" style="74" bestFit="1" customWidth="1"/>
    <col min="777" max="777" width="3.109375" style="74" customWidth="1"/>
    <col min="778" max="778" width="11.21875" style="74" bestFit="1" customWidth="1"/>
    <col min="779" max="779" width="2.33203125" style="74" customWidth="1"/>
    <col min="780" max="780" width="11.33203125" style="74" bestFit="1" customWidth="1"/>
    <col min="781" max="781" width="9.77734375" style="74" bestFit="1" customWidth="1"/>
    <col min="782" max="1017" width="9" style="74"/>
    <col min="1018" max="1018" width="11.33203125" style="74" bestFit="1" customWidth="1"/>
    <col min="1019" max="1019" width="1.77734375" style="74" customWidth="1"/>
    <col min="1020" max="1020" width="42.33203125" style="74" bestFit="1" customWidth="1"/>
    <col min="1021" max="1021" width="2.77734375" style="74" customWidth="1"/>
    <col min="1022" max="1022" width="11" style="74" bestFit="1" customWidth="1"/>
    <col min="1023" max="1023" width="2.77734375" style="74" customWidth="1"/>
    <col min="1024" max="1024" width="12.109375" style="74" bestFit="1" customWidth="1"/>
    <col min="1025" max="1025" width="2.33203125" style="74" customWidth="1"/>
    <col min="1026" max="1026" width="11.21875" style="74" bestFit="1" customWidth="1"/>
    <col min="1027" max="1027" width="2.77734375" style="74" customWidth="1"/>
    <col min="1028" max="1028" width="11.33203125" style="74" bestFit="1" customWidth="1"/>
    <col min="1029" max="1029" width="2.33203125" style="74" customWidth="1"/>
    <col min="1030" max="1030" width="11" style="74" bestFit="1" customWidth="1"/>
    <col min="1031" max="1031" width="3.33203125" style="74" customWidth="1"/>
    <col min="1032" max="1032" width="10.77734375" style="74" bestFit="1" customWidth="1"/>
    <col min="1033" max="1033" width="3.109375" style="74" customWidth="1"/>
    <col min="1034" max="1034" width="11.21875" style="74" bestFit="1" customWidth="1"/>
    <col min="1035" max="1035" width="2.33203125" style="74" customWidth="1"/>
    <col min="1036" max="1036" width="11.33203125" style="74" bestFit="1" customWidth="1"/>
    <col min="1037" max="1037" width="9.77734375" style="74" bestFit="1" customWidth="1"/>
    <col min="1038" max="1273" width="9" style="74"/>
    <col min="1274" max="1274" width="11.33203125" style="74" bestFit="1" customWidth="1"/>
    <col min="1275" max="1275" width="1.77734375" style="74" customWidth="1"/>
    <col min="1276" max="1276" width="42.33203125" style="74" bestFit="1" customWidth="1"/>
    <col min="1277" max="1277" width="2.77734375" style="74" customWidth="1"/>
    <col min="1278" max="1278" width="11" style="74" bestFit="1" customWidth="1"/>
    <col min="1279" max="1279" width="2.77734375" style="74" customWidth="1"/>
    <col min="1280" max="1280" width="12.109375" style="74" bestFit="1" customWidth="1"/>
    <col min="1281" max="1281" width="2.33203125" style="74" customWidth="1"/>
    <col min="1282" max="1282" width="11.21875" style="74" bestFit="1" customWidth="1"/>
    <col min="1283" max="1283" width="2.77734375" style="74" customWidth="1"/>
    <col min="1284" max="1284" width="11.33203125" style="74" bestFit="1" customWidth="1"/>
    <col min="1285" max="1285" width="2.33203125" style="74" customWidth="1"/>
    <col min="1286" max="1286" width="11" style="74" bestFit="1" customWidth="1"/>
    <col min="1287" max="1287" width="3.33203125" style="74" customWidth="1"/>
    <col min="1288" max="1288" width="10.77734375" style="74" bestFit="1" customWidth="1"/>
    <col min="1289" max="1289" width="3.109375" style="74" customWidth="1"/>
    <col min="1290" max="1290" width="11.21875" style="74" bestFit="1" customWidth="1"/>
    <col min="1291" max="1291" width="2.33203125" style="74" customWidth="1"/>
    <col min="1292" max="1292" width="11.33203125" style="74" bestFit="1" customWidth="1"/>
    <col min="1293" max="1293" width="9.77734375" style="74" bestFit="1" customWidth="1"/>
    <col min="1294" max="1529" width="9" style="74"/>
    <col min="1530" max="1530" width="11.33203125" style="74" bestFit="1" customWidth="1"/>
    <col min="1531" max="1531" width="1.77734375" style="74" customWidth="1"/>
    <col min="1532" max="1532" width="42.33203125" style="74" bestFit="1" customWidth="1"/>
    <col min="1533" max="1533" width="2.77734375" style="74" customWidth="1"/>
    <col min="1534" max="1534" width="11" style="74" bestFit="1" customWidth="1"/>
    <col min="1535" max="1535" width="2.77734375" style="74" customWidth="1"/>
    <col min="1536" max="1536" width="12.109375" style="74" bestFit="1" customWidth="1"/>
    <col min="1537" max="1537" width="2.33203125" style="74" customWidth="1"/>
    <col min="1538" max="1538" width="11.21875" style="74" bestFit="1" customWidth="1"/>
    <col min="1539" max="1539" width="2.77734375" style="74" customWidth="1"/>
    <col min="1540" max="1540" width="11.33203125" style="74" bestFit="1" customWidth="1"/>
    <col min="1541" max="1541" width="2.33203125" style="74" customWidth="1"/>
    <col min="1542" max="1542" width="11" style="74" bestFit="1" customWidth="1"/>
    <col min="1543" max="1543" width="3.33203125" style="74" customWidth="1"/>
    <col min="1544" max="1544" width="10.77734375" style="74" bestFit="1" customWidth="1"/>
    <col min="1545" max="1545" width="3.109375" style="74" customWidth="1"/>
    <col min="1546" max="1546" width="11.21875" style="74" bestFit="1" customWidth="1"/>
    <col min="1547" max="1547" width="2.33203125" style="74" customWidth="1"/>
    <col min="1548" max="1548" width="11.33203125" style="74" bestFit="1" customWidth="1"/>
    <col min="1549" max="1549" width="9.77734375" style="74" bestFit="1" customWidth="1"/>
    <col min="1550" max="1785" width="9" style="74"/>
    <col min="1786" max="1786" width="11.33203125" style="74" bestFit="1" customWidth="1"/>
    <col min="1787" max="1787" width="1.77734375" style="74" customWidth="1"/>
    <col min="1788" max="1788" width="42.33203125" style="74" bestFit="1" customWidth="1"/>
    <col min="1789" max="1789" width="2.77734375" style="74" customWidth="1"/>
    <col min="1790" max="1790" width="11" style="74" bestFit="1" customWidth="1"/>
    <col min="1791" max="1791" width="2.77734375" style="74" customWidth="1"/>
    <col min="1792" max="1792" width="12.109375" style="74" bestFit="1" customWidth="1"/>
    <col min="1793" max="1793" width="2.33203125" style="74" customWidth="1"/>
    <col min="1794" max="1794" width="11.21875" style="74" bestFit="1" customWidth="1"/>
    <col min="1795" max="1795" width="2.77734375" style="74" customWidth="1"/>
    <col min="1796" max="1796" width="11.33203125" style="74" bestFit="1" customWidth="1"/>
    <col min="1797" max="1797" width="2.33203125" style="74" customWidth="1"/>
    <col min="1798" max="1798" width="11" style="74" bestFit="1" customWidth="1"/>
    <col min="1799" max="1799" width="3.33203125" style="74" customWidth="1"/>
    <col min="1800" max="1800" width="10.77734375" style="74" bestFit="1" customWidth="1"/>
    <col min="1801" max="1801" width="3.109375" style="74" customWidth="1"/>
    <col min="1802" max="1802" width="11.21875" style="74" bestFit="1" customWidth="1"/>
    <col min="1803" max="1803" width="2.33203125" style="74" customWidth="1"/>
    <col min="1804" max="1804" width="11.33203125" style="74" bestFit="1" customWidth="1"/>
    <col min="1805" max="1805" width="9.77734375" style="74" bestFit="1" customWidth="1"/>
    <col min="1806" max="2041" width="9" style="74"/>
    <col min="2042" max="2042" width="11.33203125" style="74" bestFit="1" customWidth="1"/>
    <col min="2043" max="2043" width="1.77734375" style="74" customWidth="1"/>
    <col min="2044" max="2044" width="42.33203125" style="74" bestFit="1" customWidth="1"/>
    <col min="2045" max="2045" width="2.77734375" style="74" customWidth="1"/>
    <col min="2046" max="2046" width="11" style="74" bestFit="1" customWidth="1"/>
    <col min="2047" max="2047" width="2.77734375" style="74" customWidth="1"/>
    <col min="2048" max="2048" width="12.109375" style="74" bestFit="1" customWidth="1"/>
    <col min="2049" max="2049" width="2.33203125" style="74" customWidth="1"/>
    <col min="2050" max="2050" width="11.21875" style="74" bestFit="1" customWidth="1"/>
    <col min="2051" max="2051" width="2.77734375" style="74" customWidth="1"/>
    <col min="2052" max="2052" width="11.33203125" style="74" bestFit="1" customWidth="1"/>
    <col min="2053" max="2053" width="2.33203125" style="74" customWidth="1"/>
    <col min="2054" max="2054" width="11" style="74" bestFit="1" customWidth="1"/>
    <col min="2055" max="2055" width="3.33203125" style="74" customWidth="1"/>
    <col min="2056" max="2056" width="10.77734375" style="74" bestFit="1" customWidth="1"/>
    <col min="2057" max="2057" width="3.109375" style="74" customWidth="1"/>
    <col min="2058" max="2058" width="11.21875" style="74" bestFit="1" customWidth="1"/>
    <col min="2059" max="2059" width="2.33203125" style="74" customWidth="1"/>
    <col min="2060" max="2060" width="11.33203125" style="74" bestFit="1" customWidth="1"/>
    <col min="2061" max="2061" width="9.77734375" style="74" bestFit="1" customWidth="1"/>
    <col min="2062" max="2297" width="9" style="74"/>
    <col min="2298" max="2298" width="11.33203125" style="74" bestFit="1" customWidth="1"/>
    <col min="2299" max="2299" width="1.77734375" style="74" customWidth="1"/>
    <col min="2300" max="2300" width="42.33203125" style="74" bestFit="1" customWidth="1"/>
    <col min="2301" max="2301" width="2.77734375" style="74" customWidth="1"/>
    <col min="2302" max="2302" width="11" style="74" bestFit="1" customWidth="1"/>
    <col min="2303" max="2303" width="2.77734375" style="74" customWidth="1"/>
    <col min="2304" max="2304" width="12.109375" style="74" bestFit="1" customWidth="1"/>
    <col min="2305" max="2305" width="2.33203125" style="74" customWidth="1"/>
    <col min="2306" max="2306" width="11.21875" style="74" bestFit="1" customWidth="1"/>
    <col min="2307" max="2307" width="2.77734375" style="74" customWidth="1"/>
    <col min="2308" max="2308" width="11.33203125" style="74" bestFit="1" customWidth="1"/>
    <col min="2309" max="2309" width="2.33203125" style="74" customWidth="1"/>
    <col min="2310" max="2310" width="11" style="74" bestFit="1" customWidth="1"/>
    <col min="2311" max="2311" width="3.33203125" style="74" customWidth="1"/>
    <col min="2312" max="2312" width="10.77734375" style="74" bestFit="1" customWidth="1"/>
    <col min="2313" max="2313" width="3.109375" style="74" customWidth="1"/>
    <col min="2314" max="2314" width="11.21875" style="74" bestFit="1" customWidth="1"/>
    <col min="2315" max="2315" width="2.33203125" style="74" customWidth="1"/>
    <col min="2316" max="2316" width="11.33203125" style="74" bestFit="1" customWidth="1"/>
    <col min="2317" max="2317" width="9.77734375" style="74" bestFit="1" customWidth="1"/>
    <col min="2318" max="2553" width="9" style="74"/>
    <col min="2554" max="2554" width="11.33203125" style="74" bestFit="1" customWidth="1"/>
    <col min="2555" max="2555" width="1.77734375" style="74" customWidth="1"/>
    <col min="2556" max="2556" width="42.33203125" style="74" bestFit="1" customWidth="1"/>
    <col min="2557" max="2557" width="2.77734375" style="74" customWidth="1"/>
    <col min="2558" max="2558" width="11" style="74" bestFit="1" customWidth="1"/>
    <col min="2559" max="2559" width="2.77734375" style="74" customWidth="1"/>
    <col min="2560" max="2560" width="12.109375" style="74" bestFit="1" customWidth="1"/>
    <col min="2561" max="2561" width="2.33203125" style="74" customWidth="1"/>
    <col min="2562" max="2562" width="11.21875" style="74" bestFit="1" customWidth="1"/>
    <col min="2563" max="2563" width="2.77734375" style="74" customWidth="1"/>
    <col min="2564" max="2564" width="11.33203125" style="74" bestFit="1" customWidth="1"/>
    <col min="2565" max="2565" width="2.33203125" style="74" customWidth="1"/>
    <col min="2566" max="2566" width="11" style="74" bestFit="1" customWidth="1"/>
    <col min="2567" max="2567" width="3.33203125" style="74" customWidth="1"/>
    <col min="2568" max="2568" width="10.77734375" style="74" bestFit="1" customWidth="1"/>
    <col min="2569" max="2569" width="3.109375" style="74" customWidth="1"/>
    <col min="2570" max="2570" width="11.21875" style="74" bestFit="1" customWidth="1"/>
    <col min="2571" max="2571" width="2.33203125" style="74" customWidth="1"/>
    <col min="2572" max="2572" width="11.33203125" style="74" bestFit="1" customWidth="1"/>
    <col min="2573" max="2573" width="9.77734375" style="74" bestFit="1" customWidth="1"/>
    <col min="2574" max="2809" width="9" style="74"/>
    <col min="2810" max="2810" width="11.33203125" style="74" bestFit="1" customWidth="1"/>
    <col min="2811" max="2811" width="1.77734375" style="74" customWidth="1"/>
    <col min="2812" max="2812" width="42.33203125" style="74" bestFit="1" customWidth="1"/>
    <col min="2813" max="2813" width="2.77734375" style="74" customWidth="1"/>
    <col min="2814" max="2814" width="11" style="74" bestFit="1" customWidth="1"/>
    <col min="2815" max="2815" width="2.77734375" style="74" customWidth="1"/>
    <col min="2816" max="2816" width="12.109375" style="74" bestFit="1" customWidth="1"/>
    <col min="2817" max="2817" width="2.33203125" style="74" customWidth="1"/>
    <col min="2818" max="2818" width="11.21875" style="74" bestFit="1" customWidth="1"/>
    <col min="2819" max="2819" width="2.77734375" style="74" customWidth="1"/>
    <col min="2820" max="2820" width="11.33203125" style="74" bestFit="1" customWidth="1"/>
    <col min="2821" max="2821" width="2.33203125" style="74" customWidth="1"/>
    <col min="2822" max="2822" width="11" style="74" bestFit="1" customWidth="1"/>
    <col min="2823" max="2823" width="3.33203125" style="74" customWidth="1"/>
    <col min="2824" max="2824" width="10.77734375" style="74" bestFit="1" customWidth="1"/>
    <col min="2825" max="2825" width="3.109375" style="74" customWidth="1"/>
    <col min="2826" max="2826" width="11.21875" style="74" bestFit="1" customWidth="1"/>
    <col min="2827" max="2827" width="2.33203125" style="74" customWidth="1"/>
    <col min="2828" max="2828" width="11.33203125" style="74" bestFit="1" customWidth="1"/>
    <col min="2829" max="2829" width="9.77734375" style="74" bestFit="1" customWidth="1"/>
    <col min="2830" max="3065" width="9" style="74"/>
    <col min="3066" max="3066" width="11.33203125" style="74" bestFit="1" customWidth="1"/>
    <col min="3067" max="3067" width="1.77734375" style="74" customWidth="1"/>
    <col min="3068" max="3068" width="42.33203125" style="74" bestFit="1" customWidth="1"/>
    <col min="3069" max="3069" width="2.77734375" style="74" customWidth="1"/>
    <col min="3070" max="3070" width="11" style="74" bestFit="1" customWidth="1"/>
    <col min="3071" max="3071" width="2.77734375" style="74" customWidth="1"/>
    <col min="3072" max="3072" width="12.109375" style="74" bestFit="1" customWidth="1"/>
    <col min="3073" max="3073" width="2.33203125" style="74" customWidth="1"/>
    <col min="3074" max="3074" width="11.21875" style="74" bestFit="1" customWidth="1"/>
    <col min="3075" max="3075" width="2.77734375" style="74" customWidth="1"/>
    <col min="3076" max="3076" width="11.33203125" style="74" bestFit="1" customWidth="1"/>
    <col min="3077" max="3077" width="2.33203125" style="74" customWidth="1"/>
    <col min="3078" max="3078" width="11" style="74" bestFit="1" customWidth="1"/>
    <col min="3079" max="3079" width="3.33203125" style="74" customWidth="1"/>
    <col min="3080" max="3080" width="10.77734375" style="74" bestFit="1" customWidth="1"/>
    <col min="3081" max="3081" width="3.109375" style="74" customWidth="1"/>
    <col min="3082" max="3082" width="11.21875" style="74" bestFit="1" customWidth="1"/>
    <col min="3083" max="3083" width="2.33203125" style="74" customWidth="1"/>
    <col min="3084" max="3084" width="11.33203125" style="74" bestFit="1" customWidth="1"/>
    <col min="3085" max="3085" width="9.77734375" style="74" bestFit="1" customWidth="1"/>
    <col min="3086" max="3321" width="9" style="74"/>
    <col min="3322" max="3322" width="11.33203125" style="74" bestFit="1" customWidth="1"/>
    <col min="3323" max="3323" width="1.77734375" style="74" customWidth="1"/>
    <col min="3324" max="3324" width="42.33203125" style="74" bestFit="1" customWidth="1"/>
    <col min="3325" max="3325" width="2.77734375" style="74" customWidth="1"/>
    <col min="3326" max="3326" width="11" style="74" bestFit="1" customWidth="1"/>
    <col min="3327" max="3327" width="2.77734375" style="74" customWidth="1"/>
    <col min="3328" max="3328" width="12.109375" style="74" bestFit="1" customWidth="1"/>
    <col min="3329" max="3329" width="2.33203125" style="74" customWidth="1"/>
    <col min="3330" max="3330" width="11.21875" style="74" bestFit="1" customWidth="1"/>
    <col min="3331" max="3331" width="2.77734375" style="74" customWidth="1"/>
    <col min="3332" max="3332" width="11.33203125" style="74" bestFit="1" customWidth="1"/>
    <col min="3333" max="3333" width="2.33203125" style="74" customWidth="1"/>
    <col min="3334" max="3334" width="11" style="74" bestFit="1" customWidth="1"/>
    <col min="3335" max="3335" width="3.33203125" style="74" customWidth="1"/>
    <col min="3336" max="3336" width="10.77734375" style="74" bestFit="1" customWidth="1"/>
    <col min="3337" max="3337" width="3.109375" style="74" customWidth="1"/>
    <col min="3338" max="3338" width="11.21875" style="74" bestFit="1" customWidth="1"/>
    <col min="3339" max="3339" width="2.33203125" style="74" customWidth="1"/>
    <col min="3340" max="3340" width="11.33203125" style="74" bestFit="1" customWidth="1"/>
    <col min="3341" max="3341" width="9.77734375" style="74" bestFit="1" customWidth="1"/>
    <col min="3342" max="3577" width="9" style="74"/>
    <col min="3578" max="3578" width="11.33203125" style="74" bestFit="1" customWidth="1"/>
    <col min="3579" max="3579" width="1.77734375" style="74" customWidth="1"/>
    <col min="3580" max="3580" width="42.33203125" style="74" bestFit="1" customWidth="1"/>
    <col min="3581" max="3581" width="2.77734375" style="74" customWidth="1"/>
    <col min="3582" max="3582" width="11" style="74" bestFit="1" customWidth="1"/>
    <col min="3583" max="3583" width="2.77734375" style="74" customWidth="1"/>
    <col min="3584" max="3584" width="12.109375" style="74" bestFit="1" customWidth="1"/>
    <col min="3585" max="3585" width="2.33203125" style="74" customWidth="1"/>
    <col min="3586" max="3586" width="11.21875" style="74" bestFit="1" customWidth="1"/>
    <col min="3587" max="3587" width="2.77734375" style="74" customWidth="1"/>
    <col min="3588" max="3588" width="11.33203125" style="74" bestFit="1" customWidth="1"/>
    <col min="3589" max="3589" width="2.33203125" style="74" customWidth="1"/>
    <col min="3590" max="3590" width="11" style="74" bestFit="1" customWidth="1"/>
    <col min="3591" max="3591" width="3.33203125" style="74" customWidth="1"/>
    <col min="3592" max="3592" width="10.77734375" style="74" bestFit="1" customWidth="1"/>
    <col min="3593" max="3593" width="3.109375" style="74" customWidth="1"/>
    <col min="3594" max="3594" width="11.21875" style="74" bestFit="1" customWidth="1"/>
    <col min="3595" max="3595" width="2.33203125" style="74" customWidth="1"/>
    <col min="3596" max="3596" width="11.33203125" style="74" bestFit="1" customWidth="1"/>
    <col min="3597" max="3597" width="9.77734375" style="74" bestFit="1" customWidth="1"/>
    <col min="3598" max="3833" width="9" style="74"/>
    <col min="3834" max="3834" width="11.33203125" style="74" bestFit="1" customWidth="1"/>
    <col min="3835" max="3835" width="1.77734375" style="74" customWidth="1"/>
    <col min="3836" max="3836" width="42.33203125" style="74" bestFit="1" customWidth="1"/>
    <col min="3837" max="3837" width="2.77734375" style="74" customWidth="1"/>
    <col min="3838" max="3838" width="11" style="74" bestFit="1" customWidth="1"/>
    <col min="3839" max="3839" width="2.77734375" style="74" customWidth="1"/>
    <col min="3840" max="3840" width="12.109375" style="74" bestFit="1" customWidth="1"/>
    <col min="3841" max="3841" width="2.33203125" style="74" customWidth="1"/>
    <col min="3842" max="3842" width="11.21875" style="74" bestFit="1" customWidth="1"/>
    <col min="3843" max="3843" width="2.77734375" style="74" customWidth="1"/>
    <col min="3844" max="3844" width="11.33203125" style="74" bestFit="1" customWidth="1"/>
    <col min="3845" max="3845" width="2.33203125" style="74" customWidth="1"/>
    <col min="3846" max="3846" width="11" style="74" bestFit="1" customWidth="1"/>
    <col min="3847" max="3847" width="3.33203125" style="74" customWidth="1"/>
    <col min="3848" max="3848" width="10.77734375" style="74" bestFit="1" customWidth="1"/>
    <col min="3849" max="3849" width="3.109375" style="74" customWidth="1"/>
    <col min="3850" max="3850" width="11.21875" style="74" bestFit="1" customWidth="1"/>
    <col min="3851" max="3851" width="2.33203125" style="74" customWidth="1"/>
    <col min="3852" max="3852" width="11.33203125" style="74" bestFit="1" customWidth="1"/>
    <col min="3853" max="3853" width="9.77734375" style="74" bestFit="1" customWidth="1"/>
    <col min="3854" max="4089" width="9" style="74"/>
    <col min="4090" max="4090" width="11.33203125" style="74" bestFit="1" customWidth="1"/>
    <col min="4091" max="4091" width="1.77734375" style="74" customWidth="1"/>
    <col min="4092" max="4092" width="42.33203125" style="74" bestFit="1" customWidth="1"/>
    <col min="4093" max="4093" width="2.77734375" style="74" customWidth="1"/>
    <col min="4094" max="4094" width="11" style="74" bestFit="1" customWidth="1"/>
    <col min="4095" max="4095" width="2.77734375" style="74" customWidth="1"/>
    <col min="4096" max="4096" width="12.109375" style="74" bestFit="1" customWidth="1"/>
    <col min="4097" max="4097" width="2.33203125" style="74" customWidth="1"/>
    <col min="4098" max="4098" width="11.21875" style="74" bestFit="1" customWidth="1"/>
    <col min="4099" max="4099" width="2.77734375" style="74" customWidth="1"/>
    <col min="4100" max="4100" width="11.33203125" style="74" bestFit="1" customWidth="1"/>
    <col min="4101" max="4101" width="2.33203125" style="74" customWidth="1"/>
    <col min="4102" max="4102" width="11" style="74" bestFit="1" customWidth="1"/>
    <col min="4103" max="4103" width="3.33203125" style="74" customWidth="1"/>
    <col min="4104" max="4104" width="10.77734375" style="74" bestFit="1" customWidth="1"/>
    <col min="4105" max="4105" width="3.109375" style="74" customWidth="1"/>
    <col min="4106" max="4106" width="11.21875" style="74" bestFit="1" customWidth="1"/>
    <col min="4107" max="4107" width="2.33203125" style="74" customWidth="1"/>
    <col min="4108" max="4108" width="11.33203125" style="74" bestFit="1" customWidth="1"/>
    <col min="4109" max="4109" width="9.77734375" style="74" bestFit="1" customWidth="1"/>
    <col min="4110" max="4345" width="9" style="74"/>
    <col min="4346" max="4346" width="11.33203125" style="74" bestFit="1" customWidth="1"/>
    <col min="4347" max="4347" width="1.77734375" style="74" customWidth="1"/>
    <col min="4348" max="4348" width="42.33203125" style="74" bestFit="1" customWidth="1"/>
    <col min="4349" max="4349" width="2.77734375" style="74" customWidth="1"/>
    <col min="4350" max="4350" width="11" style="74" bestFit="1" customWidth="1"/>
    <col min="4351" max="4351" width="2.77734375" style="74" customWidth="1"/>
    <col min="4352" max="4352" width="12.109375" style="74" bestFit="1" customWidth="1"/>
    <col min="4353" max="4353" width="2.33203125" style="74" customWidth="1"/>
    <col min="4354" max="4354" width="11.21875" style="74" bestFit="1" customWidth="1"/>
    <col min="4355" max="4355" width="2.77734375" style="74" customWidth="1"/>
    <col min="4356" max="4356" width="11.33203125" style="74" bestFit="1" customWidth="1"/>
    <col min="4357" max="4357" width="2.33203125" style="74" customWidth="1"/>
    <col min="4358" max="4358" width="11" style="74" bestFit="1" customWidth="1"/>
    <col min="4359" max="4359" width="3.33203125" style="74" customWidth="1"/>
    <col min="4360" max="4360" width="10.77734375" style="74" bestFit="1" customWidth="1"/>
    <col min="4361" max="4361" width="3.109375" style="74" customWidth="1"/>
    <col min="4362" max="4362" width="11.21875" style="74" bestFit="1" customWidth="1"/>
    <col min="4363" max="4363" width="2.33203125" style="74" customWidth="1"/>
    <col min="4364" max="4364" width="11.33203125" style="74" bestFit="1" customWidth="1"/>
    <col min="4365" max="4365" width="9.77734375" style="74" bestFit="1" customWidth="1"/>
    <col min="4366" max="4601" width="9" style="74"/>
    <col min="4602" max="4602" width="11.33203125" style="74" bestFit="1" customWidth="1"/>
    <col min="4603" max="4603" width="1.77734375" style="74" customWidth="1"/>
    <col min="4604" max="4604" width="42.33203125" style="74" bestFit="1" customWidth="1"/>
    <col min="4605" max="4605" width="2.77734375" style="74" customWidth="1"/>
    <col min="4606" max="4606" width="11" style="74" bestFit="1" customWidth="1"/>
    <col min="4607" max="4607" width="2.77734375" style="74" customWidth="1"/>
    <col min="4608" max="4608" width="12.109375" style="74" bestFit="1" customWidth="1"/>
    <col min="4609" max="4609" width="2.33203125" style="74" customWidth="1"/>
    <col min="4610" max="4610" width="11.21875" style="74" bestFit="1" customWidth="1"/>
    <col min="4611" max="4611" width="2.77734375" style="74" customWidth="1"/>
    <col min="4612" max="4612" width="11.33203125" style="74" bestFit="1" customWidth="1"/>
    <col min="4613" max="4613" width="2.33203125" style="74" customWidth="1"/>
    <col min="4614" max="4614" width="11" style="74" bestFit="1" customWidth="1"/>
    <col min="4615" max="4615" width="3.33203125" style="74" customWidth="1"/>
    <col min="4616" max="4616" width="10.77734375" style="74" bestFit="1" customWidth="1"/>
    <col min="4617" max="4617" width="3.109375" style="74" customWidth="1"/>
    <col min="4618" max="4618" width="11.21875" style="74" bestFit="1" customWidth="1"/>
    <col min="4619" max="4619" width="2.33203125" style="74" customWidth="1"/>
    <col min="4620" max="4620" width="11.33203125" style="74" bestFit="1" customWidth="1"/>
    <col min="4621" max="4621" width="9.77734375" style="74" bestFit="1" customWidth="1"/>
    <col min="4622" max="4857" width="9" style="74"/>
    <col min="4858" max="4858" width="11.33203125" style="74" bestFit="1" customWidth="1"/>
    <col min="4859" max="4859" width="1.77734375" style="74" customWidth="1"/>
    <col min="4860" max="4860" width="42.33203125" style="74" bestFit="1" customWidth="1"/>
    <col min="4861" max="4861" width="2.77734375" style="74" customWidth="1"/>
    <col min="4862" max="4862" width="11" style="74" bestFit="1" customWidth="1"/>
    <col min="4863" max="4863" width="2.77734375" style="74" customWidth="1"/>
    <col min="4864" max="4864" width="12.109375" style="74" bestFit="1" customWidth="1"/>
    <col min="4865" max="4865" width="2.33203125" style="74" customWidth="1"/>
    <col min="4866" max="4866" width="11.21875" style="74" bestFit="1" customWidth="1"/>
    <col min="4867" max="4867" width="2.77734375" style="74" customWidth="1"/>
    <col min="4868" max="4868" width="11.33203125" style="74" bestFit="1" customWidth="1"/>
    <col min="4869" max="4869" width="2.33203125" style="74" customWidth="1"/>
    <col min="4870" max="4870" width="11" style="74" bestFit="1" customWidth="1"/>
    <col min="4871" max="4871" width="3.33203125" style="74" customWidth="1"/>
    <col min="4872" max="4872" width="10.77734375" style="74" bestFit="1" customWidth="1"/>
    <col min="4873" max="4873" width="3.109375" style="74" customWidth="1"/>
    <col min="4874" max="4874" width="11.21875" style="74" bestFit="1" customWidth="1"/>
    <col min="4875" max="4875" width="2.33203125" style="74" customWidth="1"/>
    <col min="4876" max="4876" width="11.33203125" style="74" bestFit="1" customWidth="1"/>
    <col min="4877" max="4877" width="9.77734375" style="74" bestFit="1" customWidth="1"/>
    <col min="4878" max="5113" width="9" style="74"/>
    <col min="5114" max="5114" width="11.33203125" style="74" bestFit="1" customWidth="1"/>
    <col min="5115" max="5115" width="1.77734375" style="74" customWidth="1"/>
    <col min="5116" max="5116" width="42.33203125" style="74" bestFit="1" customWidth="1"/>
    <col min="5117" max="5117" width="2.77734375" style="74" customWidth="1"/>
    <col min="5118" max="5118" width="11" style="74" bestFit="1" customWidth="1"/>
    <col min="5119" max="5119" width="2.77734375" style="74" customWidth="1"/>
    <col min="5120" max="5120" width="12.109375" style="74" bestFit="1" customWidth="1"/>
    <col min="5121" max="5121" width="2.33203125" style="74" customWidth="1"/>
    <col min="5122" max="5122" width="11.21875" style="74" bestFit="1" customWidth="1"/>
    <col min="5123" max="5123" width="2.77734375" style="74" customWidth="1"/>
    <col min="5124" max="5124" width="11.33203125" style="74" bestFit="1" customWidth="1"/>
    <col min="5125" max="5125" width="2.33203125" style="74" customWidth="1"/>
    <col min="5126" max="5126" width="11" style="74" bestFit="1" customWidth="1"/>
    <col min="5127" max="5127" width="3.33203125" style="74" customWidth="1"/>
    <col min="5128" max="5128" width="10.77734375" style="74" bestFit="1" customWidth="1"/>
    <col min="5129" max="5129" width="3.109375" style="74" customWidth="1"/>
    <col min="5130" max="5130" width="11.21875" style="74" bestFit="1" customWidth="1"/>
    <col min="5131" max="5131" width="2.33203125" style="74" customWidth="1"/>
    <col min="5132" max="5132" width="11.33203125" style="74" bestFit="1" customWidth="1"/>
    <col min="5133" max="5133" width="9.77734375" style="74" bestFit="1" customWidth="1"/>
    <col min="5134" max="5369" width="9" style="74"/>
    <col min="5370" max="5370" width="11.33203125" style="74" bestFit="1" customWidth="1"/>
    <col min="5371" max="5371" width="1.77734375" style="74" customWidth="1"/>
    <col min="5372" max="5372" width="42.33203125" style="74" bestFit="1" customWidth="1"/>
    <col min="5373" max="5373" width="2.77734375" style="74" customWidth="1"/>
    <col min="5374" max="5374" width="11" style="74" bestFit="1" customWidth="1"/>
    <col min="5375" max="5375" width="2.77734375" style="74" customWidth="1"/>
    <col min="5376" max="5376" width="12.109375" style="74" bestFit="1" customWidth="1"/>
    <col min="5377" max="5377" width="2.33203125" style="74" customWidth="1"/>
    <col min="5378" max="5378" width="11.21875" style="74" bestFit="1" customWidth="1"/>
    <col min="5379" max="5379" width="2.77734375" style="74" customWidth="1"/>
    <col min="5380" max="5380" width="11.33203125" style="74" bestFit="1" customWidth="1"/>
    <col min="5381" max="5381" width="2.33203125" style="74" customWidth="1"/>
    <col min="5382" max="5382" width="11" style="74" bestFit="1" customWidth="1"/>
    <col min="5383" max="5383" width="3.33203125" style="74" customWidth="1"/>
    <col min="5384" max="5384" width="10.77734375" style="74" bestFit="1" customWidth="1"/>
    <col min="5385" max="5385" width="3.109375" style="74" customWidth="1"/>
    <col min="5386" max="5386" width="11.21875" style="74" bestFit="1" customWidth="1"/>
    <col min="5387" max="5387" width="2.33203125" style="74" customWidth="1"/>
    <col min="5388" max="5388" width="11.33203125" style="74" bestFit="1" customWidth="1"/>
    <col min="5389" max="5389" width="9.77734375" style="74" bestFit="1" customWidth="1"/>
    <col min="5390" max="5625" width="9" style="74"/>
    <col min="5626" max="5626" width="11.33203125" style="74" bestFit="1" customWidth="1"/>
    <col min="5627" max="5627" width="1.77734375" style="74" customWidth="1"/>
    <col min="5628" max="5628" width="42.33203125" style="74" bestFit="1" customWidth="1"/>
    <col min="5629" max="5629" width="2.77734375" style="74" customWidth="1"/>
    <col min="5630" max="5630" width="11" style="74" bestFit="1" customWidth="1"/>
    <col min="5631" max="5631" width="2.77734375" style="74" customWidth="1"/>
    <col min="5632" max="5632" width="12.109375" style="74" bestFit="1" customWidth="1"/>
    <col min="5633" max="5633" width="2.33203125" style="74" customWidth="1"/>
    <col min="5634" max="5634" width="11.21875" style="74" bestFit="1" customWidth="1"/>
    <col min="5635" max="5635" width="2.77734375" style="74" customWidth="1"/>
    <col min="5636" max="5636" width="11.33203125" style="74" bestFit="1" customWidth="1"/>
    <col min="5637" max="5637" width="2.33203125" style="74" customWidth="1"/>
    <col min="5638" max="5638" width="11" style="74" bestFit="1" customWidth="1"/>
    <col min="5639" max="5639" width="3.33203125" style="74" customWidth="1"/>
    <col min="5640" max="5640" width="10.77734375" style="74" bestFit="1" customWidth="1"/>
    <col min="5641" max="5641" width="3.109375" style="74" customWidth="1"/>
    <col min="5642" max="5642" width="11.21875" style="74" bestFit="1" customWidth="1"/>
    <col min="5643" max="5643" width="2.33203125" style="74" customWidth="1"/>
    <col min="5644" max="5644" width="11.33203125" style="74" bestFit="1" customWidth="1"/>
    <col min="5645" max="5645" width="9.77734375" style="74" bestFit="1" customWidth="1"/>
    <col min="5646" max="5881" width="9" style="74"/>
    <col min="5882" max="5882" width="11.33203125" style="74" bestFit="1" customWidth="1"/>
    <col min="5883" max="5883" width="1.77734375" style="74" customWidth="1"/>
    <col min="5884" max="5884" width="42.33203125" style="74" bestFit="1" customWidth="1"/>
    <col min="5885" max="5885" width="2.77734375" style="74" customWidth="1"/>
    <col min="5886" max="5886" width="11" style="74" bestFit="1" customWidth="1"/>
    <col min="5887" max="5887" width="2.77734375" style="74" customWidth="1"/>
    <col min="5888" max="5888" width="12.109375" style="74" bestFit="1" customWidth="1"/>
    <col min="5889" max="5889" width="2.33203125" style="74" customWidth="1"/>
    <col min="5890" max="5890" width="11.21875" style="74" bestFit="1" customWidth="1"/>
    <col min="5891" max="5891" width="2.77734375" style="74" customWidth="1"/>
    <col min="5892" max="5892" width="11.33203125" style="74" bestFit="1" customWidth="1"/>
    <col min="5893" max="5893" width="2.33203125" style="74" customWidth="1"/>
    <col min="5894" max="5894" width="11" style="74" bestFit="1" customWidth="1"/>
    <col min="5895" max="5895" width="3.33203125" style="74" customWidth="1"/>
    <col min="5896" max="5896" width="10.77734375" style="74" bestFit="1" customWidth="1"/>
    <col min="5897" max="5897" width="3.109375" style="74" customWidth="1"/>
    <col min="5898" max="5898" width="11.21875" style="74" bestFit="1" customWidth="1"/>
    <col min="5899" max="5899" width="2.33203125" style="74" customWidth="1"/>
    <col min="5900" max="5900" width="11.33203125" style="74" bestFit="1" customWidth="1"/>
    <col min="5901" max="5901" width="9.77734375" style="74" bestFit="1" customWidth="1"/>
    <col min="5902" max="6137" width="9" style="74"/>
    <col min="6138" max="6138" width="11.33203125" style="74" bestFit="1" customWidth="1"/>
    <col min="6139" max="6139" width="1.77734375" style="74" customWidth="1"/>
    <col min="6140" max="6140" width="42.33203125" style="74" bestFit="1" customWidth="1"/>
    <col min="6141" max="6141" width="2.77734375" style="74" customWidth="1"/>
    <col min="6142" max="6142" width="11" style="74" bestFit="1" customWidth="1"/>
    <col min="6143" max="6143" width="2.77734375" style="74" customWidth="1"/>
    <col min="6144" max="6144" width="12.109375" style="74" bestFit="1" customWidth="1"/>
    <col min="6145" max="6145" width="2.33203125" style="74" customWidth="1"/>
    <col min="6146" max="6146" width="11.21875" style="74" bestFit="1" customWidth="1"/>
    <col min="6147" max="6147" width="2.77734375" style="74" customWidth="1"/>
    <col min="6148" max="6148" width="11.33203125" style="74" bestFit="1" customWidth="1"/>
    <col min="6149" max="6149" width="2.33203125" style="74" customWidth="1"/>
    <col min="6150" max="6150" width="11" style="74" bestFit="1" customWidth="1"/>
    <col min="6151" max="6151" width="3.33203125" style="74" customWidth="1"/>
    <col min="6152" max="6152" width="10.77734375" style="74" bestFit="1" customWidth="1"/>
    <col min="6153" max="6153" width="3.109375" style="74" customWidth="1"/>
    <col min="6154" max="6154" width="11.21875" style="74" bestFit="1" customWidth="1"/>
    <col min="6155" max="6155" width="2.33203125" style="74" customWidth="1"/>
    <col min="6156" max="6156" width="11.33203125" style="74" bestFit="1" customWidth="1"/>
    <col min="6157" max="6157" width="9.77734375" style="74" bestFit="1" customWidth="1"/>
    <col min="6158" max="6393" width="9" style="74"/>
    <col min="6394" max="6394" width="11.33203125" style="74" bestFit="1" customWidth="1"/>
    <col min="6395" max="6395" width="1.77734375" style="74" customWidth="1"/>
    <col min="6396" max="6396" width="42.33203125" style="74" bestFit="1" customWidth="1"/>
    <col min="6397" max="6397" width="2.77734375" style="74" customWidth="1"/>
    <col min="6398" max="6398" width="11" style="74" bestFit="1" customWidth="1"/>
    <col min="6399" max="6399" width="2.77734375" style="74" customWidth="1"/>
    <col min="6400" max="6400" width="12.109375" style="74" bestFit="1" customWidth="1"/>
    <col min="6401" max="6401" width="2.33203125" style="74" customWidth="1"/>
    <col min="6402" max="6402" width="11.21875" style="74" bestFit="1" customWidth="1"/>
    <col min="6403" max="6403" width="2.77734375" style="74" customWidth="1"/>
    <col min="6404" max="6404" width="11.33203125" style="74" bestFit="1" customWidth="1"/>
    <col min="6405" max="6405" width="2.33203125" style="74" customWidth="1"/>
    <col min="6406" max="6406" width="11" style="74" bestFit="1" customWidth="1"/>
    <col min="6407" max="6407" width="3.33203125" style="74" customWidth="1"/>
    <col min="6408" max="6408" width="10.77734375" style="74" bestFit="1" customWidth="1"/>
    <col min="6409" max="6409" width="3.109375" style="74" customWidth="1"/>
    <col min="6410" max="6410" width="11.21875" style="74" bestFit="1" customWidth="1"/>
    <col min="6411" max="6411" width="2.33203125" style="74" customWidth="1"/>
    <col min="6412" max="6412" width="11.33203125" style="74" bestFit="1" customWidth="1"/>
    <col min="6413" max="6413" width="9.77734375" style="74" bestFit="1" customWidth="1"/>
    <col min="6414" max="6649" width="9" style="74"/>
    <col min="6650" max="6650" width="11.33203125" style="74" bestFit="1" customWidth="1"/>
    <col min="6651" max="6651" width="1.77734375" style="74" customWidth="1"/>
    <col min="6652" max="6652" width="42.33203125" style="74" bestFit="1" customWidth="1"/>
    <col min="6653" max="6653" width="2.77734375" style="74" customWidth="1"/>
    <col min="6654" max="6654" width="11" style="74" bestFit="1" customWidth="1"/>
    <col min="6655" max="6655" width="2.77734375" style="74" customWidth="1"/>
    <col min="6656" max="6656" width="12.109375" style="74" bestFit="1" customWidth="1"/>
    <col min="6657" max="6657" width="2.33203125" style="74" customWidth="1"/>
    <col min="6658" max="6658" width="11.21875" style="74" bestFit="1" customWidth="1"/>
    <col min="6659" max="6659" width="2.77734375" style="74" customWidth="1"/>
    <col min="6660" max="6660" width="11.33203125" style="74" bestFit="1" customWidth="1"/>
    <col min="6661" max="6661" width="2.33203125" style="74" customWidth="1"/>
    <col min="6662" max="6662" width="11" style="74" bestFit="1" customWidth="1"/>
    <col min="6663" max="6663" width="3.33203125" style="74" customWidth="1"/>
    <col min="6664" max="6664" width="10.77734375" style="74" bestFit="1" customWidth="1"/>
    <col min="6665" max="6665" width="3.109375" style="74" customWidth="1"/>
    <col min="6666" max="6666" width="11.21875" style="74" bestFit="1" customWidth="1"/>
    <col min="6667" max="6667" width="2.33203125" style="74" customWidth="1"/>
    <col min="6668" max="6668" width="11.33203125" style="74" bestFit="1" customWidth="1"/>
    <col min="6669" max="6669" width="9.77734375" style="74" bestFit="1" customWidth="1"/>
    <col min="6670" max="6905" width="9" style="74"/>
    <col min="6906" max="6906" width="11.33203125" style="74" bestFit="1" customWidth="1"/>
    <col min="6907" max="6907" width="1.77734375" style="74" customWidth="1"/>
    <col min="6908" max="6908" width="42.33203125" style="74" bestFit="1" customWidth="1"/>
    <col min="6909" max="6909" width="2.77734375" style="74" customWidth="1"/>
    <col min="6910" max="6910" width="11" style="74" bestFit="1" customWidth="1"/>
    <col min="6911" max="6911" width="2.77734375" style="74" customWidth="1"/>
    <col min="6912" max="6912" width="12.109375" style="74" bestFit="1" customWidth="1"/>
    <col min="6913" max="6913" width="2.33203125" style="74" customWidth="1"/>
    <col min="6914" max="6914" width="11.21875" style="74" bestFit="1" customWidth="1"/>
    <col min="6915" max="6915" width="2.77734375" style="74" customWidth="1"/>
    <col min="6916" max="6916" width="11.33203125" style="74" bestFit="1" customWidth="1"/>
    <col min="6917" max="6917" width="2.33203125" style="74" customWidth="1"/>
    <col min="6918" max="6918" width="11" style="74" bestFit="1" customWidth="1"/>
    <col min="6919" max="6919" width="3.33203125" style="74" customWidth="1"/>
    <col min="6920" max="6920" width="10.77734375" style="74" bestFit="1" customWidth="1"/>
    <col min="6921" max="6921" width="3.109375" style="74" customWidth="1"/>
    <col min="6922" max="6922" width="11.21875" style="74" bestFit="1" customWidth="1"/>
    <col min="6923" max="6923" width="2.33203125" style="74" customWidth="1"/>
    <col min="6924" max="6924" width="11.33203125" style="74" bestFit="1" customWidth="1"/>
    <col min="6925" max="6925" width="9.77734375" style="74" bestFit="1" customWidth="1"/>
    <col min="6926" max="7161" width="9" style="74"/>
    <col min="7162" max="7162" width="11.33203125" style="74" bestFit="1" customWidth="1"/>
    <col min="7163" max="7163" width="1.77734375" style="74" customWidth="1"/>
    <col min="7164" max="7164" width="42.33203125" style="74" bestFit="1" customWidth="1"/>
    <col min="7165" max="7165" width="2.77734375" style="74" customWidth="1"/>
    <col min="7166" max="7166" width="11" style="74" bestFit="1" customWidth="1"/>
    <col min="7167" max="7167" width="2.77734375" style="74" customWidth="1"/>
    <col min="7168" max="7168" width="12.109375" style="74" bestFit="1" customWidth="1"/>
    <col min="7169" max="7169" width="2.33203125" style="74" customWidth="1"/>
    <col min="7170" max="7170" width="11.21875" style="74" bestFit="1" customWidth="1"/>
    <col min="7171" max="7171" width="2.77734375" style="74" customWidth="1"/>
    <col min="7172" max="7172" width="11.33203125" style="74" bestFit="1" customWidth="1"/>
    <col min="7173" max="7173" width="2.33203125" style="74" customWidth="1"/>
    <col min="7174" max="7174" width="11" style="74" bestFit="1" customWidth="1"/>
    <col min="7175" max="7175" width="3.33203125" style="74" customWidth="1"/>
    <col min="7176" max="7176" width="10.77734375" style="74" bestFit="1" customWidth="1"/>
    <col min="7177" max="7177" width="3.109375" style="74" customWidth="1"/>
    <col min="7178" max="7178" width="11.21875" style="74" bestFit="1" customWidth="1"/>
    <col min="7179" max="7179" width="2.33203125" style="74" customWidth="1"/>
    <col min="7180" max="7180" width="11.33203125" style="74" bestFit="1" customWidth="1"/>
    <col min="7181" max="7181" width="9.77734375" style="74" bestFit="1" customWidth="1"/>
    <col min="7182" max="7417" width="9" style="74"/>
    <col min="7418" max="7418" width="11.33203125" style="74" bestFit="1" customWidth="1"/>
    <col min="7419" max="7419" width="1.77734375" style="74" customWidth="1"/>
    <col min="7420" max="7420" width="42.33203125" style="74" bestFit="1" customWidth="1"/>
    <col min="7421" max="7421" width="2.77734375" style="74" customWidth="1"/>
    <col min="7422" max="7422" width="11" style="74" bestFit="1" customWidth="1"/>
    <col min="7423" max="7423" width="2.77734375" style="74" customWidth="1"/>
    <col min="7424" max="7424" width="12.109375" style="74" bestFit="1" customWidth="1"/>
    <col min="7425" max="7425" width="2.33203125" style="74" customWidth="1"/>
    <col min="7426" max="7426" width="11.21875" style="74" bestFit="1" customWidth="1"/>
    <col min="7427" max="7427" width="2.77734375" style="74" customWidth="1"/>
    <col min="7428" max="7428" width="11.33203125" style="74" bestFit="1" customWidth="1"/>
    <col min="7429" max="7429" width="2.33203125" style="74" customWidth="1"/>
    <col min="7430" max="7430" width="11" style="74" bestFit="1" customWidth="1"/>
    <col min="7431" max="7431" width="3.33203125" style="74" customWidth="1"/>
    <col min="7432" max="7432" width="10.77734375" style="74" bestFit="1" customWidth="1"/>
    <col min="7433" max="7433" width="3.109375" style="74" customWidth="1"/>
    <col min="7434" max="7434" width="11.21875" style="74" bestFit="1" customWidth="1"/>
    <col min="7435" max="7435" width="2.33203125" style="74" customWidth="1"/>
    <col min="7436" max="7436" width="11.33203125" style="74" bestFit="1" customWidth="1"/>
    <col min="7437" max="7437" width="9.77734375" style="74" bestFit="1" customWidth="1"/>
    <col min="7438" max="7673" width="9" style="74"/>
    <col min="7674" max="7674" width="11.33203125" style="74" bestFit="1" customWidth="1"/>
    <col min="7675" max="7675" width="1.77734375" style="74" customWidth="1"/>
    <col min="7676" max="7676" width="42.33203125" style="74" bestFit="1" customWidth="1"/>
    <col min="7677" max="7677" width="2.77734375" style="74" customWidth="1"/>
    <col min="7678" max="7678" width="11" style="74" bestFit="1" customWidth="1"/>
    <col min="7679" max="7679" width="2.77734375" style="74" customWidth="1"/>
    <col min="7680" max="7680" width="12.109375" style="74" bestFit="1" customWidth="1"/>
    <col min="7681" max="7681" width="2.33203125" style="74" customWidth="1"/>
    <col min="7682" max="7682" width="11.21875" style="74" bestFit="1" customWidth="1"/>
    <col min="7683" max="7683" width="2.77734375" style="74" customWidth="1"/>
    <col min="7684" max="7684" width="11.33203125" style="74" bestFit="1" customWidth="1"/>
    <col min="7685" max="7685" width="2.33203125" style="74" customWidth="1"/>
    <col min="7686" max="7686" width="11" style="74" bestFit="1" customWidth="1"/>
    <col min="7687" max="7687" width="3.33203125" style="74" customWidth="1"/>
    <col min="7688" max="7688" width="10.77734375" style="74" bestFit="1" customWidth="1"/>
    <col min="7689" max="7689" width="3.109375" style="74" customWidth="1"/>
    <col min="7690" max="7690" width="11.21875" style="74" bestFit="1" customWidth="1"/>
    <col min="7691" max="7691" width="2.33203125" style="74" customWidth="1"/>
    <col min="7692" max="7692" width="11.33203125" style="74" bestFit="1" customWidth="1"/>
    <col min="7693" max="7693" width="9.77734375" style="74" bestFit="1" customWidth="1"/>
    <col min="7694" max="7929" width="9" style="74"/>
    <col min="7930" max="7930" width="11.33203125" style="74" bestFit="1" customWidth="1"/>
    <col min="7931" max="7931" width="1.77734375" style="74" customWidth="1"/>
    <col min="7932" max="7932" width="42.33203125" style="74" bestFit="1" customWidth="1"/>
    <col min="7933" max="7933" width="2.77734375" style="74" customWidth="1"/>
    <col min="7934" max="7934" width="11" style="74" bestFit="1" customWidth="1"/>
    <col min="7935" max="7935" width="2.77734375" style="74" customWidth="1"/>
    <col min="7936" max="7936" width="12.109375" style="74" bestFit="1" customWidth="1"/>
    <col min="7937" max="7937" width="2.33203125" style="74" customWidth="1"/>
    <col min="7938" max="7938" width="11.21875" style="74" bestFit="1" customWidth="1"/>
    <col min="7939" max="7939" width="2.77734375" style="74" customWidth="1"/>
    <col min="7940" max="7940" width="11.33203125" style="74" bestFit="1" customWidth="1"/>
    <col min="7941" max="7941" width="2.33203125" style="74" customWidth="1"/>
    <col min="7942" max="7942" width="11" style="74" bestFit="1" customWidth="1"/>
    <col min="7943" max="7943" width="3.33203125" style="74" customWidth="1"/>
    <col min="7944" max="7944" width="10.77734375" style="74" bestFit="1" customWidth="1"/>
    <col min="7945" max="7945" width="3.109375" style="74" customWidth="1"/>
    <col min="7946" max="7946" width="11.21875" style="74" bestFit="1" customWidth="1"/>
    <col min="7947" max="7947" width="2.33203125" style="74" customWidth="1"/>
    <col min="7948" max="7948" width="11.33203125" style="74" bestFit="1" customWidth="1"/>
    <col min="7949" max="7949" width="9.77734375" style="74" bestFit="1" customWidth="1"/>
    <col min="7950" max="8185" width="9" style="74"/>
    <col min="8186" max="8186" width="11.33203125" style="74" bestFit="1" customWidth="1"/>
    <col min="8187" max="8187" width="1.77734375" style="74" customWidth="1"/>
    <col min="8188" max="8188" width="42.33203125" style="74" bestFit="1" customWidth="1"/>
    <col min="8189" max="8189" width="2.77734375" style="74" customWidth="1"/>
    <col min="8190" max="8190" width="11" style="74" bestFit="1" customWidth="1"/>
    <col min="8191" max="8191" width="2.77734375" style="74" customWidth="1"/>
    <col min="8192" max="8192" width="12.109375" style="74" bestFit="1" customWidth="1"/>
    <col min="8193" max="8193" width="2.33203125" style="74" customWidth="1"/>
    <col min="8194" max="8194" width="11.21875" style="74" bestFit="1" customWidth="1"/>
    <col min="8195" max="8195" width="2.77734375" style="74" customWidth="1"/>
    <col min="8196" max="8196" width="11.33203125" style="74" bestFit="1" customWidth="1"/>
    <col min="8197" max="8197" width="2.33203125" style="74" customWidth="1"/>
    <col min="8198" max="8198" width="11" style="74" bestFit="1" customWidth="1"/>
    <col min="8199" max="8199" width="3.33203125" style="74" customWidth="1"/>
    <col min="8200" max="8200" width="10.77734375" style="74" bestFit="1" customWidth="1"/>
    <col min="8201" max="8201" width="3.109375" style="74" customWidth="1"/>
    <col min="8202" max="8202" width="11.21875" style="74" bestFit="1" customWidth="1"/>
    <col min="8203" max="8203" width="2.33203125" style="74" customWidth="1"/>
    <col min="8204" max="8204" width="11.33203125" style="74" bestFit="1" customWidth="1"/>
    <col min="8205" max="8205" width="9.77734375" style="74" bestFit="1" customWidth="1"/>
    <col min="8206" max="8441" width="9" style="74"/>
    <col min="8442" max="8442" width="11.33203125" style="74" bestFit="1" customWidth="1"/>
    <col min="8443" max="8443" width="1.77734375" style="74" customWidth="1"/>
    <col min="8444" max="8444" width="42.33203125" style="74" bestFit="1" customWidth="1"/>
    <col min="8445" max="8445" width="2.77734375" style="74" customWidth="1"/>
    <col min="8446" max="8446" width="11" style="74" bestFit="1" customWidth="1"/>
    <col min="8447" max="8447" width="2.77734375" style="74" customWidth="1"/>
    <col min="8448" max="8448" width="12.109375" style="74" bestFit="1" customWidth="1"/>
    <col min="8449" max="8449" width="2.33203125" style="74" customWidth="1"/>
    <col min="8450" max="8450" width="11.21875" style="74" bestFit="1" customWidth="1"/>
    <col min="8451" max="8451" width="2.77734375" style="74" customWidth="1"/>
    <col min="8452" max="8452" width="11.33203125" style="74" bestFit="1" customWidth="1"/>
    <col min="8453" max="8453" width="2.33203125" style="74" customWidth="1"/>
    <col min="8454" max="8454" width="11" style="74" bestFit="1" customWidth="1"/>
    <col min="8455" max="8455" width="3.33203125" style="74" customWidth="1"/>
    <col min="8456" max="8456" width="10.77734375" style="74" bestFit="1" customWidth="1"/>
    <col min="8457" max="8457" width="3.109375" style="74" customWidth="1"/>
    <col min="8458" max="8458" width="11.21875" style="74" bestFit="1" customWidth="1"/>
    <col min="8459" max="8459" width="2.33203125" style="74" customWidth="1"/>
    <col min="8460" max="8460" width="11.33203125" style="74" bestFit="1" customWidth="1"/>
    <col min="8461" max="8461" width="9.77734375" style="74" bestFit="1" customWidth="1"/>
    <col min="8462" max="8697" width="9" style="74"/>
    <col min="8698" max="8698" width="11.33203125" style="74" bestFit="1" customWidth="1"/>
    <col min="8699" max="8699" width="1.77734375" style="74" customWidth="1"/>
    <col min="8700" max="8700" width="42.33203125" style="74" bestFit="1" customWidth="1"/>
    <col min="8701" max="8701" width="2.77734375" style="74" customWidth="1"/>
    <col min="8702" max="8702" width="11" style="74" bestFit="1" customWidth="1"/>
    <col min="8703" max="8703" width="2.77734375" style="74" customWidth="1"/>
    <col min="8704" max="8704" width="12.109375" style="74" bestFit="1" customWidth="1"/>
    <col min="8705" max="8705" width="2.33203125" style="74" customWidth="1"/>
    <col min="8706" max="8706" width="11.21875" style="74" bestFit="1" customWidth="1"/>
    <col min="8707" max="8707" width="2.77734375" style="74" customWidth="1"/>
    <col min="8708" max="8708" width="11.33203125" style="74" bestFit="1" customWidth="1"/>
    <col min="8709" max="8709" width="2.33203125" style="74" customWidth="1"/>
    <col min="8710" max="8710" width="11" style="74" bestFit="1" customWidth="1"/>
    <col min="8711" max="8711" width="3.33203125" style="74" customWidth="1"/>
    <col min="8712" max="8712" width="10.77734375" style="74" bestFit="1" customWidth="1"/>
    <col min="8713" max="8713" width="3.109375" style="74" customWidth="1"/>
    <col min="8714" max="8714" width="11.21875" style="74" bestFit="1" customWidth="1"/>
    <col min="8715" max="8715" width="2.33203125" style="74" customWidth="1"/>
    <col min="8716" max="8716" width="11.33203125" style="74" bestFit="1" customWidth="1"/>
    <col min="8717" max="8717" width="9.77734375" style="74" bestFit="1" customWidth="1"/>
    <col min="8718" max="8953" width="9" style="74"/>
    <col min="8954" max="8954" width="11.33203125" style="74" bestFit="1" customWidth="1"/>
    <col min="8955" max="8955" width="1.77734375" style="74" customWidth="1"/>
    <col min="8956" max="8956" width="42.33203125" style="74" bestFit="1" customWidth="1"/>
    <col min="8957" max="8957" width="2.77734375" style="74" customWidth="1"/>
    <col min="8958" max="8958" width="11" style="74" bestFit="1" customWidth="1"/>
    <col min="8959" max="8959" width="2.77734375" style="74" customWidth="1"/>
    <col min="8960" max="8960" width="12.109375" style="74" bestFit="1" customWidth="1"/>
    <col min="8961" max="8961" width="2.33203125" style="74" customWidth="1"/>
    <col min="8962" max="8962" width="11.21875" style="74" bestFit="1" customWidth="1"/>
    <col min="8963" max="8963" width="2.77734375" style="74" customWidth="1"/>
    <col min="8964" max="8964" width="11.33203125" style="74" bestFit="1" customWidth="1"/>
    <col min="8965" max="8965" width="2.33203125" style="74" customWidth="1"/>
    <col min="8966" max="8966" width="11" style="74" bestFit="1" customWidth="1"/>
    <col min="8967" max="8967" width="3.33203125" style="74" customWidth="1"/>
    <col min="8968" max="8968" width="10.77734375" style="74" bestFit="1" customWidth="1"/>
    <col min="8969" max="8969" width="3.109375" style="74" customWidth="1"/>
    <col min="8970" max="8970" width="11.21875" style="74" bestFit="1" customWidth="1"/>
    <col min="8971" max="8971" width="2.33203125" style="74" customWidth="1"/>
    <col min="8972" max="8972" width="11.33203125" style="74" bestFit="1" customWidth="1"/>
    <col min="8973" max="8973" width="9.77734375" style="74" bestFit="1" customWidth="1"/>
    <col min="8974" max="9209" width="9" style="74"/>
    <col min="9210" max="9210" width="11.33203125" style="74" bestFit="1" customWidth="1"/>
    <col min="9211" max="9211" width="1.77734375" style="74" customWidth="1"/>
    <col min="9212" max="9212" width="42.33203125" style="74" bestFit="1" customWidth="1"/>
    <col min="9213" max="9213" width="2.77734375" style="74" customWidth="1"/>
    <col min="9214" max="9214" width="11" style="74" bestFit="1" customWidth="1"/>
    <col min="9215" max="9215" width="2.77734375" style="74" customWidth="1"/>
    <col min="9216" max="9216" width="12.109375" style="74" bestFit="1" customWidth="1"/>
    <col min="9217" max="9217" width="2.33203125" style="74" customWidth="1"/>
    <col min="9218" max="9218" width="11.21875" style="74" bestFit="1" customWidth="1"/>
    <col min="9219" max="9219" width="2.77734375" style="74" customWidth="1"/>
    <col min="9220" max="9220" width="11.33203125" style="74" bestFit="1" customWidth="1"/>
    <col min="9221" max="9221" width="2.33203125" style="74" customWidth="1"/>
    <col min="9222" max="9222" width="11" style="74" bestFit="1" customWidth="1"/>
    <col min="9223" max="9223" width="3.33203125" style="74" customWidth="1"/>
    <col min="9224" max="9224" width="10.77734375" style="74" bestFit="1" customWidth="1"/>
    <col min="9225" max="9225" width="3.109375" style="74" customWidth="1"/>
    <col min="9226" max="9226" width="11.21875" style="74" bestFit="1" customWidth="1"/>
    <col min="9227" max="9227" width="2.33203125" style="74" customWidth="1"/>
    <col min="9228" max="9228" width="11.33203125" style="74" bestFit="1" customWidth="1"/>
    <col min="9229" max="9229" width="9.77734375" style="74" bestFit="1" customWidth="1"/>
    <col min="9230" max="9465" width="9" style="74"/>
    <col min="9466" max="9466" width="11.33203125" style="74" bestFit="1" customWidth="1"/>
    <col min="9467" max="9467" width="1.77734375" style="74" customWidth="1"/>
    <col min="9468" max="9468" width="42.33203125" style="74" bestFit="1" customWidth="1"/>
    <col min="9469" max="9469" width="2.77734375" style="74" customWidth="1"/>
    <col min="9470" max="9470" width="11" style="74" bestFit="1" customWidth="1"/>
    <col min="9471" max="9471" width="2.77734375" style="74" customWidth="1"/>
    <col min="9472" max="9472" width="12.109375" style="74" bestFit="1" customWidth="1"/>
    <col min="9473" max="9473" width="2.33203125" style="74" customWidth="1"/>
    <col min="9474" max="9474" width="11.21875" style="74" bestFit="1" customWidth="1"/>
    <col min="9475" max="9475" width="2.77734375" style="74" customWidth="1"/>
    <col min="9476" max="9476" width="11.33203125" style="74" bestFit="1" customWidth="1"/>
    <col min="9477" max="9477" width="2.33203125" style="74" customWidth="1"/>
    <col min="9478" max="9478" width="11" style="74" bestFit="1" customWidth="1"/>
    <col min="9479" max="9479" width="3.33203125" style="74" customWidth="1"/>
    <col min="9480" max="9480" width="10.77734375" style="74" bestFit="1" customWidth="1"/>
    <col min="9481" max="9481" width="3.109375" style="74" customWidth="1"/>
    <col min="9482" max="9482" width="11.21875" style="74" bestFit="1" customWidth="1"/>
    <col min="9483" max="9483" width="2.33203125" style="74" customWidth="1"/>
    <col min="9484" max="9484" width="11.33203125" style="74" bestFit="1" customWidth="1"/>
    <col min="9485" max="9485" width="9.77734375" style="74" bestFit="1" customWidth="1"/>
    <col min="9486" max="9721" width="9" style="74"/>
    <col min="9722" max="9722" width="11.33203125" style="74" bestFit="1" customWidth="1"/>
    <col min="9723" max="9723" width="1.77734375" style="74" customWidth="1"/>
    <col min="9724" max="9724" width="42.33203125" style="74" bestFit="1" customWidth="1"/>
    <col min="9725" max="9725" width="2.77734375" style="74" customWidth="1"/>
    <col min="9726" max="9726" width="11" style="74" bestFit="1" customWidth="1"/>
    <col min="9727" max="9727" width="2.77734375" style="74" customWidth="1"/>
    <col min="9728" max="9728" width="12.109375" style="74" bestFit="1" customWidth="1"/>
    <col min="9729" max="9729" width="2.33203125" style="74" customWidth="1"/>
    <col min="9730" max="9730" width="11.21875" style="74" bestFit="1" customWidth="1"/>
    <col min="9731" max="9731" width="2.77734375" style="74" customWidth="1"/>
    <col min="9732" max="9732" width="11.33203125" style="74" bestFit="1" customWidth="1"/>
    <col min="9733" max="9733" width="2.33203125" style="74" customWidth="1"/>
    <col min="9734" max="9734" width="11" style="74" bestFit="1" customWidth="1"/>
    <col min="9735" max="9735" width="3.33203125" style="74" customWidth="1"/>
    <col min="9736" max="9736" width="10.77734375" style="74" bestFit="1" customWidth="1"/>
    <col min="9737" max="9737" width="3.109375" style="74" customWidth="1"/>
    <col min="9738" max="9738" width="11.21875" style="74" bestFit="1" customWidth="1"/>
    <col min="9739" max="9739" width="2.33203125" style="74" customWidth="1"/>
    <col min="9740" max="9740" width="11.33203125" style="74" bestFit="1" customWidth="1"/>
    <col min="9741" max="9741" width="9.77734375" style="74" bestFit="1" customWidth="1"/>
    <col min="9742" max="9977" width="9" style="74"/>
    <col min="9978" max="9978" width="11.33203125" style="74" bestFit="1" customWidth="1"/>
    <col min="9979" max="9979" width="1.77734375" style="74" customWidth="1"/>
    <col min="9980" max="9980" width="42.33203125" style="74" bestFit="1" customWidth="1"/>
    <col min="9981" max="9981" width="2.77734375" style="74" customWidth="1"/>
    <col min="9982" max="9982" width="11" style="74" bestFit="1" customWidth="1"/>
    <col min="9983" max="9983" width="2.77734375" style="74" customWidth="1"/>
    <col min="9984" max="9984" width="12.109375" style="74" bestFit="1" customWidth="1"/>
    <col min="9985" max="9985" width="2.33203125" style="74" customWidth="1"/>
    <col min="9986" max="9986" width="11.21875" style="74" bestFit="1" customWidth="1"/>
    <col min="9987" max="9987" width="2.77734375" style="74" customWidth="1"/>
    <col min="9988" max="9988" width="11.33203125" style="74" bestFit="1" customWidth="1"/>
    <col min="9989" max="9989" width="2.33203125" style="74" customWidth="1"/>
    <col min="9990" max="9990" width="11" style="74" bestFit="1" customWidth="1"/>
    <col min="9991" max="9991" width="3.33203125" style="74" customWidth="1"/>
    <col min="9992" max="9992" width="10.77734375" style="74" bestFit="1" customWidth="1"/>
    <col min="9993" max="9993" width="3.109375" style="74" customWidth="1"/>
    <col min="9994" max="9994" width="11.21875" style="74" bestFit="1" customWidth="1"/>
    <col min="9995" max="9995" width="2.33203125" style="74" customWidth="1"/>
    <col min="9996" max="9996" width="11.33203125" style="74" bestFit="1" customWidth="1"/>
    <col min="9997" max="9997" width="9.77734375" style="74" bestFit="1" customWidth="1"/>
    <col min="9998" max="10233" width="9" style="74"/>
    <col min="10234" max="10234" width="11.33203125" style="74" bestFit="1" customWidth="1"/>
    <col min="10235" max="10235" width="1.77734375" style="74" customWidth="1"/>
    <col min="10236" max="10236" width="42.33203125" style="74" bestFit="1" customWidth="1"/>
    <col min="10237" max="10237" width="2.77734375" style="74" customWidth="1"/>
    <col min="10238" max="10238" width="11" style="74" bestFit="1" customWidth="1"/>
    <col min="10239" max="10239" width="2.77734375" style="74" customWidth="1"/>
    <col min="10240" max="10240" width="12.109375" style="74" bestFit="1" customWidth="1"/>
    <col min="10241" max="10241" width="2.33203125" style="74" customWidth="1"/>
    <col min="10242" max="10242" width="11.21875" style="74" bestFit="1" customWidth="1"/>
    <col min="10243" max="10243" width="2.77734375" style="74" customWidth="1"/>
    <col min="10244" max="10244" width="11.33203125" style="74" bestFit="1" customWidth="1"/>
    <col min="10245" max="10245" width="2.33203125" style="74" customWidth="1"/>
    <col min="10246" max="10246" width="11" style="74" bestFit="1" customWidth="1"/>
    <col min="10247" max="10247" width="3.33203125" style="74" customWidth="1"/>
    <col min="10248" max="10248" width="10.77734375" style="74" bestFit="1" customWidth="1"/>
    <col min="10249" max="10249" width="3.109375" style="74" customWidth="1"/>
    <col min="10250" max="10250" width="11.21875" style="74" bestFit="1" customWidth="1"/>
    <col min="10251" max="10251" width="2.33203125" style="74" customWidth="1"/>
    <col min="10252" max="10252" width="11.33203125" style="74" bestFit="1" customWidth="1"/>
    <col min="10253" max="10253" width="9.77734375" style="74" bestFit="1" customWidth="1"/>
    <col min="10254" max="10489" width="9" style="74"/>
    <col min="10490" max="10490" width="11.33203125" style="74" bestFit="1" customWidth="1"/>
    <col min="10491" max="10491" width="1.77734375" style="74" customWidth="1"/>
    <col min="10492" max="10492" width="42.33203125" style="74" bestFit="1" customWidth="1"/>
    <col min="10493" max="10493" width="2.77734375" style="74" customWidth="1"/>
    <col min="10494" max="10494" width="11" style="74" bestFit="1" customWidth="1"/>
    <col min="10495" max="10495" width="2.77734375" style="74" customWidth="1"/>
    <col min="10496" max="10496" width="12.109375" style="74" bestFit="1" customWidth="1"/>
    <col min="10497" max="10497" width="2.33203125" style="74" customWidth="1"/>
    <col min="10498" max="10498" width="11.21875" style="74" bestFit="1" customWidth="1"/>
    <col min="10499" max="10499" width="2.77734375" style="74" customWidth="1"/>
    <col min="10500" max="10500" width="11.33203125" style="74" bestFit="1" customWidth="1"/>
    <col min="10501" max="10501" width="2.33203125" style="74" customWidth="1"/>
    <col min="10502" max="10502" width="11" style="74" bestFit="1" customWidth="1"/>
    <col min="10503" max="10503" width="3.33203125" style="74" customWidth="1"/>
    <col min="10504" max="10504" width="10.77734375" style="74" bestFit="1" customWidth="1"/>
    <col min="10505" max="10505" width="3.109375" style="74" customWidth="1"/>
    <col min="10506" max="10506" width="11.21875" style="74" bestFit="1" customWidth="1"/>
    <col min="10507" max="10507" width="2.33203125" style="74" customWidth="1"/>
    <col min="10508" max="10508" width="11.33203125" style="74" bestFit="1" customWidth="1"/>
    <col min="10509" max="10509" width="9.77734375" style="74" bestFit="1" customWidth="1"/>
    <col min="10510" max="10745" width="9" style="74"/>
    <col min="10746" max="10746" width="11.33203125" style="74" bestFit="1" customWidth="1"/>
    <col min="10747" max="10747" width="1.77734375" style="74" customWidth="1"/>
    <col min="10748" max="10748" width="42.33203125" style="74" bestFit="1" customWidth="1"/>
    <col min="10749" max="10749" width="2.77734375" style="74" customWidth="1"/>
    <col min="10750" max="10750" width="11" style="74" bestFit="1" customWidth="1"/>
    <col min="10751" max="10751" width="2.77734375" style="74" customWidth="1"/>
    <col min="10752" max="10752" width="12.109375" style="74" bestFit="1" customWidth="1"/>
    <col min="10753" max="10753" width="2.33203125" style="74" customWidth="1"/>
    <col min="10754" max="10754" width="11.21875" style="74" bestFit="1" customWidth="1"/>
    <col min="10755" max="10755" width="2.77734375" style="74" customWidth="1"/>
    <col min="10756" max="10756" width="11.33203125" style="74" bestFit="1" customWidth="1"/>
    <col min="10757" max="10757" width="2.33203125" style="74" customWidth="1"/>
    <col min="10758" max="10758" width="11" style="74" bestFit="1" customWidth="1"/>
    <col min="10759" max="10759" width="3.33203125" style="74" customWidth="1"/>
    <col min="10760" max="10760" width="10.77734375" style="74" bestFit="1" customWidth="1"/>
    <col min="10761" max="10761" width="3.109375" style="74" customWidth="1"/>
    <col min="10762" max="10762" width="11.21875" style="74" bestFit="1" customWidth="1"/>
    <col min="10763" max="10763" width="2.33203125" style="74" customWidth="1"/>
    <col min="10764" max="10764" width="11.33203125" style="74" bestFit="1" customWidth="1"/>
    <col min="10765" max="10765" width="9.77734375" style="74" bestFit="1" customWidth="1"/>
    <col min="10766" max="11001" width="9" style="74"/>
    <col min="11002" max="11002" width="11.33203125" style="74" bestFit="1" customWidth="1"/>
    <col min="11003" max="11003" width="1.77734375" style="74" customWidth="1"/>
    <col min="11004" max="11004" width="42.33203125" style="74" bestFit="1" customWidth="1"/>
    <col min="11005" max="11005" width="2.77734375" style="74" customWidth="1"/>
    <col min="11006" max="11006" width="11" style="74" bestFit="1" customWidth="1"/>
    <col min="11007" max="11007" width="2.77734375" style="74" customWidth="1"/>
    <col min="11008" max="11008" width="12.109375" style="74" bestFit="1" customWidth="1"/>
    <col min="11009" max="11009" width="2.33203125" style="74" customWidth="1"/>
    <col min="11010" max="11010" width="11.21875" style="74" bestFit="1" customWidth="1"/>
    <col min="11011" max="11011" width="2.77734375" style="74" customWidth="1"/>
    <col min="11012" max="11012" width="11.33203125" style="74" bestFit="1" customWidth="1"/>
    <col min="11013" max="11013" width="2.33203125" style="74" customWidth="1"/>
    <col min="11014" max="11014" width="11" style="74" bestFit="1" customWidth="1"/>
    <col min="11015" max="11015" width="3.33203125" style="74" customWidth="1"/>
    <col min="11016" max="11016" width="10.77734375" style="74" bestFit="1" customWidth="1"/>
    <col min="11017" max="11017" width="3.109375" style="74" customWidth="1"/>
    <col min="11018" max="11018" width="11.21875" style="74" bestFit="1" customWidth="1"/>
    <col min="11019" max="11019" width="2.33203125" style="74" customWidth="1"/>
    <col min="11020" max="11020" width="11.33203125" style="74" bestFit="1" customWidth="1"/>
    <col min="11021" max="11021" width="9.77734375" style="74" bestFit="1" customWidth="1"/>
    <col min="11022" max="11257" width="9" style="74"/>
    <col min="11258" max="11258" width="11.33203125" style="74" bestFit="1" customWidth="1"/>
    <col min="11259" max="11259" width="1.77734375" style="74" customWidth="1"/>
    <col min="11260" max="11260" width="42.33203125" style="74" bestFit="1" customWidth="1"/>
    <col min="11261" max="11261" width="2.77734375" style="74" customWidth="1"/>
    <col min="11262" max="11262" width="11" style="74" bestFit="1" customWidth="1"/>
    <col min="11263" max="11263" width="2.77734375" style="74" customWidth="1"/>
    <col min="11264" max="11264" width="12.109375" style="74" bestFit="1" customWidth="1"/>
    <col min="11265" max="11265" width="2.33203125" style="74" customWidth="1"/>
    <col min="11266" max="11266" width="11.21875" style="74" bestFit="1" customWidth="1"/>
    <col min="11267" max="11267" width="2.77734375" style="74" customWidth="1"/>
    <col min="11268" max="11268" width="11.33203125" style="74" bestFit="1" customWidth="1"/>
    <col min="11269" max="11269" width="2.33203125" style="74" customWidth="1"/>
    <col min="11270" max="11270" width="11" style="74" bestFit="1" customWidth="1"/>
    <col min="11271" max="11271" width="3.33203125" style="74" customWidth="1"/>
    <col min="11272" max="11272" width="10.77734375" style="74" bestFit="1" customWidth="1"/>
    <col min="11273" max="11273" width="3.109375" style="74" customWidth="1"/>
    <col min="11274" max="11274" width="11.21875" style="74" bestFit="1" customWidth="1"/>
    <col min="11275" max="11275" width="2.33203125" style="74" customWidth="1"/>
    <col min="11276" max="11276" width="11.33203125" style="74" bestFit="1" customWidth="1"/>
    <col min="11277" max="11277" width="9.77734375" style="74" bestFit="1" customWidth="1"/>
    <col min="11278" max="11513" width="9" style="74"/>
    <col min="11514" max="11514" width="11.33203125" style="74" bestFit="1" customWidth="1"/>
    <col min="11515" max="11515" width="1.77734375" style="74" customWidth="1"/>
    <col min="11516" max="11516" width="42.33203125" style="74" bestFit="1" customWidth="1"/>
    <col min="11517" max="11517" width="2.77734375" style="74" customWidth="1"/>
    <col min="11518" max="11518" width="11" style="74" bestFit="1" customWidth="1"/>
    <col min="11519" max="11519" width="2.77734375" style="74" customWidth="1"/>
    <col min="11520" max="11520" width="12.109375" style="74" bestFit="1" customWidth="1"/>
    <col min="11521" max="11521" width="2.33203125" style="74" customWidth="1"/>
    <col min="11522" max="11522" width="11.21875" style="74" bestFit="1" customWidth="1"/>
    <col min="11523" max="11523" width="2.77734375" style="74" customWidth="1"/>
    <col min="11524" max="11524" width="11.33203125" style="74" bestFit="1" customWidth="1"/>
    <col min="11525" max="11525" width="2.33203125" style="74" customWidth="1"/>
    <col min="11526" max="11526" width="11" style="74" bestFit="1" customWidth="1"/>
    <col min="11527" max="11527" width="3.33203125" style="74" customWidth="1"/>
    <col min="11528" max="11528" width="10.77734375" style="74" bestFit="1" customWidth="1"/>
    <col min="11529" max="11529" width="3.109375" style="74" customWidth="1"/>
    <col min="11530" max="11530" width="11.21875" style="74" bestFit="1" customWidth="1"/>
    <col min="11531" max="11531" width="2.33203125" style="74" customWidth="1"/>
    <col min="11532" max="11532" width="11.33203125" style="74" bestFit="1" customWidth="1"/>
    <col min="11533" max="11533" width="9.77734375" style="74" bestFit="1" customWidth="1"/>
    <col min="11534" max="11769" width="9" style="74"/>
    <col min="11770" max="11770" width="11.33203125" style="74" bestFit="1" customWidth="1"/>
    <col min="11771" max="11771" width="1.77734375" style="74" customWidth="1"/>
    <col min="11772" max="11772" width="42.33203125" style="74" bestFit="1" customWidth="1"/>
    <col min="11773" max="11773" width="2.77734375" style="74" customWidth="1"/>
    <col min="11774" max="11774" width="11" style="74" bestFit="1" customWidth="1"/>
    <col min="11775" max="11775" width="2.77734375" style="74" customWidth="1"/>
    <col min="11776" max="11776" width="12.109375" style="74" bestFit="1" customWidth="1"/>
    <col min="11777" max="11777" width="2.33203125" style="74" customWidth="1"/>
    <col min="11778" max="11778" width="11.21875" style="74" bestFit="1" customWidth="1"/>
    <col min="11779" max="11779" width="2.77734375" style="74" customWidth="1"/>
    <col min="11780" max="11780" width="11.33203125" style="74" bestFit="1" customWidth="1"/>
    <col min="11781" max="11781" width="2.33203125" style="74" customWidth="1"/>
    <col min="11782" max="11782" width="11" style="74" bestFit="1" customWidth="1"/>
    <col min="11783" max="11783" width="3.33203125" style="74" customWidth="1"/>
    <col min="11784" max="11784" width="10.77734375" style="74" bestFit="1" customWidth="1"/>
    <col min="11785" max="11785" width="3.109375" style="74" customWidth="1"/>
    <col min="11786" max="11786" width="11.21875" style="74" bestFit="1" customWidth="1"/>
    <col min="11787" max="11787" width="2.33203125" style="74" customWidth="1"/>
    <col min="11788" max="11788" width="11.33203125" style="74" bestFit="1" customWidth="1"/>
    <col min="11789" max="11789" width="9.77734375" style="74" bestFit="1" customWidth="1"/>
    <col min="11790" max="12025" width="9" style="74"/>
    <col min="12026" max="12026" width="11.33203125" style="74" bestFit="1" customWidth="1"/>
    <col min="12027" max="12027" width="1.77734375" style="74" customWidth="1"/>
    <col min="12028" max="12028" width="42.33203125" style="74" bestFit="1" customWidth="1"/>
    <col min="12029" max="12029" width="2.77734375" style="74" customWidth="1"/>
    <col min="12030" max="12030" width="11" style="74" bestFit="1" customWidth="1"/>
    <col min="12031" max="12031" width="2.77734375" style="74" customWidth="1"/>
    <col min="12032" max="12032" width="12.109375" style="74" bestFit="1" customWidth="1"/>
    <col min="12033" max="12033" width="2.33203125" style="74" customWidth="1"/>
    <col min="12034" max="12034" width="11.21875" style="74" bestFit="1" customWidth="1"/>
    <col min="12035" max="12035" width="2.77734375" style="74" customWidth="1"/>
    <col min="12036" max="12036" width="11.33203125" style="74" bestFit="1" customWidth="1"/>
    <col min="12037" max="12037" width="2.33203125" style="74" customWidth="1"/>
    <col min="12038" max="12038" width="11" style="74" bestFit="1" customWidth="1"/>
    <col min="12039" max="12039" width="3.33203125" style="74" customWidth="1"/>
    <col min="12040" max="12040" width="10.77734375" style="74" bestFit="1" customWidth="1"/>
    <col min="12041" max="12041" width="3.109375" style="74" customWidth="1"/>
    <col min="12042" max="12042" width="11.21875" style="74" bestFit="1" customWidth="1"/>
    <col min="12043" max="12043" width="2.33203125" style="74" customWidth="1"/>
    <col min="12044" max="12044" width="11.33203125" style="74" bestFit="1" customWidth="1"/>
    <col min="12045" max="12045" width="9.77734375" style="74" bestFit="1" customWidth="1"/>
    <col min="12046" max="12281" width="9" style="74"/>
    <col min="12282" max="12282" width="11.33203125" style="74" bestFit="1" customWidth="1"/>
    <col min="12283" max="12283" width="1.77734375" style="74" customWidth="1"/>
    <col min="12284" max="12284" width="42.33203125" style="74" bestFit="1" customWidth="1"/>
    <col min="12285" max="12285" width="2.77734375" style="74" customWidth="1"/>
    <col min="12286" max="12286" width="11" style="74" bestFit="1" customWidth="1"/>
    <col min="12287" max="12287" width="2.77734375" style="74" customWidth="1"/>
    <col min="12288" max="12288" width="12.109375" style="74" bestFit="1" customWidth="1"/>
    <col min="12289" max="12289" width="2.33203125" style="74" customWidth="1"/>
    <col min="12290" max="12290" width="11.21875" style="74" bestFit="1" customWidth="1"/>
    <col min="12291" max="12291" width="2.77734375" style="74" customWidth="1"/>
    <col min="12292" max="12292" width="11.33203125" style="74" bestFit="1" customWidth="1"/>
    <col min="12293" max="12293" width="2.33203125" style="74" customWidth="1"/>
    <col min="12294" max="12294" width="11" style="74" bestFit="1" customWidth="1"/>
    <col min="12295" max="12295" width="3.33203125" style="74" customWidth="1"/>
    <col min="12296" max="12296" width="10.77734375" style="74" bestFit="1" customWidth="1"/>
    <col min="12297" max="12297" width="3.109375" style="74" customWidth="1"/>
    <col min="12298" max="12298" width="11.21875" style="74" bestFit="1" customWidth="1"/>
    <col min="12299" max="12299" width="2.33203125" style="74" customWidth="1"/>
    <col min="12300" max="12300" width="11.33203125" style="74" bestFit="1" customWidth="1"/>
    <col min="12301" max="12301" width="9.77734375" style="74" bestFit="1" customWidth="1"/>
    <col min="12302" max="12537" width="9" style="74"/>
    <col min="12538" max="12538" width="11.33203125" style="74" bestFit="1" customWidth="1"/>
    <col min="12539" max="12539" width="1.77734375" style="74" customWidth="1"/>
    <col min="12540" max="12540" width="42.33203125" style="74" bestFit="1" customWidth="1"/>
    <col min="12541" max="12541" width="2.77734375" style="74" customWidth="1"/>
    <col min="12542" max="12542" width="11" style="74" bestFit="1" customWidth="1"/>
    <col min="12543" max="12543" width="2.77734375" style="74" customWidth="1"/>
    <col min="12544" max="12544" width="12.109375" style="74" bestFit="1" customWidth="1"/>
    <col min="12545" max="12545" width="2.33203125" style="74" customWidth="1"/>
    <col min="12546" max="12546" width="11.21875" style="74" bestFit="1" customWidth="1"/>
    <col min="12547" max="12547" width="2.77734375" style="74" customWidth="1"/>
    <col min="12548" max="12548" width="11.33203125" style="74" bestFit="1" customWidth="1"/>
    <col min="12549" max="12549" width="2.33203125" style="74" customWidth="1"/>
    <col min="12550" max="12550" width="11" style="74" bestFit="1" customWidth="1"/>
    <col min="12551" max="12551" width="3.33203125" style="74" customWidth="1"/>
    <col min="12552" max="12552" width="10.77734375" style="74" bestFit="1" customWidth="1"/>
    <col min="12553" max="12553" width="3.109375" style="74" customWidth="1"/>
    <col min="12554" max="12554" width="11.21875" style="74" bestFit="1" customWidth="1"/>
    <col min="12555" max="12555" width="2.33203125" style="74" customWidth="1"/>
    <col min="12556" max="12556" width="11.33203125" style="74" bestFit="1" customWidth="1"/>
    <col min="12557" max="12557" width="9.77734375" style="74" bestFit="1" customWidth="1"/>
    <col min="12558" max="12793" width="9" style="74"/>
    <col min="12794" max="12794" width="11.33203125" style="74" bestFit="1" customWidth="1"/>
    <col min="12795" max="12795" width="1.77734375" style="74" customWidth="1"/>
    <col min="12796" max="12796" width="42.33203125" style="74" bestFit="1" customWidth="1"/>
    <col min="12797" max="12797" width="2.77734375" style="74" customWidth="1"/>
    <col min="12798" max="12798" width="11" style="74" bestFit="1" customWidth="1"/>
    <col min="12799" max="12799" width="2.77734375" style="74" customWidth="1"/>
    <col min="12800" max="12800" width="12.109375" style="74" bestFit="1" customWidth="1"/>
    <col min="12801" max="12801" width="2.33203125" style="74" customWidth="1"/>
    <col min="12802" max="12802" width="11.21875" style="74" bestFit="1" customWidth="1"/>
    <col min="12803" max="12803" width="2.77734375" style="74" customWidth="1"/>
    <col min="12804" max="12804" width="11.33203125" style="74" bestFit="1" customWidth="1"/>
    <col min="12805" max="12805" width="2.33203125" style="74" customWidth="1"/>
    <col min="12806" max="12806" width="11" style="74" bestFit="1" customWidth="1"/>
    <col min="12807" max="12807" width="3.33203125" style="74" customWidth="1"/>
    <col min="12808" max="12808" width="10.77734375" style="74" bestFit="1" customWidth="1"/>
    <col min="12809" max="12809" width="3.109375" style="74" customWidth="1"/>
    <col min="12810" max="12810" width="11.21875" style="74" bestFit="1" customWidth="1"/>
    <col min="12811" max="12811" width="2.33203125" style="74" customWidth="1"/>
    <col min="12812" max="12812" width="11.33203125" style="74" bestFit="1" customWidth="1"/>
    <col min="12813" max="12813" width="9.77734375" style="74" bestFit="1" customWidth="1"/>
    <col min="12814" max="13049" width="9" style="74"/>
    <col min="13050" max="13050" width="11.33203125" style="74" bestFit="1" customWidth="1"/>
    <col min="13051" max="13051" width="1.77734375" style="74" customWidth="1"/>
    <col min="13052" max="13052" width="42.33203125" style="74" bestFit="1" customWidth="1"/>
    <col min="13053" max="13053" width="2.77734375" style="74" customWidth="1"/>
    <col min="13054" max="13054" width="11" style="74" bestFit="1" customWidth="1"/>
    <col min="13055" max="13055" width="2.77734375" style="74" customWidth="1"/>
    <col min="13056" max="13056" width="12.109375" style="74" bestFit="1" customWidth="1"/>
    <col min="13057" max="13057" width="2.33203125" style="74" customWidth="1"/>
    <col min="13058" max="13058" width="11.21875" style="74" bestFit="1" customWidth="1"/>
    <col min="13059" max="13059" width="2.77734375" style="74" customWidth="1"/>
    <col min="13060" max="13060" width="11.33203125" style="74" bestFit="1" customWidth="1"/>
    <col min="13061" max="13061" width="2.33203125" style="74" customWidth="1"/>
    <col min="13062" max="13062" width="11" style="74" bestFit="1" customWidth="1"/>
    <col min="13063" max="13063" width="3.33203125" style="74" customWidth="1"/>
    <col min="13064" max="13064" width="10.77734375" style="74" bestFit="1" customWidth="1"/>
    <col min="13065" max="13065" width="3.109375" style="74" customWidth="1"/>
    <col min="13066" max="13066" width="11.21875" style="74" bestFit="1" customWidth="1"/>
    <col min="13067" max="13067" width="2.33203125" style="74" customWidth="1"/>
    <col min="13068" max="13068" width="11.33203125" style="74" bestFit="1" customWidth="1"/>
    <col min="13069" max="13069" width="9.77734375" style="74" bestFit="1" customWidth="1"/>
    <col min="13070" max="13305" width="9" style="74"/>
    <col min="13306" max="13306" width="11.33203125" style="74" bestFit="1" customWidth="1"/>
    <col min="13307" max="13307" width="1.77734375" style="74" customWidth="1"/>
    <col min="13308" max="13308" width="42.33203125" style="74" bestFit="1" customWidth="1"/>
    <col min="13309" max="13309" width="2.77734375" style="74" customWidth="1"/>
    <col min="13310" max="13310" width="11" style="74" bestFit="1" customWidth="1"/>
    <col min="13311" max="13311" width="2.77734375" style="74" customWidth="1"/>
    <col min="13312" max="13312" width="12.109375" style="74" bestFit="1" customWidth="1"/>
    <col min="13313" max="13313" width="2.33203125" style="74" customWidth="1"/>
    <col min="13314" max="13314" width="11.21875" style="74" bestFit="1" customWidth="1"/>
    <col min="13315" max="13315" width="2.77734375" style="74" customWidth="1"/>
    <col min="13316" max="13316" width="11.33203125" style="74" bestFit="1" customWidth="1"/>
    <col min="13317" max="13317" width="2.33203125" style="74" customWidth="1"/>
    <col min="13318" max="13318" width="11" style="74" bestFit="1" customWidth="1"/>
    <col min="13319" max="13319" width="3.33203125" style="74" customWidth="1"/>
    <col min="13320" max="13320" width="10.77734375" style="74" bestFit="1" customWidth="1"/>
    <col min="13321" max="13321" width="3.109375" style="74" customWidth="1"/>
    <col min="13322" max="13322" width="11.21875" style="74" bestFit="1" customWidth="1"/>
    <col min="13323" max="13323" width="2.33203125" style="74" customWidth="1"/>
    <col min="13324" max="13324" width="11.33203125" style="74" bestFit="1" customWidth="1"/>
    <col min="13325" max="13325" width="9.77734375" style="74" bestFit="1" customWidth="1"/>
    <col min="13326" max="13561" width="9" style="74"/>
    <col min="13562" max="13562" width="11.33203125" style="74" bestFit="1" customWidth="1"/>
    <col min="13563" max="13563" width="1.77734375" style="74" customWidth="1"/>
    <col min="13564" max="13564" width="42.33203125" style="74" bestFit="1" customWidth="1"/>
    <col min="13565" max="13565" width="2.77734375" style="74" customWidth="1"/>
    <col min="13566" max="13566" width="11" style="74" bestFit="1" customWidth="1"/>
    <col min="13567" max="13567" width="2.77734375" style="74" customWidth="1"/>
    <col min="13568" max="13568" width="12.109375" style="74" bestFit="1" customWidth="1"/>
    <col min="13569" max="13569" width="2.33203125" style="74" customWidth="1"/>
    <col min="13570" max="13570" width="11.21875" style="74" bestFit="1" customWidth="1"/>
    <col min="13571" max="13571" width="2.77734375" style="74" customWidth="1"/>
    <col min="13572" max="13572" width="11.33203125" style="74" bestFit="1" customWidth="1"/>
    <col min="13573" max="13573" width="2.33203125" style="74" customWidth="1"/>
    <col min="13574" max="13574" width="11" style="74" bestFit="1" customWidth="1"/>
    <col min="13575" max="13575" width="3.33203125" style="74" customWidth="1"/>
    <col min="13576" max="13576" width="10.77734375" style="74" bestFit="1" customWidth="1"/>
    <col min="13577" max="13577" width="3.109375" style="74" customWidth="1"/>
    <col min="13578" max="13578" width="11.21875" style="74" bestFit="1" customWidth="1"/>
    <col min="13579" max="13579" width="2.33203125" style="74" customWidth="1"/>
    <col min="13580" max="13580" width="11.33203125" style="74" bestFit="1" customWidth="1"/>
    <col min="13581" max="13581" width="9.77734375" style="74" bestFit="1" customWidth="1"/>
    <col min="13582" max="13817" width="9" style="74"/>
    <col min="13818" max="13818" width="11.33203125" style="74" bestFit="1" customWidth="1"/>
    <col min="13819" max="13819" width="1.77734375" style="74" customWidth="1"/>
    <col min="13820" max="13820" width="42.33203125" style="74" bestFit="1" customWidth="1"/>
    <col min="13821" max="13821" width="2.77734375" style="74" customWidth="1"/>
    <col min="13822" max="13822" width="11" style="74" bestFit="1" customWidth="1"/>
    <col min="13823" max="13823" width="2.77734375" style="74" customWidth="1"/>
    <col min="13824" max="13824" width="12.109375" style="74" bestFit="1" customWidth="1"/>
    <col min="13825" max="13825" width="2.33203125" style="74" customWidth="1"/>
    <col min="13826" max="13826" width="11.21875" style="74" bestFit="1" customWidth="1"/>
    <col min="13827" max="13827" width="2.77734375" style="74" customWidth="1"/>
    <col min="13828" max="13828" width="11.33203125" style="74" bestFit="1" customWidth="1"/>
    <col min="13829" max="13829" width="2.33203125" style="74" customWidth="1"/>
    <col min="13830" max="13830" width="11" style="74" bestFit="1" customWidth="1"/>
    <col min="13831" max="13831" width="3.33203125" style="74" customWidth="1"/>
    <col min="13832" max="13832" width="10.77734375" style="74" bestFit="1" customWidth="1"/>
    <col min="13833" max="13833" width="3.109375" style="74" customWidth="1"/>
    <col min="13834" max="13834" width="11.21875" style="74" bestFit="1" customWidth="1"/>
    <col min="13835" max="13835" width="2.33203125" style="74" customWidth="1"/>
    <col min="13836" max="13836" width="11.33203125" style="74" bestFit="1" customWidth="1"/>
    <col min="13837" max="13837" width="9.77734375" style="74" bestFit="1" customWidth="1"/>
    <col min="13838" max="14073" width="9" style="74"/>
    <col min="14074" max="14074" width="11.33203125" style="74" bestFit="1" customWidth="1"/>
    <col min="14075" max="14075" width="1.77734375" style="74" customWidth="1"/>
    <col min="14076" max="14076" width="42.33203125" style="74" bestFit="1" customWidth="1"/>
    <col min="14077" max="14077" width="2.77734375" style="74" customWidth="1"/>
    <col min="14078" max="14078" width="11" style="74" bestFit="1" customWidth="1"/>
    <col min="14079" max="14079" width="2.77734375" style="74" customWidth="1"/>
    <col min="14080" max="14080" width="12.109375" style="74" bestFit="1" customWidth="1"/>
    <col min="14081" max="14081" width="2.33203125" style="74" customWidth="1"/>
    <col min="14082" max="14082" width="11.21875" style="74" bestFit="1" customWidth="1"/>
    <col min="14083" max="14083" width="2.77734375" style="74" customWidth="1"/>
    <col min="14084" max="14084" width="11.33203125" style="74" bestFit="1" customWidth="1"/>
    <col min="14085" max="14085" width="2.33203125" style="74" customWidth="1"/>
    <col min="14086" max="14086" width="11" style="74" bestFit="1" customWidth="1"/>
    <col min="14087" max="14087" width="3.33203125" style="74" customWidth="1"/>
    <col min="14088" max="14088" width="10.77734375" style="74" bestFit="1" customWidth="1"/>
    <col min="14089" max="14089" width="3.109375" style="74" customWidth="1"/>
    <col min="14090" max="14090" width="11.21875" style="74" bestFit="1" customWidth="1"/>
    <col min="14091" max="14091" width="2.33203125" style="74" customWidth="1"/>
    <col min="14092" max="14092" width="11.33203125" style="74" bestFit="1" customWidth="1"/>
    <col min="14093" max="14093" width="9.77734375" style="74" bestFit="1" customWidth="1"/>
    <col min="14094" max="14329" width="9" style="74"/>
    <col min="14330" max="14330" width="11.33203125" style="74" bestFit="1" customWidth="1"/>
    <col min="14331" max="14331" width="1.77734375" style="74" customWidth="1"/>
    <col min="14332" max="14332" width="42.33203125" style="74" bestFit="1" customWidth="1"/>
    <col min="14333" max="14333" width="2.77734375" style="74" customWidth="1"/>
    <col min="14334" max="14334" width="11" style="74" bestFit="1" customWidth="1"/>
    <col min="14335" max="14335" width="2.77734375" style="74" customWidth="1"/>
    <col min="14336" max="14336" width="12.109375" style="74" bestFit="1" customWidth="1"/>
    <col min="14337" max="14337" width="2.33203125" style="74" customWidth="1"/>
    <col min="14338" max="14338" width="11.21875" style="74" bestFit="1" customWidth="1"/>
    <col min="14339" max="14339" width="2.77734375" style="74" customWidth="1"/>
    <col min="14340" max="14340" width="11.33203125" style="74" bestFit="1" customWidth="1"/>
    <col min="14341" max="14341" width="2.33203125" style="74" customWidth="1"/>
    <col min="14342" max="14342" width="11" style="74" bestFit="1" customWidth="1"/>
    <col min="14343" max="14343" width="3.33203125" style="74" customWidth="1"/>
    <col min="14344" max="14344" width="10.77734375" style="74" bestFit="1" customWidth="1"/>
    <col min="14345" max="14345" width="3.109375" style="74" customWidth="1"/>
    <col min="14346" max="14346" width="11.21875" style="74" bestFit="1" customWidth="1"/>
    <col min="14347" max="14347" width="2.33203125" style="74" customWidth="1"/>
    <col min="14348" max="14348" width="11.33203125" style="74" bestFit="1" customWidth="1"/>
    <col min="14349" max="14349" width="9.77734375" style="74" bestFit="1" customWidth="1"/>
    <col min="14350" max="14585" width="9" style="74"/>
    <col min="14586" max="14586" width="11.33203125" style="74" bestFit="1" customWidth="1"/>
    <col min="14587" max="14587" width="1.77734375" style="74" customWidth="1"/>
    <col min="14588" max="14588" width="42.33203125" style="74" bestFit="1" customWidth="1"/>
    <col min="14589" max="14589" width="2.77734375" style="74" customWidth="1"/>
    <col min="14590" max="14590" width="11" style="74" bestFit="1" customWidth="1"/>
    <col min="14591" max="14591" width="2.77734375" style="74" customWidth="1"/>
    <col min="14592" max="14592" width="12.109375" style="74" bestFit="1" customWidth="1"/>
    <col min="14593" max="14593" width="2.33203125" style="74" customWidth="1"/>
    <col min="14594" max="14594" width="11.21875" style="74" bestFit="1" customWidth="1"/>
    <col min="14595" max="14595" width="2.77734375" style="74" customWidth="1"/>
    <col min="14596" max="14596" width="11.33203125" style="74" bestFit="1" customWidth="1"/>
    <col min="14597" max="14597" width="2.33203125" style="74" customWidth="1"/>
    <col min="14598" max="14598" width="11" style="74" bestFit="1" customWidth="1"/>
    <col min="14599" max="14599" width="3.33203125" style="74" customWidth="1"/>
    <col min="14600" max="14600" width="10.77734375" style="74" bestFit="1" customWidth="1"/>
    <col min="14601" max="14601" width="3.109375" style="74" customWidth="1"/>
    <col min="14602" max="14602" width="11.21875" style="74" bestFit="1" customWidth="1"/>
    <col min="14603" max="14603" width="2.33203125" style="74" customWidth="1"/>
    <col min="14604" max="14604" width="11.33203125" style="74" bestFit="1" customWidth="1"/>
    <col min="14605" max="14605" width="9.77734375" style="74" bestFit="1" customWidth="1"/>
    <col min="14606" max="14841" width="9" style="74"/>
    <col min="14842" max="14842" width="11.33203125" style="74" bestFit="1" customWidth="1"/>
    <col min="14843" max="14843" width="1.77734375" style="74" customWidth="1"/>
    <col min="14844" max="14844" width="42.33203125" style="74" bestFit="1" customWidth="1"/>
    <col min="14845" max="14845" width="2.77734375" style="74" customWidth="1"/>
    <col min="14846" max="14846" width="11" style="74" bestFit="1" customWidth="1"/>
    <col min="14847" max="14847" width="2.77734375" style="74" customWidth="1"/>
    <col min="14848" max="14848" width="12.109375" style="74" bestFit="1" customWidth="1"/>
    <col min="14849" max="14849" width="2.33203125" style="74" customWidth="1"/>
    <col min="14850" max="14850" width="11.21875" style="74" bestFit="1" customWidth="1"/>
    <col min="14851" max="14851" width="2.77734375" style="74" customWidth="1"/>
    <col min="14852" max="14852" width="11.33203125" style="74" bestFit="1" customWidth="1"/>
    <col min="14853" max="14853" width="2.33203125" style="74" customWidth="1"/>
    <col min="14854" max="14854" width="11" style="74" bestFit="1" customWidth="1"/>
    <col min="14855" max="14855" width="3.33203125" style="74" customWidth="1"/>
    <col min="14856" max="14856" width="10.77734375" style="74" bestFit="1" customWidth="1"/>
    <col min="14857" max="14857" width="3.109375" style="74" customWidth="1"/>
    <col min="14858" max="14858" width="11.21875" style="74" bestFit="1" customWidth="1"/>
    <col min="14859" max="14859" width="2.33203125" style="74" customWidth="1"/>
    <col min="14860" max="14860" width="11.33203125" style="74" bestFit="1" customWidth="1"/>
    <col min="14861" max="14861" width="9.77734375" style="74" bestFit="1" customWidth="1"/>
    <col min="14862" max="15097" width="9" style="74"/>
    <col min="15098" max="15098" width="11.33203125" style="74" bestFit="1" customWidth="1"/>
    <col min="15099" max="15099" width="1.77734375" style="74" customWidth="1"/>
    <col min="15100" max="15100" width="42.33203125" style="74" bestFit="1" customWidth="1"/>
    <col min="15101" max="15101" width="2.77734375" style="74" customWidth="1"/>
    <col min="15102" max="15102" width="11" style="74" bestFit="1" customWidth="1"/>
    <col min="15103" max="15103" width="2.77734375" style="74" customWidth="1"/>
    <col min="15104" max="15104" width="12.109375" style="74" bestFit="1" customWidth="1"/>
    <col min="15105" max="15105" width="2.33203125" style="74" customWidth="1"/>
    <col min="15106" max="15106" width="11.21875" style="74" bestFit="1" customWidth="1"/>
    <col min="15107" max="15107" width="2.77734375" style="74" customWidth="1"/>
    <col min="15108" max="15108" width="11.33203125" style="74" bestFit="1" customWidth="1"/>
    <col min="15109" max="15109" width="2.33203125" style="74" customWidth="1"/>
    <col min="15110" max="15110" width="11" style="74" bestFit="1" customWidth="1"/>
    <col min="15111" max="15111" width="3.33203125" style="74" customWidth="1"/>
    <col min="15112" max="15112" width="10.77734375" style="74" bestFit="1" customWidth="1"/>
    <col min="15113" max="15113" width="3.109375" style="74" customWidth="1"/>
    <col min="15114" max="15114" width="11.21875" style="74" bestFit="1" customWidth="1"/>
    <col min="15115" max="15115" width="2.33203125" style="74" customWidth="1"/>
    <col min="15116" max="15116" width="11.33203125" style="74" bestFit="1" customWidth="1"/>
    <col min="15117" max="15117" width="9.77734375" style="74" bestFit="1" customWidth="1"/>
    <col min="15118" max="15353" width="9" style="74"/>
    <col min="15354" max="15354" width="11.33203125" style="74" bestFit="1" customWidth="1"/>
    <col min="15355" max="15355" width="1.77734375" style="74" customWidth="1"/>
    <col min="15356" max="15356" width="42.33203125" style="74" bestFit="1" customWidth="1"/>
    <col min="15357" max="15357" width="2.77734375" style="74" customWidth="1"/>
    <col min="15358" max="15358" width="11" style="74" bestFit="1" customWidth="1"/>
    <col min="15359" max="15359" width="2.77734375" style="74" customWidth="1"/>
    <col min="15360" max="15360" width="12.109375" style="74" bestFit="1" customWidth="1"/>
    <col min="15361" max="15361" width="2.33203125" style="74" customWidth="1"/>
    <col min="15362" max="15362" width="11.21875" style="74" bestFit="1" customWidth="1"/>
    <col min="15363" max="15363" width="2.77734375" style="74" customWidth="1"/>
    <col min="15364" max="15364" width="11.33203125" style="74" bestFit="1" customWidth="1"/>
    <col min="15365" max="15365" width="2.33203125" style="74" customWidth="1"/>
    <col min="15366" max="15366" width="11" style="74" bestFit="1" customWidth="1"/>
    <col min="15367" max="15367" width="3.33203125" style="74" customWidth="1"/>
    <col min="15368" max="15368" width="10.77734375" style="74" bestFit="1" customWidth="1"/>
    <col min="15369" max="15369" width="3.109375" style="74" customWidth="1"/>
    <col min="15370" max="15370" width="11.21875" style="74" bestFit="1" customWidth="1"/>
    <col min="15371" max="15371" width="2.33203125" style="74" customWidth="1"/>
    <col min="15372" max="15372" width="11.33203125" style="74" bestFit="1" customWidth="1"/>
    <col min="15373" max="15373" width="9.77734375" style="74" bestFit="1" customWidth="1"/>
    <col min="15374" max="15609" width="9" style="74"/>
    <col min="15610" max="15610" width="11.33203125" style="74" bestFit="1" customWidth="1"/>
    <col min="15611" max="15611" width="1.77734375" style="74" customWidth="1"/>
    <col min="15612" max="15612" width="42.33203125" style="74" bestFit="1" customWidth="1"/>
    <col min="15613" max="15613" width="2.77734375" style="74" customWidth="1"/>
    <col min="15614" max="15614" width="11" style="74" bestFit="1" customWidth="1"/>
    <col min="15615" max="15615" width="2.77734375" style="74" customWidth="1"/>
    <col min="15616" max="15616" width="12.109375" style="74" bestFit="1" customWidth="1"/>
    <col min="15617" max="15617" width="2.33203125" style="74" customWidth="1"/>
    <col min="15618" max="15618" width="11.21875" style="74" bestFit="1" customWidth="1"/>
    <col min="15619" max="15619" width="2.77734375" style="74" customWidth="1"/>
    <col min="15620" max="15620" width="11.33203125" style="74" bestFit="1" customWidth="1"/>
    <col min="15621" max="15621" width="2.33203125" style="74" customWidth="1"/>
    <col min="15622" max="15622" width="11" style="74" bestFit="1" customWidth="1"/>
    <col min="15623" max="15623" width="3.33203125" style="74" customWidth="1"/>
    <col min="15624" max="15624" width="10.77734375" style="74" bestFit="1" customWidth="1"/>
    <col min="15625" max="15625" width="3.109375" style="74" customWidth="1"/>
    <col min="15626" max="15626" width="11.21875" style="74" bestFit="1" customWidth="1"/>
    <col min="15627" max="15627" width="2.33203125" style="74" customWidth="1"/>
    <col min="15628" max="15628" width="11.33203125" style="74" bestFit="1" customWidth="1"/>
    <col min="15629" max="15629" width="9.77734375" style="74" bestFit="1" customWidth="1"/>
    <col min="15630" max="15865" width="9" style="74"/>
    <col min="15866" max="15866" width="11.33203125" style="74" bestFit="1" customWidth="1"/>
    <col min="15867" max="15867" width="1.77734375" style="74" customWidth="1"/>
    <col min="15868" max="15868" width="42.33203125" style="74" bestFit="1" customWidth="1"/>
    <col min="15869" max="15869" width="2.77734375" style="74" customWidth="1"/>
    <col min="15870" max="15870" width="11" style="74" bestFit="1" customWidth="1"/>
    <col min="15871" max="15871" width="2.77734375" style="74" customWidth="1"/>
    <col min="15872" max="15872" width="12.109375" style="74" bestFit="1" customWidth="1"/>
    <col min="15873" max="15873" width="2.33203125" style="74" customWidth="1"/>
    <col min="15874" max="15874" width="11.21875" style="74" bestFit="1" customWidth="1"/>
    <col min="15875" max="15875" width="2.77734375" style="74" customWidth="1"/>
    <col min="15876" max="15876" width="11.33203125" style="74" bestFit="1" customWidth="1"/>
    <col min="15877" max="15877" width="2.33203125" style="74" customWidth="1"/>
    <col min="15878" max="15878" width="11" style="74" bestFit="1" customWidth="1"/>
    <col min="15879" max="15879" width="3.33203125" style="74" customWidth="1"/>
    <col min="15880" max="15880" width="10.77734375" style="74" bestFit="1" customWidth="1"/>
    <col min="15881" max="15881" width="3.109375" style="74" customWidth="1"/>
    <col min="15882" max="15882" width="11.21875" style="74" bestFit="1" customWidth="1"/>
    <col min="15883" max="15883" width="2.33203125" style="74" customWidth="1"/>
    <col min="15884" max="15884" width="11.33203125" style="74" bestFit="1" customWidth="1"/>
    <col min="15885" max="15885" width="9.77734375" style="74" bestFit="1" customWidth="1"/>
    <col min="15886" max="16121" width="9" style="74"/>
    <col min="16122" max="16122" width="11.33203125" style="74" bestFit="1" customWidth="1"/>
    <col min="16123" max="16123" width="1.77734375" style="74" customWidth="1"/>
    <col min="16124" max="16124" width="42.33203125" style="74" bestFit="1" customWidth="1"/>
    <col min="16125" max="16125" width="2.77734375" style="74" customWidth="1"/>
    <col min="16126" max="16126" width="11" style="74" bestFit="1" customWidth="1"/>
    <col min="16127" max="16127" width="2.77734375" style="74" customWidth="1"/>
    <col min="16128" max="16128" width="12.109375" style="74" bestFit="1" customWidth="1"/>
    <col min="16129" max="16129" width="2.33203125" style="74" customWidth="1"/>
    <col min="16130" max="16130" width="11.21875" style="74" bestFit="1" customWidth="1"/>
    <col min="16131" max="16131" width="2.77734375" style="74" customWidth="1"/>
    <col min="16132" max="16132" width="11.33203125" style="74" bestFit="1" customWidth="1"/>
    <col min="16133" max="16133" width="2.33203125" style="74" customWidth="1"/>
    <col min="16134" max="16134" width="11" style="74" bestFit="1" customWidth="1"/>
    <col min="16135" max="16135" width="3.33203125" style="74" customWidth="1"/>
    <col min="16136" max="16136" width="10.77734375" style="74" bestFit="1" customWidth="1"/>
    <col min="16137" max="16137" width="3.109375" style="74" customWidth="1"/>
    <col min="16138" max="16138" width="11.21875" style="74" bestFit="1" customWidth="1"/>
    <col min="16139" max="16139" width="2.33203125" style="74" customWidth="1"/>
    <col min="16140" max="16140" width="11.33203125" style="74" bestFit="1" customWidth="1"/>
    <col min="16141" max="16141" width="9.77734375" style="74" bestFit="1" customWidth="1"/>
    <col min="16142" max="16384" width="9" style="74"/>
  </cols>
  <sheetData>
    <row r="1" spans="1:18" s="83" customFormat="1" ht="15.6">
      <c r="A1" s="420"/>
      <c r="K1" s="72"/>
      <c r="L1" s="72"/>
    </row>
    <row r="2" spans="1:18" s="421" customFormat="1" ht="17.399999999999999">
      <c r="B2" s="218"/>
      <c r="C2" s="218"/>
      <c r="D2" s="218"/>
      <c r="E2" s="218"/>
      <c r="F2" s="218"/>
    </row>
    <row r="3" spans="1:18" s="421" customFormat="1" ht="17.399999999999999">
      <c r="A3" s="221"/>
      <c r="B3" s="218"/>
      <c r="C3" s="218"/>
      <c r="D3" s="218"/>
      <c r="E3" s="218"/>
      <c r="F3" s="218"/>
      <c r="J3" s="422"/>
      <c r="K3" s="423"/>
      <c r="L3" s="423"/>
    </row>
    <row r="4" spans="1:18" s="421" customFormat="1" ht="17.399999999999999">
      <c r="A4" s="1463" t="s">
        <v>0</v>
      </c>
      <c r="B4" s="1463"/>
      <c r="C4" s="1463"/>
      <c r="D4" s="1463"/>
      <c r="E4" s="1463"/>
      <c r="F4" s="1463"/>
      <c r="G4" s="1463"/>
      <c r="H4" s="1463"/>
      <c r="I4" s="1463"/>
      <c r="J4" s="1463"/>
      <c r="K4" s="1463"/>
      <c r="L4" s="1463"/>
      <c r="M4" s="1463"/>
    </row>
    <row r="5" spans="1:18" s="421" customFormat="1" ht="17.399999999999999">
      <c r="A5" s="1463" t="s">
        <v>1</v>
      </c>
      <c r="B5" s="1463"/>
      <c r="C5" s="1463"/>
      <c r="D5" s="1463"/>
      <c r="E5" s="1463"/>
      <c r="F5" s="1463"/>
      <c r="G5" s="1463"/>
      <c r="H5" s="1463"/>
      <c r="I5" s="1463"/>
      <c r="J5" s="1463"/>
      <c r="K5" s="1463"/>
      <c r="L5" s="1463"/>
      <c r="M5" s="1463"/>
    </row>
    <row r="6" spans="1:18" s="421" customFormat="1" ht="17.399999999999999">
      <c r="A6" s="1464" t="str">
        <f>SUMMARY!A7</f>
        <v>YEAR ENDING DECEMBER 31, 2022</v>
      </c>
      <c r="B6" s="1464"/>
      <c r="C6" s="1464"/>
      <c r="D6" s="1464"/>
      <c r="E6" s="1464"/>
      <c r="F6" s="1464"/>
      <c r="G6" s="1464"/>
      <c r="H6" s="1464"/>
      <c r="I6" s="1464"/>
      <c r="J6" s="1464"/>
      <c r="K6" s="1464"/>
      <c r="L6" s="1464"/>
      <c r="M6" s="1464"/>
    </row>
    <row r="7" spans="1:18" s="421" customFormat="1" ht="17.399999999999999">
      <c r="A7" s="223"/>
      <c r="B7" s="218"/>
      <c r="C7" s="218"/>
      <c r="D7" s="218"/>
      <c r="E7" s="218"/>
      <c r="F7" s="218"/>
      <c r="G7" s="218"/>
      <c r="H7" s="218"/>
    </row>
    <row r="8" spans="1:18" s="421" customFormat="1" ht="17.399999999999999">
      <c r="A8" s="1463" t="s">
        <v>1696</v>
      </c>
      <c r="B8" s="1463"/>
      <c r="C8" s="1463"/>
      <c r="D8" s="1463"/>
      <c r="E8" s="1463"/>
      <c r="F8" s="1463"/>
      <c r="G8" s="1463"/>
      <c r="H8" s="1463"/>
      <c r="I8" s="1463"/>
      <c r="J8" s="1463"/>
      <c r="K8" s="1463"/>
      <c r="L8" s="1463"/>
      <c r="M8" s="1463"/>
    </row>
    <row r="9" spans="1:18" s="421" customFormat="1" ht="17.399999999999999">
      <c r="A9" s="1463" t="s">
        <v>80</v>
      </c>
      <c r="B9" s="1463"/>
      <c r="C9" s="1463"/>
      <c r="D9" s="1463"/>
      <c r="E9" s="1463"/>
      <c r="F9" s="1463"/>
      <c r="G9" s="1463"/>
      <c r="H9" s="1463"/>
      <c r="I9" s="1463"/>
      <c r="J9" s="1463"/>
      <c r="K9" s="1463"/>
      <c r="L9" s="1463"/>
      <c r="M9" s="1463"/>
    </row>
    <row r="10" spans="1:18" s="424" customFormat="1" ht="13.8"/>
    <row r="11" spans="1:18" s="424" customFormat="1" ht="13.8"/>
    <row r="12" spans="1:18" s="424" customFormat="1" ht="13.8"/>
    <row r="13" spans="1:18" s="83" customFormat="1" ht="15.6">
      <c r="D13" s="1513">
        <v>2022</v>
      </c>
      <c r="E13" s="1514"/>
      <c r="F13" s="1514"/>
      <c r="G13" s="1514"/>
      <c r="H13" s="1516"/>
      <c r="I13" s="1513">
        <v>2021</v>
      </c>
      <c r="J13" s="1514"/>
      <c r="K13" s="1514"/>
      <c r="L13" s="1516"/>
      <c r="M13" s="424"/>
      <c r="N13" s="425"/>
      <c r="O13" s="425"/>
      <c r="P13" s="425"/>
      <c r="Q13" s="425"/>
      <c r="R13" s="425"/>
    </row>
    <row r="14" spans="1:18" s="83" customFormat="1" ht="15.6">
      <c r="E14" s="426" t="s">
        <v>352</v>
      </c>
      <c r="F14" s="426" t="s">
        <v>353</v>
      </c>
      <c r="G14" s="426" t="s">
        <v>352</v>
      </c>
      <c r="H14" s="426" t="s">
        <v>305</v>
      </c>
      <c r="I14" s="426" t="s">
        <v>352</v>
      </c>
      <c r="J14" s="426" t="s">
        <v>353</v>
      </c>
      <c r="K14" s="426" t="s">
        <v>352</v>
      </c>
      <c r="L14" s="426" t="s">
        <v>305</v>
      </c>
    </row>
    <row r="15" spans="1:18" s="83" customFormat="1" ht="16.2" thickBot="1">
      <c r="B15" s="426" t="s">
        <v>1127</v>
      </c>
      <c r="E15" s="427" t="s">
        <v>355</v>
      </c>
      <c r="F15" s="427" t="s">
        <v>356</v>
      </c>
      <c r="G15" s="427" t="s">
        <v>1241</v>
      </c>
      <c r="H15" s="427" t="s">
        <v>358</v>
      </c>
      <c r="I15" s="427" t="s">
        <v>355</v>
      </c>
      <c r="J15" s="427" t="s">
        <v>356</v>
      </c>
      <c r="K15" s="427" t="s">
        <v>1241</v>
      </c>
      <c r="L15" s="427" t="s">
        <v>358</v>
      </c>
    </row>
    <row r="16" spans="1:18" s="83" customFormat="1" ht="15.6">
      <c r="B16" s="426"/>
      <c r="E16" s="428" t="s">
        <v>8</v>
      </c>
      <c r="F16" s="428" t="s">
        <v>9</v>
      </c>
      <c r="G16" s="428" t="s">
        <v>359</v>
      </c>
      <c r="H16" s="428" t="s">
        <v>360</v>
      </c>
      <c r="I16" s="428" t="s">
        <v>162</v>
      </c>
      <c r="J16" s="428" t="s">
        <v>163</v>
      </c>
      <c r="K16" s="428" t="s">
        <v>228</v>
      </c>
      <c r="L16" s="428" t="s">
        <v>361</v>
      </c>
    </row>
    <row r="17" spans="1:12" ht="15">
      <c r="A17" s="429" t="s">
        <v>167</v>
      </c>
      <c r="B17" s="358" t="s">
        <v>1697</v>
      </c>
      <c r="D17" s="358"/>
      <c r="E17" s="430">
        <v>50486953</v>
      </c>
      <c r="F17" s="430">
        <v>31642427</v>
      </c>
      <c r="G17" s="430">
        <v>18844526</v>
      </c>
      <c r="H17" s="430">
        <v>1819985</v>
      </c>
      <c r="I17" s="430">
        <v>50486953.469999999</v>
      </c>
      <c r="J17" s="431">
        <v>29822441.469999999</v>
      </c>
      <c r="K17" s="430">
        <v>20664512</v>
      </c>
      <c r="L17" s="430">
        <v>1682899</v>
      </c>
    </row>
    <row r="18" spans="1:12" ht="15">
      <c r="A18" s="429" t="s">
        <v>171</v>
      </c>
      <c r="B18" s="358" t="s">
        <v>1698</v>
      </c>
      <c r="D18" s="358"/>
      <c r="E18" s="430">
        <v>325736607</v>
      </c>
      <c r="F18" s="430">
        <v>101656458</v>
      </c>
      <c r="G18" s="430">
        <v>224080149</v>
      </c>
      <c r="H18" s="430">
        <v>8470054</v>
      </c>
      <c r="I18" s="430">
        <v>325068838.27999997</v>
      </c>
      <c r="J18" s="431">
        <v>93186404.280000001</v>
      </c>
      <c r="K18" s="430">
        <v>231882434</v>
      </c>
      <c r="L18" s="430">
        <v>6501377</v>
      </c>
    </row>
    <row r="19" spans="1:12" ht="15">
      <c r="A19" s="429" t="s">
        <v>174</v>
      </c>
      <c r="B19" s="358" t="s">
        <v>1699</v>
      </c>
      <c r="D19" s="358"/>
      <c r="E19" s="430">
        <v>104568703</v>
      </c>
      <c r="F19" s="430">
        <v>27994772</v>
      </c>
      <c r="G19" s="430">
        <v>76573931</v>
      </c>
      <c r="H19" s="430">
        <v>2723871</v>
      </c>
      <c r="I19" s="430">
        <v>104568703.38</v>
      </c>
      <c r="J19" s="431">
        <v>25270901.379999999</v>
      </c>
      <c r="K19" s="430">
        <v>79297802</v>
      </c>
      <c r="L19" s="430">
        <v>2074397.14</v>
      </c>
    </row>
    <row r="20" spans="1:12" ht="15">
      <c r="A20" s="429" t="s">
        <v>146</v>
      </c>
      <c r="B20" s="432"/>
      <c r="D20" s="358"/>
      <c r="E20" s="433"/>
      <c r="F20" s="433"/>
      <c r="G20" s="433"/>
      <c r="H20" s="433"/>
      <c r="I20" s="433"/>
      <c r="J20" s="433"/>
      <c r="K20" s="433"/>
      <c r="L20" s="430"/>
    </row>
    <row r="21" spans="1:12" s="436" customFormat="1" ht="13.8" thickBot="1">
      <c r="A21" s="434">
        <v>1</v>
      </c>
      <c r="B21" s="434"/>
      <c r="C21" s="434"/>
      <c r="D21" s="435"/>
      <c r="E21" s="435">
        <f t="shared" ref="E21:K21" si="0">SUM(E17:E20)</f>
        <v>480792263</v>
      </c>
      <c r="F21" s="435">
        <f t="shared" si="0"/>
        <v>161293657</v>
      </c>
      <c r="G21" s="435">
        <f t="shared" si="0"/>
        <v>319498606</v>
      </c>
      <c r="H21" s="435">
        <f t="shared" si="0"/>
        <v>13013910</v>
      </c>
      <c r="I21" s="435">
        <f t="shared" si="0"/>
        <v>480124495.13</v>
      </c>
      <c r="J21" s="435">
        <f t="shared" si="0"/>
        <v>148279747.13</v>
      </c>
      <c r="K21" s="435">
        <f t="shared" si="0"/>
        <v>331844748</v>
      </c>
      <c r="L21" s="435">
        <f t="shared" ref="L21" si="1">SUM(L17:L19)</f>
        <v>10258673.140000001</v>
      </c>
    </row>
    <row r="22" spans="1:12" ht="13.8" thickTop="1">
      <c r="E22" s="437"/>
      <c r="F22" s="437"/>
      <c r="G22" s="437"/>
      <c r="H22" s="437"/>
      <c r="I22" s="437"/>
      <c r="J22" s="437"/>
      <c r="K22" s="437"/>
      <c r="L22" s="437"/>
    </row>
    <row r="23" spans="1:12" s="83" customFormat="1" ht="15.6">
      <c r="B23" s="426" t="s">
        <v>1700</v>
      </c>
      <c r="E23" s="438"/>
      <c r="F23" s="439"/>
      <c r="G23" s="438"/>
      <c r="H23" s="438"/>
      <c r="I23" s="438"/>
      <c r="J23" s="439"/>
      <c r="K23" s="438"/>
      <c r="L23" s="438"/>
    </row>
    <row r="24" spans="1:12">
      <c r="A24" s="74" t="s">
        <v>769</v>
      </c>
      <c r="B24" s="358" t="s">
        <v>1697</v>
      </c>
      <c r="D24" s="358"/>
      <c r="E24" s="440">
        <v>98278449</v>
      </c>
      <c r="F24" s="440">
        <v>49746344</v>
      </c>
      <c r="G24" s="440">
        <v>48532105</v>
      </c>
      <c r="H24" s="440">
        <v>2706387</v>
      </c>
      <c r="I24" s="440">
        <v>97609417.209999993</v>
      </c>
      <c r="J24" s="431">
        <v>47039956.210000001</v>
      </c>
      <c r="K24" s="440">
        <v>50569461</v>
      </c>
      <c r="L24" s="430">
        <v>3185424.27</v>
      </c>
    </row>
    <row r="25" spans="1:12">
      <c r="A25" s="74" t="s">
        <v>771</v>
      </c>
      <c r="B25" s="358" t="s">
        <v>1701</v>
      </c>
      <c r="D25" s="358"/>
      <c r="E25" s="440">
        <v>24602050</v>
      </c>
      <c r="F25" s="440">
        <v>8349620</v>
      </c>
      <c r="G25" s="440">
        <v>16252430</v>
      </c>
      <c r="H25" s="440">
        <v>435960</v>
      </c>
      <c r="I25" s="440">
        <v>24602050</v>
      </c>
      <c r="J25" s="431">
        <v>7913660</v>
      </c>
      <c r="K25" s="440">
        <v>16688390</v>
      </c>
      <c r="L25" s="430">
        <v>492041</v>
      </c>
    </row>
    <row r="26" spans="1:12">
      <c r="A26" s="74" t="s">
        <v>773</v>
      </c>
      <c r="B26" s="358" t="s">
        <v>1702</v>
      </c>
      <c r="D26" s="358"/>
      <c r="E26" s="440">
        <v>32900000</v>
      </c>
      <c r="F26" s="440">
        <v>11170522</v>
      </c>
      <c r="G26" s="440">
        <v>21729478</v>
      </c>
      <c r="H26" s="440">
        <v>583004</v>
      </c>
      <c r="I26" s="440">
        <v>32900000</v>
      </c>
      <c r="J26" s="431">
        <v>10587518</v>
      </c>
      <c r="K26" s="440">
        <v>22312482</v>
      </c>
      <c r="L26" s="430">
        <v>658000</v>
      </c>
    </row>
    <row r="27" spans="1:12">
      <c r="A27" s="74" t="s">
        <v>775</v>
      </c>
      <c r="B27" s="358" t="s">
        <v>1703</v>
      </c>
      <c r="D27" s="358"/>
      <c r="E27" s="440">
        <v>6412288</v>
      </c>
      <c r="F27" s="440">
        <v>2134250</v>
      </c>
      <c r="G27" s="440">
        <v>4278038</v>
      </c>
      <c r="H27" s="440">
        <v>113630</v>
      </c>
      <c r="I27" s="431">
        <v>6412288.1600000001</v>
      </c>
      <c r="J27" s="431">
        <v>2020620.16</v>
      </c>
      <c r="K27" s="440">
        <v>4391668</v>
      </c>
      <c r="L27" s="430">
        <v>128246</v>
      </c>
    </row>
    <row r="28" spans="1:12">
      <c r="A28" s="74" t="s">
        <v>777</v>
      </c>
      <c r="B28" s="358" t="s">
        <v>1704</v>
      </c>
      <c r="D28" s="358"/>
      <c r="E28" s="440">
        <v>16320373</v>
      </c>
      <c r="F28" s="440">
        <v>5379961</v>
      </c>
      <c r="G28" s="440">
        <v>10940412</v>
      </c>
      <c r="H28" s="440">
        <v>289205</v>
      </c>
      <c r="I28" s="431">
        <v>16320373.34</v>
      </c>
      <c r="J28" s="431">
        <v>5090755.34</v>
      </c>
      <c r="K28" s="440">
        <v>11229618</v>
      </c>
      <c r="L28" s="430">
        <v>326408</v>
      </c>
    </row>
    <row r="29" spans="1:12">
      <c r="A29" s="74" t="s">
        <v>779</v>
      </c>
      <c r="B29" s="358" t="s">
        <v>1705</v>
      </c>
      <c r="D29" s="358"/>
      <c r="E29" s="440">
        <v>11586629</v>
      </c>
      <c r="F29" s="440">
        <v>3677980</v>
      </c>
      <c r="G29" s="440">
        <v>7908649</v>
      </c>
      <c r="H29" s="440">
        <v>219608</v>
      </c>
      <c r="I29" s="431">
        <v>11314793.439999999</v>
      </c>
      <c r="J29" s="431">
        <v>3458371.44</v>
      </c>
      <c r="K29" s="431">
        <v>7856422</v>
      </c>
      <c r="L29" s="430">
        <v>237366.51</v>
      </c>
    </row>
    <row r="30" spans="1:12">
      <c r="A30" s="74" t="s">
        <v>781</v>
      </c>
      <c r="B30" s="358" t="s">
        <v>1706</v>
      </c>
      <c r="D30" s="358"/>
      <c r="E30" s="440">
        <v>11644799</v>
      </c>
      <c r="F30" s="440">
        <v>4088895</v>
      </c>
      <c r="G30" s="440">
        <v>7555904</v>
      </c>
      <c r="H30" s="440">
        <v>319874</v>
      </c>
      <c r="I30" s="430">
        <v>11535674.01</v>
      </c>
      <c r="J30" s="431">
        <v>3769021.01</v>
      </c>
      <c r="K30" s="430">
        <v>7766653</v>
      </c>
      <c r="L30" s="430">
        <v>334421.5</v>
      </c>
    </row>
    <row r="31" spans="1:12">
      <c r="A31" s="74" t="s">
        <v>783</v>
      </c>
      <c r="B31" s="358" t="s">
        <v>1707</v>
      </c>
      <c r="D31" s="358"/>
      <c r="E31" s="440">
        <v>6865737</v>
      </c>
      <c r="F31" s="440">
        <v>1306367</v>
      </c>
      <c r="G31" s="440">
        <v>5559370</v>
      </c>
      <c r="H31" s="440">
        <v>533609</v>
      </c>
      <c r="I31" s="430">
        <v>6865737.2800000003</v>
      </c>
      <c r="J31" s="431">
        <v>772758.28</v>
      </c>
      <c r="K31" s="430">
        <v>6092979</v>
      </c>
      <c r="L31" s="430">
        <v>414986.55</v>
      </c>
    </row>
    <row r="32" spans="1:12">
      <c r="A32" s="74" t="s">
        <v>146</v>
      </c>
      <c r="B32" s="358"/>
      <c r="D32" s="358"/>
      <c r="E32" s="433"/>
      <c r="F32" s="433"/>
      <c r="G32" s="433"/>
      <c r="H32" s="433"/>
      <c r="I32" s="433"/>
      <c r="J32" s="433"/>
      <c r="K32" s="433"/>
      <c r="L32" s="430"/>
    </row>
    <row r="33" spans="1:13" s="436" customFormat="1" ht="13.8" thickBot="1">
      <c r="A33" s="434">
        <v>2</v>
      </c>
      <c r="B33" s="434"/>
      <c r="C33" s="434"/>
      <c r="D33" s="311"/>
      <c r="E33" s="435">
        <f t="shared" ref="E33:K33" si="2">SUM(E24:E32)</f>
        <v>208610325</v>
      </c>
      <c r="F33" s="435">
        <f t="shared" si="2"/>
        <v>85853939</v>
      </c>
      <c r="G33" s="435">
        <f t="shared" si="2"/>
        <v>122756386</v>
      </c>
      <c r="H33" s="435">
        <f t="shared" si="2"/>
        <v>5201277</v>
      </c>
      <c r="I33" s="435">
        <f t="shared" si="2"/>
        <v>207560333.43999997</v>
      </c>
      <c r="J33" s="435">
        <f t="shared" si="2"/>
        <v>80652660.440000013</v>
      </c>
      <c r="K33" s="435">
        <f t="shared" si="2"/>
        <v>126907673</v>
      </c>
      <c r="L33" s="435">
        <f>SUM(L24:L31)</f>
        <v>5776893.8299999991</v>
      </c>
    </row>
    <row r="34" spans="1:13" s="436" customFormat="1" ht="13.8" thickTop="1">
      <c r="A34" s="434"/>
      <c r="B34" s="434"/>
      <c r="C34" s="434"/>
      <c r="D34" s="311"/>
      <c r="E34" s="441"/>
      <c r="F34" s="441"/>
      <c r="G34" s="441"/>
      <c r="H34" s="441"/>
      <c r="I34" s="441"/>
      <c r="J34" s="441"/>
      <c r="K34" s="441"/>
      <c r="L34" s="441"/>
    </row>
    <row r="35" spans="1:13" s="83" customFormat="1" ht="15.6">
      <c r="B35" s="426" t="s">
        <v>1708</v>
      </c>
      <c r="E35" s="438"/>
      <c r="F35" s="439"/>
      <c r="G35" s="438"/>
      <c r="H35" s="438"/>
      <c r="I35" s="438"/>
      <c r="J35" s="439"/>
      <c r="K35" s="438"/>
      <c r="L35" s="438"/>
    </row>
    <row r="36" spans="1:13">
      <c r="A36" s="74" t="s">
        <v>183</v>
      </c>
      <c r="B36" s="358" t="s">
        <v>1709</v>
      </c>
      <c r="D36" s="358"/>
      <c r="E36" s="440">
        <v>11240123</v>
      </c>
      <c r="F36" s="440">
        <v>2209205</v>
      </c>
      <c r="G36" s="440">
        <v>9030918</v>
      </c>
      <c r="H36" s="440">
        <v>418234</v>
      </c>
      <c r="I36" s="440">
        <v>11123947.460000001</v>
      </c>
      <c r="J36" s="431">
        <v>1790971.46</v>
      </c>
      <c r="K36" s="440">
        <v>9332976</v>
      </c>
      <c r="L36" s="430">
        <v>363417.56</v>
      </c>
    </row>
    <row r="37" spans="1:13">
      <c r="A37" s="74" t="s">
        <v>185</v>
      </c>
      <c r="B37" s="358" t="s">
        <v>1710</v>
      </c>
      <c r="D37" s="358"/>
      <c r="E37" s="440">
        <v>23730000</v>
      </c>
      <c r="F37" s="440">
        <v>1928091</v>
      </c>
      <c r="G37" s="440">
        <v>21801909</v>
      </c>
      <c r="H37" s="440">
        <v>653854</v>
      </c>
      <c r="I37" s="440">
        <v>23730000</v>
      </c>
      <c r="J37" s="431">
        <v>1274237</v>
      </c>
      <c r="K37" s="440">
        <v>22455763</v>
      </c>
      <c r="L37" s="430">
        <v>480769</v>
      </c>
    </row>
    <row r="38" spans="1:13">
      <c r="A38" s="74" t="s">
        <v>188</v>
      </c>
      <c r="B38" s="358" t="s">
        <v>2064</v>
      </c>
      <c r="D38" s="358"/>
      <c r="E38" s="440">
        <v>3079709</v>
      </c>
      <c r="F38" s="440">
        <v>106991</v>
      </c>
      <c r="G38" s="440">
        <v>2972718</v>
      </c>
      <c r="H38" s="440">
        <v>78790</v>
      </c>
      <c r="I38" s="430">
        <v>2820021</v>
      </c>
      <c r="J38" s="431">
        <v>28201</v>
      </c>
      <c r="K38" s="430">
        <v>2791820</v>
      </c>
      <c r="L38" s="430">
        <v>28201</v>
      </c>
    </row>
    <row r="39" spans="1:13">
      <c r="A39" s="74" t="s">
        <v>191</v>
      </c>
      <c r="B39" s="358" t="s">
        <v>2065</v>
      </c>
      <c r="D39" s="358"/>
      <c r="E39" s="440">
        <v>1231356</v>
      </c>
      <c r="F39" s="440">
        <v>39025</v>
      </c>
      <c r="G39" s="440">
        <v>1192331</v>
      </c>
      <c r="H39" s="440">
        <v>28874</v>
      </c>
      <c r="I39" s="433">
        <v>1015009</v>
      </c>
      <c r="J39" s="433">
        <v>10151</v>
      </c>
      <c r="K39" s="433">
        <v>1004858</v>
      </c>
      <c r="L39" s="430">
        <v>10151</v>
      </c>
    </row>
    <row r="40" spans="1:13">
      <c r="A40" s="74" t="s">
        <v>146</v>
      </c>
      <c r="B40" s="358"/>
      <c r="D40" s="358"/>
      <c r="E40" s="440"/>
      <c r="F40" s="440"/>
      <c r="G40" s="440"/>
      <c r="H40" s="440"/>
      <c r="I40" s="433"/>
      <c r="J40" s="433"/>
      <c r="K40" s="433"/>
      <c r="L40" s="430"/>
    </row>
    <row r="41" spans="1:13" s="436" customFormat="1" ht="13.8" thickBot="1">
      <c r="A41" s="434">
        <v>3</v>
      </c>
      <c r="B41" s="434"/>
      <c r="C41" s="434"/>
      <c r="D41" s="311"/>
      <c r="E41" s="435">
        <f>SUM(E36:E40)</f>
        <v>39281188</v>
      </c>
      <c r="F41" s="435">
        <f t="shared" ref="F41:L41" si="3">SUM(F36:F40)</f>
        <v>4283312</v>
      </c>
      <c r="G41" s="435">
        <f t="shared" si="3"/>
        <v>34997876</v>
      </c>
      <c r="H41" s="435">
        <f t="shared" si="3"/>
        <v>1179752</v>
      </c>
      <c r="I41" s="435">
        <f t="shared" si="3"/>
        <v>38688977.460000001</v>
      </c>
      <c r="J41" s="435">
        <f t="shared" si="3"/>
        <v>3103560.46</v>
      </c>
      <c r="K41" s="435">
        <f t="shared" si="3"/>
        <v>35585417</v>
      </c>
      <c r="L41" s="435">
        <f t="shared" si="3"/>
        <v>882538.56</v>
      </c>
    </row>
    <row r="42" spans="1:13" s="436" customFormat="1" ht="13.8" thickTop="1">
      <c r="A42" s="434"/>
      <c r="B42" s="434"/>
      <c r="C42" s="434"/>
      <c r="D42" s="311"/>
      <c r="E42" s="441"/>
      <c r="F42" s="441"/>
      <c r="G42" s="441"/>
      <c r="H42" s="441"/>
      <c r="I42" s="441"/>
      <c r="J42" s="441"/>
      <c r="K42" s="441"/>
      <c r="L42" s="441"/>
    </row>
    <row r="43" spans="1:13" s="436" customFormat="1" ht="15.6">
      <c r="A43" s="83"/>
      <c r="B43" s="442"/>
      <c r="C43" s="83"/>
      <c r="D43" s="83"/>
      <c r="E43" s="438"/>
      <c r="F43" s="439"/>
      <c r="G43" s="438"/>
      <c r="H43" s="438"/>
      <c r="I43" s="438"/>
      <c r="J43" s="439"/>
      <c r="K43" s="438"/>
      <c r="L43" s="438"/>
    </row>
    <row r="44" spans="1:13">
      <c r="A44" s="74" t="s">
        <v>861</v>
      </c>
      <c r="B44" s="358"/>
      <c r="D44" s="358"/>
      <c r="E44" s="440"/>
      <c r="F44" s="431"/>
      <c r="G44" s="431"/>
      <c r="H44" s="430"/>
      <c r="I44" s="440"/>
      <c r="J44" s="431"/>
      <c r="K44" s="440"/>
      <c r="L44" s="430"/>
    </row>
    <row r="45" spans="1:13" s="83" customFormat="1" ht="15">
      <c r="A45" s="74" t="s">
        <v>146</v>
      </c>
      <c r="B45" s="358"/>
      <c r="C45" s="74"/>
      <c r="D45" s="358"/>
      <c r="E45" s="440"/>
      <c r="F45" s="431"/>
      <c r="G45" s="431"/>
      <c r="H45" s="430"/>
      <c r="I45" s="440"/>
      <c r="J45" s="431"/>
      <c r="K45" s="440"/>
      <c r="L45" s="430"/>
      <c r="M45" s="443"/>
    </row>
    <row r="46" spans="1:13">
      <c r="A46" s="74" t="s">
        <v>146</v>
      </c>
      <c r="B46" s="358"/>
      <c r="D46" s="358"/>
      <c r="E46" s="430"/>
      <c r="F46" s="431"/>
      <c r="G46" s="431"/>
      <c r="H46" s="430"/>
      <c r="I46" s="430"/>
      <c r="J46" s="431"/>
      <c r="K46" s="430"/>
      <c r="L46" s="430"/>
    </row>
    <row r="47" spans="1:13" s="424" customFormat="1" ht="13.8">
      <c r="A47" s="74" t="s">
        <v>146</v>
      </c>
      <c r="B47" s="358"/>
      <c r="C47" s="74"/>
      <c r="D47" s="358"/>
      <c r="E47" s="433"/>
      <c r="F47" s="433"/>
      <c r="G47" s="433"/>
      <c r="H47" s="433"/>
      <c r="I47" s="433"/>
      <c r="J47" s="433"/>
      <c r="K47" s="433"/>
      <c r="L47" s="430"/>
    </row>
    <row r="48" spans="1:13" ht="13.8" thickBot="1">
      <c r="A48" s="434">
        <v>4</v>
      </c>
      <c r="B48" s="434"/>
      <c r="C48" s="434"/>
      <c r="D48" s="311"/>
      <c r="E48" s="435">
        <f>SUM(E44:E47)</f>
        <v>0</v>
      </c>
      <c r="F48" s="435">
        <f t="shared" ref="F48:K48" si="4">SUM(F44:F47)</f>
        <v>0</v>
      </c>
      <c r="G48" s="435">
        <f t="shared" si="4"/>
        <v>0</v>
      </c>
      <c r="H48" s="435">
        <f t="shared" si="4"/>
        <v>0</v>
      </c>
      <c r="I48" s="435">
        <f t="shared" si="4"/>
        <v>0</v>
      </c>
      <c r="J48" s="435">
        <f t="shared" si="4"/>
        <v>0</v>
      </c>
      <c r="K48" s="435">
        <f t="shared" si="4"/>
        <v>0</v>
      </c>
      <c r="L48" s="435">
        <f>SUM(L44:L46)</f>
        <v>0</v>
      </c>
    </row>
    <row r="49" spans="1:12" ht="13.8" thickTop="1">
      <c r="A49" s="434"/>
      <c r="B49" s="434"/>
      <c r="C49" s="434"/>
      <c r="D49" s="311"/>
      <c r="E49" s="441"/>
      <c r="F49" s="441"/>
      <c r="G49" s="441"/>
      <c r="H49" s="441"/>
      <c r="I49" s="441"/>
      <c r="J49" s="441"/>
      <c r="K49" s="441"/>
      <c r="L49" s="441"/>
    </row>
    <row r="50" spans="1:12">
      <c r="D50" s="444"/>
      <c r="E50" s="444"/>
      <c r="F50" s="444"/>
      <c r="G50" s="444"/>
      <c r="H50" s="444"/>
      <c r="I50" s="444"/>
      <c r="J50" s="444"/>
      <c r="K50" s="444"/>
      <c r="L50" s="444"/>
    </row>
    <row r="51" spans="1:12" ht="15.6">
      <c r="A51" s="420">
        <v>5</v>
      </c>
      <c r="B51" s="420" t="s">
        <v>1711</v>
      </c>
      <c r="C51" s="83"/>
      <c r="D51" s="445"/>
      <c r="E51" s="446">
        <f>+E33+E21+E41+E48</f>
        <v>728683776</v>
      </c>
      <c r="F51" s="446">
        <f t="shared" ref="F51:L51" si="5">+F33+F21+F41+F48</f>
        <v>251430908</v>
      </c>
      <c r="G51" s="446">
        <f>+G33+G21+G41+G48</f>
        <v>477252868</v>
      </c>
      <c r="H51" s="446">
        <f t="shared" si="5"/>
        <v>19394939</v>
      </c>
      <c r="I51" s="446">
        <f>+I33+I21+I41+I48</f>
        <v>726373806.02999997</v>
      </c>
      <c r="J51" s="446">
        <f t="shared" si="5"/>
        <v>232035968.03</v>
      </c>
      <c r="K51" s="446">
        <f t="shared" si="5"/>
        <v>494337838</v>
      </c>
      <c r="L51" s="446">
        <f t="shared" si="5"/>
        <v>16918105.529999997</v>
      </c>
    </row>
    <row r="53" spans="1:12" ht="13.8">
      <c r="A53" s="424"/>
      <c r="B53" s="424"/>
      <c r="C53" s="424"/>
      <c r="D53" s="424"/>
      <c r="E53" s="424"/>
      <c r="F53" s="424"/>
      <c r="G53" s="447"/>
      <c r="H53" s="447"/>
      <c r="I53" s="424"/>
      <c r="J53" s="424"/>
      <c r="K53" s="424"/>
      <c r="L53" s="424"/>
    </row>
  </sheetData>
  <customSheetViews>
    <customSheetView guid="{343BF296-013A-41F5-BDAB-AD6220EA7F78}" scale="90" showPageBreaks="1" fitToPage="1" printArea="1" view="pageBreakPreview">
      <selection activeCell="D33" sqref="D33"/>
      <pageMargins left="0" right="0" top="0" bottom="0" header="0" footer="0"/>
      <printOptions horizontalCentered="1"/>
      <pageSetup scale="69" orientation="landscape" r:id="rId1"/>
    </customSheetView>
    <customSheetView guid="{B321D76C-CDE5-48BB-9CDE-80FF97D58FCF}" scale="90" showPageBreaks="1" fitToPage="1" printArea="1" view="pageBreakPreview">
      <selection activeCell="D33" sqref="D33"/>
      <pageMargins left="0" right="0" top="0" bottom="0" header="0" footer="0"/>
      <printOptions horizontalCentered="1"/>
      <pageSetup scale="69" orientation="landscape" r:id="rId2"/>
    </customSheetView>
  </customSheetViews>
  <mergeCells count="7">
    <mergeCell ref="D13:H13"/>
    <mergeCell ref="I13:L13"/>
    <mergeCell ref="A4:M4"/>
    <mergeCell ref="A5:M5"/>
    <mergeCell ref="A9:M9"/>
    <mergeCell ref="A6:M6"/>
    <mergeCell ref="A8:M8"/>
  </mergeCells>
  <printOptions horizontalCentered="1"/>
  <pageMargins left="0.2" right="0.2" top="0.5" bottom="0.25" header="0.3" footer="0.3"/>
  <pageSetup scale="70" orientation="landscape" r:id="rId3"/>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9">
    <tabColor rgb="FF0070C0"/>
    <pageSetUpPr fitToPage="1"/>
  </sheetPr>
  <dimension ref="A1:M34"/>
  <sheetViews>
    <sheetView view="pageBreakPreview" zoomScale="90" zoomScaleNormal="80" zoomScaleSheetLayoutView="90" workbookViewId="0">
      <selection activeCell="O24" sqref="O24"/>
    </sheetView>
  </sheetViews>
  <sheetFormatPr defaultColWidth="16.77734375" defaultRowHeight="13.2"/>
  <cols>
    <col min="1" max="1" width="7.77734375" style="73" customWidth="1"/>
    <col min="2" max="2" width="13.77734375" style="73" customWidth="1"/>
    <col min="3" max="3" width="2.77734375" style="73" customWidth="1"/>
    <col min="4" max="4" width="9.109375" style="73" bestFit="1" customWidth="1"/>
    <col min="5" max="5" width="3.33203125" style="73" customWidth="1"/>
    <col min="6" max="6" width="12" style="73" customWidth="1"/>
    <col min="7" max="7" width="3.33203125" style="73" customWidth="1"/>
    <col min="8" max="8" width="16.6640625" style="73" bestFit="1" customWidth="1"/>
    <col min="9" max="9" width="2.77734375" style="73" customWidth="1"/>
    <col min="10" max="10" width="52.33203125" style="73" bestFit="1" customWidth="1"/>
    <col min="11" max="11" width="11.6640625" style="73" customWidth="1"/>
    <col min="12" max="16384" width="16.77734375" style="73"/>
  </cols>
  <sheetData>
    <row r="1" spans="1:13" ht="15.6">
      <c r="A1" s="70"/>
      <c r="B1" s="70"/>
      <c r="C1" s="70"/>
      <c r="D1" s="71"/>
      <c r="E1" s="71"/>
      <c r="F1" s="324"/>
      <c r="G1" s="71"/>
      <c r="H1" s="71"/>
      <c r="I1" s="71"/>
      <c r="J1" s="72"/>
      <c r="L1" s="294"/>
    </row>
    <row r="2" spans="1:13" ht="15.6">
      <c r="A2" s="70"/>
      <c r="B2" s="70"/>
      <c r="C2" s="70"/>
      <c r="D2" s="71"/>
      <c r="E2" s="71"/>
      <c r="F2" s="324"/>
      <c r="G2" s="71"/>
      <c r="H2" s="71"/>
      <c r="I2" s="71"/>
      <c r="J2" s="71"/>
      <c r="K2" s="294"/>
      <c r="L2" s="294"/>
      <c r="M2" s="114"/>
    </row>
    <row r="3" spans="1:13" ht="17.399999999999999">
      <c r="A3" s="221"/>
      <c r="B3" s="221"/>
      <c r="C3" s="221"/>
      <c r="D3" s="218"/>
      <c r="E3" s="218"/>
      <c r="F3" s="408"/>
      <c r="G3" s="218"/>
      <c r="H3" s="218"/>
      <c r="I3" s="218"/>
      <c r="J3" s="218"/>
      <c r="K3" s="218"/>
      <c r="L3" s="218"/>
      <c r="M3" s="1264"/>
    </row>
    <row r="4" spans="1:13" ht="17.399999999999999">
      <c r="A4" s="1463" t="s">
        <v>0</v>
      </c>
      <c r="B4" s="1463"/>
      <c r="C4" s="1463"/>
      <c r="D4" s="1463"/>
      <c r="E4" s="1463"/>
      <c r="F4" s="1463"/>
      <c r="G4" s="1463"/>
      <c r="H4" s="1463"/>
      <c r="I4" s="1463"/>
      <c r="J4" s="1463"/>
      <c r="K4" s="1463"/>
      <c r="L4" s="221"/>
      <c r="M4" s="221"/>
    </row>
    <row r="5" spans="1:13" ht="17.399999999999999">
      <c r="A5" s="1463" t="s">
        <v>1</v>
      </c>
      <c r="B5" s="1463"/>
      <c r="C5" s="1463"/>
      <c r="D5" s="1463"/>
      <c r="E5" s="1463"/>
      <c r="F5" s="1463"/>
      <c r="G5" s="1463"/>
      <c r="H5" s="1463"/>
      <c r="I5" s="1463"/>
      <c r="J5" s="1463"/>
      <c r="K5" s="1463"/>
      <c r="L5" s="221"/>
      <c r="M5" s="221"/>
    </row>
    <row r="6" spans="1:13" ht="17.399999999999999">
      <c r="A6" s="1464" t="str">
        <f>SUMMARY!A7</f>
        <v>YEAR ENDING DECEMBER 31, 2022</v>
      </c>
      <c r="B6" s="1464"/>
      <c r="C6" s="1464"/>
      <c r="D6" s="1464"/>
      <c r="E6" s="1464"/>
      <c r="F6" s="1464"/>
      <c r="G6" s="1464"/>
      <c r="H6" s="1464"/>
      <c r="I6" s="1464"/>
      <c r="J6" s="1464"/>
      <c r="K6" s="1464"/>
      <c r="L6" s="221"/>
      <c r="M6" s="221"/>
    </row>
    <row r="7" spans="1:13" ht="17.399999999999999">
      <c r="A7" s="218"/>
      <c r="B7" s="218"/>
      <c r="C7" s="218"/>
      <c r="D7" s="218"/>
      <c r="E7" s="218"/>
      <c r="F7" s="223"/>
      <c r="G7" s="218"/>
      <c r="H7" s="218"/>
      <c r="I7" s="218"/>
      <c r="J7" s="218"/>
      <c r="K7" s="218"/>
      <c r="L7" s="218"/>
      <c r="M7" s="218"/>
    </row>
    <row r="8" spans="1:13" ht="17.399999999999999">
      <c r="A8" s="1463" t="s">
        <v>1712</v>
      </c>
      <c r="B8" s="1463"/>
      <c r="C8" s="1463"/>
      <c r="D8" s="1463"/>
      <c r="E8" s="1463"/>
      <c r="F8" s="1463"/>
      <c r="G8" s="1463"/>
      <c r="H8" s="1463"/>
      <c r="I8" s="1463"/>
      <c r="J8" s="1463"/>
      <c r="K8" s="1463"/>
      <c r="L8" s="221"/>
      <c r="M8" s="221"/>
    </row>
    <row r="9" spans="1:13" ht="17.399999999999999">
      <c r="A9" s="1463" t="s">
        <v>82</v>
      </c>
      <c r="B9" s="1463"/>
      <c r="C9" s="1463"/>
      <c r="D9" s="1463"/>
      <c r="E9" s="1463"/>
      <c r="F9" s="1463"/>
      <c r="G9" s="1463"/>
      <c r="H9" s="1463"/>
      <c r="I9" s="1463"/>
      <c r="J9" s="1463"/>
      <c r="K9" s="1463"/>
      <c r="L9" s="221"/>
      <c r="M9" s="221"/>
    </row>
    <row r="10" spans="1:13" ht="17.399999999999999">
      <c r="A10" s="221"/>
      <c r="B10" s="221"/>
      <c r="C10" s="221"/>
      <c r="D10" s="221"/>
      <c r="E10" s="221"/>
      <c r="F10" s="221"/>
      <c r="G10" s="221"/>
      <c r="H10" s="221"/>
      <c r="I10" s="221"/>
      <c r="J10" s="221"/>
      <c r="K10" s="221"/>
      <c r="L10" s="221"/>
      <c r="M10" s="221"/>
    </row>
    <row r="11" spans="1:13" ht="17.399999999999999">
      <c r="A11" s="221"/>
      <c r="B11" s="221"/>
      <c r="C11" s="221"/>
      <c r="D11" s="221"/>
      <c r="E11" s="221"/>
      <c r="F11" s="221"/>
      <c r="G11" s="221"/>
      <c r="H11" s="221"/>
      <c r="I11" s="221"/>
      <c r="J11" s="221"/>
      <c r="K11" s="221"/>
      <c r="L11" s="221"/>
      <c r="M11" s="221"/>
    </row>
    <row r="12" spans="1:13" ht="17.399999999999999">
      <c r="A12" s="221"/>
      <c r="B12" s="399" t="s">
        <v>8</v>
      </c>
      <c r="C12" s="399"/>
      <c r="D12" s="399" t="s">
        <v>9</v>
      </c>
      <c r="E12" s="399"/>
      <c r="F12" s="399" t="s">
        <v>359</v>
      </c>
      <c r="G12" s="399"/>
      <c r="H12" s="399" t="s">
        <v>360</v>
      </c>
      <c r="I12" s="399"/>
      <c r="J12" s="399" t="s">
        <v>162</v>
      </c>
      <c r="K12" s="221"/>
      <c r="L12" s="221"/>
      <c r="M12" s="221"/>
    </row>
    <row r="13" spans="1:13" s="71" customFormat="1" ht="18.75" customHeight="1">
      <c r="B13" s="1266"/>
      <c r="C13" s="1266"/>
      <c r="D13" s="1266"/>
      <c r="E13" s="1266"/>
      <c r="F13" s="1266"/>
      <c r="G13" s="1266"/>
      <c r="H13" s="1266"/>
      <c r="I13" s="1266"/>
      <c r="J13" s="1266"/>
    </row>
    <row r="14" spans="1:13" s="71" customFormat="1" ht="18.75" customHeight="1">
      <c r="B14" s="1266" t="s">
        <v>1082</v>
      </c>
      <c r="C14" s="1266"/>
      <c r="D14" s="1266" t="s">
        <v>1713</v>
      </c>
      <c r="E14" s="1266"/>
      <c r="F14" s="1266"/>
      <c r="G14" s="1266"/>
      <c r="H14" s="1266" t="s">
        <v>1714</v>
      </c>
      <c r="I14" s="1266"/>
      <c r="J14" s="1266"/>
    </row>
    <row r="15" spans="1:13" s="71" customFormat="1" ht="18.75" customHeight="1">
      <c r="B15" s="1190" t="s">
        <v>23</v>
      </c>
      <c r="C15" s="409"/>
      <c r="D15" s="1190" t="s">
        <v>1715</v>
      </c>
      <c r="E15" s="1266"/>
      <c r="F15" s="1190" t="s">
        <v>154</v>
      </c>
      <c r="G15" s="409"/>
      <c r="H15" s="1190" t="s">
        <v>4</v>
      </c>
      <c r="I15" s="409"/>
      <c r="J15" s="1190" t="s">
        <v>1716</v>
      </c>
    </row>
    <row r="16" spans="1:13" s="71" customFormat="1" ht="18.75" customHeight="1">
      <c r="A16" s="410" t="s">
        <v>167</v>
      </c>
      <c r="B16" s="1452" t="s">
        <v>2088</v>
      </c>
      <c r="C16" s="1229"/>
      <c r="D16" s="411" t="s">
        <v>2089</v>
      </c>
      <c r="E16" s="1229"/>
      <c r="F16" s="411" t="s">
        <v>2090</v>
      </c>
      <c r="G16" s="1229"/>
      <c r="H16" s="1455">
        <v>62000000</v>
      </c>
      <c r="I16" s="1229"/>
      <c r="J16" s="411" t="s">
        <v>2091</v>
      </c>
    </row>
    <row r="17" spans="1:10" s="71" customFormat="1" ht="18.75" customHeight="1">
      <c r="A17" s="410" t="s">
        <v>171</v>
      </c>
      <c r="B17" s="1452" t="s">
        <v>2092</v>
      </c>
      <c r="C17" s="1229"/>
      <c r="D17" s="411" t="s">
        <v>2093</v>
      </c>
      <c r="E17" s="1229"/>
      <c r="F17" s="411" t="s">
        <v>2090</v>
      </c>
      <c r="G17" s="1229"/>
      <c r="H17" s="1455">
        <v>37000000</v>
      </c>
      <c r="I17" s="1229"/>
      <c r="J17" s="411" t="s">
        <v>2094</v>
      </c>
    </row>
    <row r="18" spans="1:10" s="71" customFormat="1" ht="18.75" customHeight="1">
      <c r="A18" s="410" t="s">
        <v>174</v>
      </c>
      <c r="B18" s="1452" t="s">
        <v>2092</v>
      </c>
      <c r="C18" s="1229"/>
      <c r="D18" s="411" t="s">
        <v>2095</v>
      </c>
      <c r="E18" s="1229"/>
      <c r="F18" s="411" t="s">
        <v>2090</v>
      </c>
      <c r="G18" s="1229"/>
      <c r="H18" s="1455">
        <v>26000000</v>
      </c>
      <c r="I18" s="1229"/>
      <c r="J18" s="411" t="s">
        <v>2096</v>
      </c>
    </row>
    <row r="19" spans="1:10" s="71" customFormat="1" ht="18.75" customHeight="1">
      <c r="A19" s="410" t="s">
        <v>177</v>
      </c>
      <c r="B19" s="1452" t="s">
        <v>2097</v>
      </c>
      <c r="C19" s="1229"/>
      <c r="D19" s="411" t="s">
        <v>2089</v>
      </c>
      <c r="E19" s="1229"/>
      <c r="F19" s="411" t="s">
        <v>2090</v>
      </c>
      <c r="G19" s="1229"/>
      <c r="H19" s="1455">
        <v>14816000</v>
      </c>
      <c r="I19" s="1229"/>
      <c r="J19" s="411" t="s">
        <v>2098</v>
      </c>
    </row>
    <row r="20" spans="1:10" s="71" customFormat="1" ht="18.75" customHeight="1">
      <c r="A20" s="410" t="s">
        <v>237</v>
      </c>
      <c r="B20" s="1452" t="s">
        <v>2099</v>
      </c>
      <c r="C20" s="1229"/>
      <c r="D20" s="411" t="s">
        <v>2100</v>
      </c>
      <c r="E20" s="1229"/>
      <c r="F20" s="411" t="s">
        <v>2090</v>
      </c>
      <c r="G20" s="1229"/>
      <c r="H20" s="1455">
        <v>30000000</v>
      </c>
      <c r="I20" s="1229"/>
      <c r="J20" s="411" t="s">
        <v>2101</v>
      </c>
    </row>
    <row r="21" spans="1:10" s="71" customFormat="1" ht="18.75" customHeight="1">
      <c r="A21" s="410" t="s">
        <v>241</v>
      </c>
      <c r="B21" s="1452" t="s">
        <v>2099</v>
      </c>
      <c r="C21" s="1229"/>
      <c r="D21" s="411" t="s">
        <v>2102</v>
      </c>
      <c r="E21" s="1229"/>
      <c r="F21" s="411" t="s">
        <v>2090</v>
      </c>
      <c r="G21" s="1229"/>
      <c r="H21" s="1455">
        <v>16000000</v>
      </c>
      <c r="I21" s="1229"/>
      <c r="J21" s="411" t="s">
        <v>2103</v>
      </c>
    </row>
    <row r="22" spans="1:10" s="71" customFormat="1" ht="18.75" customHeight="1">
      <c r="A22" s="410" t="s">
        <v>246</v>
      </c>
      <c r="B22" s="1452" t="s">
        <v>2099</v>
      </c>
      <c r="C22" s="1229"/>
      <c r="D22" s="411" t="s">
        <v>2104</v>
      </c>
      <c r="E22" s="1229"/>
      <c r="F22" s="411" t="s">
        <v>2090</v>
      </c>
      <c r="G22" s="1229"/>
      <c r="H22" s="1455">
        <v>18000000</v>
      </c>
      <c r="I22" s="1229"/>
      <c r="J22" s="411" t="s">
        <v>2105</v>
      </c>
    </row>
    <row r="23" spans="1:10" s="71" customFormat="1" ht="18.75" customHeight="1">
      <c r="A23" s="410" t="s">
        <v>249</v>
      </c>
      <c r="B23" s="1452" t="s">
        <v>2110</v>
      </c>
      <c r="C23" s="1229"/>
      <c r="D23" s="1420">
        <v>310</v>
      </c>
      <c r="E23" s="1229"/>
      <c r="F23" s="1420">
        <v>754036</v>
      </c>
      <c r="G23" s="1229"/>
      <c r="H23" s="1455">
        <v>4000000</v>
      </c>
      <c r="I23" s="1229"/>
      <c r="J23" s="411" t="s">
        <v>2106</v>
      </c>
    </row>
    <row r="24" spans="1:10" s="71" customFormat="1" ht="18.75" customHeight="1">
      <c r="A24" s="410" t="s">
        <v>253</v>
      </c>
      <c r="B24" s="1452" t="s">
        <v>2110</v>
      </c>
      <c r="C24" s="1229"/>
      <c r="D24" s="1420">
        <v>310</v>
      </c>
      <c r="E24" s="1229"/>
      <c r="F24" s="1420">
        <v>754036</v>
      </c>
      <c r="G24" s="1229"/>
      <c r="H24" s="1455">
        <v>2000000</v>
      </c>
      <c r="I24" s="1229"/>
      <c r="J24" s="411" t="s">
        <v>2107</v>
      </c>
    </row>
    <row r="25" spans="1:10" s="71" customFormat="1" ht="18.75" customHeight="1">
      <c r="A25" s="410" t="s">
        <v>257</v>
      </c>
      <c r="B25" s="1452" t="s">
        <v>2111</v>
      </c>
      <c r="C25" s="1229"/>
      <c r="D25" s="1420">
        <v>310</v>
      </c>
      <c r="E25" s="1229"/>
      <c r="F25" s="1420">
        <v>754036</v>
      </c>
      <c r="G25" s="1229"/>
      <c r="H25" s="1455">
        <v>1819154</v>
      </c>
      <c r="I25" s="1229"/>
      <c r="J25" s="411" t="s">
        <v>2108</v>
      </c>
    </row>
    <row r="26" spans="1:10" s="71" customFormat="1" ht="18.600000000000001" customHeight="1">
      <c r="A26" s="410" t="s">
        <v>146</v>
      </c>
      <c r="B26" s="415"/>
      <c r="C26" s="411"/>
      <c r="D26" s="415"/>
      <c r="E26" s="411"/>
      <c r="F26" s="415"/>
      <c r="G26" s="411"/>
      <c r="H26" s="1191"/>
      <c r="I26" s="414"/>
      <c r="J26" s="415"/>
    </row>
    <row r="27" spans="1:10" s="71" customFormat="1" ht="18.75" customHeight="1">
      <c r="A27" s="108">
        <v>2</v>
      </c>
      <c r="B27" s="410"/>
      <c r="C27" s="410"/>
      <c r="D27" s="410" t="s">
        <v>1717</v>
      </c>
      <c r="E27" s="410"/>
      <c r="F27" s="416" t="s">
        <v>1084</v>
      </c>
      <c r="G27" s="410"/>
      <c r="H27" s="417">
        <f>SUM(H16:H26)</f>
        <v>211635154</v>
      </c>
      <c r="I27" s="418"/>
      <c r="J27" s="410" t="s">
        <v>1718</v>
      </c>
    </row>
    <row r="28" spans="1:10" s="71" customFormat="1" ht="15.6">
      <c r="A28" s="108"/>
      <c r="H28" s="70"/>
    </row>
    <row r="29" spans="1:10" s="71" customFormat="1" ht="15.6">
      <c r="A29" s="108"/>
      <c r="H29" s="70"/>
    </row>
    <row r="30" spans="1:10" s="71" customFormat="1" ht="15.6">
      <c r="A30" s="108">
        <v>3</v>
      </c>
      <c r="B30" s="71" t="s">
        <v>1719</v>
      </c>
      <c r="H30" s="101">
        <f>H27-H31-H32</f>
        <v>173816000</v>
      </c>
      <c r="I30" s="419"/>
    </row>
    <row r="31" spans="1:10" s="71" customFormat="1" ht="15.6">
      <c r="A31" s="108">
        <v>4</v>
      </c>
      <c r="B31" s="71" t="s">
        <v>1720</v>
      </c>
      <c r="H31" s="101">
        <f>H20</f>
        <v>30000000</v>
      </c>
      <c r="I31" s="419"/>
    </row>
    <row r="32" spans="1:10" s="71" customFormat="1" ht="15.6">
      <c r="A32" s="108">
        <v>5</v>
      </c>
      <c r="B32" s="71" t="s">
        <v>1721</v>
      </c>
      <c r="H32" s="101">
        <f>SUM(H23:H25)</f>
        <v>7819154</v>
      </c>
      <c r="I32" s="419"/>
    </row>
    <row r="33" spans="1:1" s="71" customFormat="1" ht="15">
      <c r="A33" s="108"/>
    </row>
    <row r="34" spans="1:1" s="71" customFormat="1" ht="15"/>
  </sheetData>
  <customSheetViews>
    <customSheetView guid="{343BF296-013A-41F5-BDAB-AD6220EA7F78}" scale="70" showPageBreaks="1" fitToPage="1" printArea="1" view="pageBreakPreview">
      <selection activeCell="D33" sqref="D33"/>
      <colBreaks count="1" manualBreakCount="1">
        <brk id="11" max="29" man="1"/>
      </colBreaks>
      <pageMargins left="0" right="0" top="0" bottom="0" header="0" footer="0"/>
      <printOptions horizontalCentered="1"/>
      <pageSetup scale="82" orientation="landscape" r:id="rId1"/>
    </customSheetView>
    <customSheetView guid="{B321D76C-CDE5-48BB-9CDE-80FF97D58FCF}" scale="70" showPageBreaks="1" fitToPage="1" printArea="1" view="pageBreakPreview">
      <selection activeCell="D33" sqref="D33"/>
      <colBreaks count="1" manualBreakCount="1">
        <brk id="11" max="29" man="1"/>
      </colBreaks>
      <pageMargins left="0" right="0" top="0" bottom="0" header="0" footer="0"/>
      <printOptions horizontalCentered="1"/>
      <pageSetup scale="82" orientation="landscape" r:id="rId2"/>
    </customSheetView>
  </customSheetViews>
  <mergeCells count="5">
    <mergeCell ref="A4:K4"/>
    <mergeCell ref="A5:K5"/>
    <mergeCell ref="A6:K6"/>
    <mergeCell ref="A8:K8"/>
    <mergeCell ref="A9:K9"/>
  </mergeCells>
  <phoneticPr fontId="114" type="noConversion"/>
  <printOptions horizontalCentered="1"/>
  <pageMargins left="0.7" right="0.7" top="0.75" bottom="0.75" header="0.3" footer="0.3"/>
  <pageSetup scale="84" orientation="landscape" r:id="rId3"/>
  <colBreaks count="1" manualBreakCount="1">
    <brk id="11" max="29" man="1"/>
  </colBreaks>
  <ignoredErrors>
    <ignoredError sqref="H32" formulaRange="1"/>
  </ignoredErrors>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8">
    <tabColor rgb="FF0070C0"/>
  </sheetPr>
  <dimension ref="A1:P27"/>
  <sheetViews>
    <sheetView view="pageBreakPreview" zoomScaleNormal="100" zoomScaleSheetLayoutView="100" workbookViewId="0">
      <selection activeCell="K25" sqref="K25"/>
    </sheetView>
  </sheetViews>
  <sheetFormatPr defaultColWidth="9" defaultRowHeight="13.2"/>
  <cols>
    <col min="1" max="1" width="3" style="73" customWidth="1"/>
    <col min="2" max="2" width="4.21875" style="73" customWidth="1"/>
    <col min="3" max="3" width="26.33203125" style="73" bestFit="1" customWidth="1"/>
    <col min="4" max="4" width="16" style="73" customWidth="1"/>
    <col min="5" max="5" width="1.77734375" style="73" customWidth="1"/>
    <col min="6" max="6" width="14" style="73" customWidth="1"/>
    <col min="7" max="9" width="9" style="73"/>
    <col min="10" max="10" width="10.33203125" style="73" bestFit="1" customWidth="1"/>
    <col min="11" max="11" width="29.109375" style="73" customWidth="1"/>
    <col min="12" max="16384" width="9" style="73"/>
  </cols>
  <sheetData>
    <row r="1" spans="1:16" s="347" customFormat="1" ht="15.6">
      <c r="A1" s="70"/>
      <c r="D1" s="346"/>
      <c r="E1" s="346"/>
      <c r="L1" s="396"/>
      <c r="P1" s="397"/>
    </row>
    <row r="2" spans="1:16" s="351" customFormat="1"/>
    <row r="3" spans="1:16" s="351" customFormat="1" ht="17.399999999999999">
      <c r="A3" s="348"/>
      <c r="B3" s="350"/>
      <c r="C3" s="350"/>
      <c r="D3" s="349"/>
      <c r="E3" s="349"/>
      <c r="F3" s="350"/>
      <c r="G3" s="350"/>
      <c r="H3" s="350"/>
      <c r="I3" s="350"/>
      <c r="J3" s="350"/>
      <c r="K3" s="350"/>
      <c r="L3" s="350"/>
      <c r="M3" s="350"/>
      <c r="N3" s="350"/>
      <c r="O3" s="350"/>
      <c r="P3" s="1278"/>
    </row>
    <row r="4" spans="1:16" s="351" customFormat="1" ht="17.399999999999999">
      <c r="A4" s="1503" t="s">
        <v>0</v>
      </c>
      <c r="B4" s="1503"/>
      <c r="C4" s="1503"/>
      <c r="D4" s="1503"/>
      <c r="E4" s="1503"/>
      <c r="F4" s="1503"/>
      <c r="G4" s="348"/>
      <c r="H4" s="348"/>
      <c r="I4" s="348"/>
      <c r="J4" s="348"/>
      <c r="K4" s="348"/>
      <c r="L4" s="348"/>
      <c r="M4" s="348"/>
      <c r="N4" s="348"/>
      <c r="O4" s="348"/>
      <c r="P4" s="348"/>
    </row>
    <row r="5" spans="1:16" s="351" customFormat="1" ht="17.399999999999999">
      <c r="A5" s="1503" t="s">
        <v>1</v>
      </c>
      <c r="B5" s="1503"/>
      <c r="C5" s="1503"/>
      <c r="D5" s="1503"/>
      <c r="E5" s="1503"/>
      <c r="F5" s="1503"/>
      <c r="G5" s="348"/>
      <c r="H5" s="348"/>
      <c r="I5" s="348"/>
      <c r="J5" s="348"/>
      <c r="K5" s="348"/>
      <c r="L5" s="348"/>
      <c r="M5" s="348"/>
      <c r="N5" s="348"/>
      <c r="O5" s="348"/>
      <c r="P5" s="348"/>
    </row>
    <row r="6" spans="1:16" s="351" customFormat="1" ht="17.399999999999999">
      <c r="A6" s="1504" t="str">
        <f>SUMMARY!A7</f>
        <v>YEAR ENDING DECEMBER 31, 2022</v>
      </c>
      <c r="B6" s="1504"/>
      <c r="C6" s="1504"/>
      <c r="D6" s="1504"/>
      <c r="E6" s="1504"/>
      <c r="F6" s="1504"/>
      <c r="G6" s="348"/>
      <c r="H6" s="348"/>
      <c r="I6" s="348"/>
      <c r="J6" s="348"/>
      <c r="K6" s="348"/>
      <c r="L6" s="348"/>
      <c r="M6" s="348"/>
      <c r="N6" s="348"/>
      <c r="O6" s="348"/>
      <c r="P6" s="348"/>
    </row>
    <row r="7" spans="1:16" s="351" customFormat="1" ht="12" customHeight="1">
      <c r="A7" s="350"/>
      <c r="B7" s="350"/>
      <c r="C7" s="350"/>
      <c r="D7" s="352"/>
      <c r="E7" s="352"/>
      <c r="F7" s="350"/>
      <c r="G7" s="350"/>
      <c r="H7" s="350"/>
      <c r="I7" s="350"/>
      <c r="J7" s="350"/>
      <c r="K7" s="350"/>
      <c r="L7" s="350"/>
      <c r="M7" s="350"/>
      <c r="N7" s="350"/>
      <c r="O7" s="350"/>
      <c r="P7" s="350"/>
    </row>
    <row r="8" spans="1:16" s="351" customFormat="1" ht="17.399999999999999">
      <c r="A8" s="1503" t="s">
        <v>1722</v>
      </c>
      <c r="B8" s="1503"/>
      <c r="C8" s="1503"/>
      <c r="D8" s="1503"/>
      <c r="E8" s="1503"/>
      <c r="F8" s="1503"/>
      <c r="G8" s="348"/>
      <c r="H8" s="348"/>
      <c r="I8" s="348"/>
      <c r="J8" s="348"/>
      <c r="K8" s="348"/>
      <c r="L8" s="348"/>
      <c r="M8" s="348"/>
      <c r="N8" s="348"/>
      <c r="O8" s="348"/>
      <c r="P8" s="348"/>
    </row>
    <row r="9" spans="1:16" s="351" customFormat="1" ht="17.399999999999999">
      <c r="A9" s="1503" t="s">
        <v>84</v>
      </c>
      <c r="B9" s="1503"/>
      <c r="C9" s="1503"/>
      <c r="D9" s="1503"/>
      <c r="E9" s="1503"/>
      <c r="F9" s="1503"/>
      <c r="G9" s="348"/>
      <c r="H9" s="348"/>
      <c r="I9" s="348"/>
      <c r="J9" s="348"/>
      <c r="K9" s="348"/>
      <c r="L9" s="348"/>
      <c r="M9" s="348"/>
      <c r="N9" s="348"/>
      <c r="O9" s="348"/>
      <c r="P9" s="348"/>
    </row>
    <row r="12" spans="1:16" ht="13.8">
      <c r="C12" s="398" t="s">
        <v>1723</v>
      </c>
    </row>
    <row r="13" spans="1:16" ht="13.8">
      <c r="C13" s="398"/>
    </row>
    <row r="14" spans="1:16" ht="15">
      <c r="C14" s="78" t="s">
        <v>8</v>
      </c>
      <c r="D14" s="78" t="s">
        <v>9</v>
      </c>
      <c r="E14" s="78"/>
      <c r="F14" s="78" t="s">
        <v>359</v>
      </c>
      <c r="G14" s="399"/>
    </row>
    <row r="15" spans="1:16">
      <c r="D15" s="400">
        <v>2022</v>
      </c>
      <c r="E15" s="310"/>
      <c r="F15" s="400">
        <v>2021</v>
      </c>
    </row>
    <row r="16" spans="1:16">
      <c r="D16" s="401" t="s">
        <v>4</v>
      </c>
      <c r="F16" s="401" t="s">
        <v>4</v>
      </c>
    </row>
    <row r="17" spans="1:6" ht="13.8">
      <c r="C17" s="402"/>
    </row>
    <row r="18" spans="1:6" ht="13.8">
      <c r="A18" s="73">
        <v>1</v>
      </c>
      <c r="C18" s="402" t="s">
        <v>1724</v>
      </c>
      <c r="D18" s="403">
        <v>201214776</v>
      </c>
      <c r="F18" s="403">
        <v>195954154.99999997</v>
      </c>
    </row>
    <row r="19" spans="1:6" ht="13.8">
      <c r="A19" s="73">
        <v>2</v>
      </c>
      <c r="C19" s="402" t="s">
        <v>1725</v>
      </c>
      <c r="D19" s="403">
        <v>156190323</v>
      </c>
      <c r="F19" s="403">
        <v>143886520</v>
      </c>
    </row>
    <row r="20" spans="1:6" ht="13.8">
      <c r="A20" s="73">
        <v>3</v>
      </c>
      <c r="C20" s="402" t="s">
        <v>1726</v>
      </c>
      <c r="D20" s="404">
        <v>3695090</v>
      </c>
      <c r="F20" s="404">
        <v>3691987</v>
      </c>
    </row>
    <row r="21" spans="1:6" ht="13.8">
      <c r="A21" s="73">
        <v>4</v>
      </c>
      <c r="C21" s="398" t="s">
        <v>157</v>
      </c>
      <c r="D21" s="405">
        <f>SUM(D18:D20)</f>
        <v>361100189</v>
      </c>
      <c r="F21" s="405">
        <f>SUM(F17:F20)</f>
        <v>343532662</v>
      </c>
    </row>
    <row r="22" spans="1:6" ht="13.8">
      <c r="C22" s="398"/>
      <c r="D22" s="405"/>
      <c r="F22" s="405"/>
    </row>
    <row r="23" spans="1:6" ht="13.8">
      <c r="A23" s="406"/>
      <c r="B23" s="406"/>
      <c r="C23" s="406"/>
      <c r="D23" s="407"/>
      <c r="E23" s="406"/>
      <c r="F23" s="406"/>
    </row>
    <row r="24" spans="1:6" ht="13.35" customHeight="1">
      <c r="A24" s="1517" t="s">
        <v>1727</v>
      </c>
      <c r="B24" s="1518"/>
      <c r="C24" s="1518"/>
      <c r="D24" s="1518"/>
      <c r="E24" s="1518"/>
      <c r="F24" s="1518"/>
    </row>
    <row r="25" spans="1:6">
      <c r="A25" s="1519"/>
      <c r="B25" s="1519"/>
      <c r="C25" s="1519"/>
      <c r="D25" s="1519"/>
      <c r="E25" s="1519"/>
      <c r="F25" s="1519"/>
    </row>
    <row r="26" spans="1:6">
      <c r="A26" s="1519"/>
      <c r="B26" s="1519"/>
      <c r="C26" s="1519"/>
      <c r="D26" s="1519"/>
      <c r="E26" s="1519"/>
      <c r="F26" s="1519"/>
    </row>
    <row r="27" spans="1:6">
      <c r="A27" s="1519"/>
      <c r="B27" s="1519"/>
      <c r="C27" s="1519"/>
      <c r="D27" s="1519"/>
      <c r="E27" s="1519"/>
      <c r="F27" s="1519"/>
    </row>
  </sheetData>
  <customSheetViews>
    <customSheetView guid="{343BF296-013A-41F5-BDAB-AD6220EA7F78}" showPageBreaks="1" printArea="1" view="pageBreakPreview" topLeftCell="A10">
      <selection activeCell="D33" sqref="D33"/>
      <pageMargins left="0" right="0" top="0" bottom="0" header="0" footer="0"/>
      <printOptions horizontalCentered="1"/>
      <pageSetup orientation="portrait" r:id="rId1"/>
    </customSheetView>
    <customSheetView guid="{B321D76C-CDE5-48BB-9CDE-80FF97D58FCF}" showPageBreaks="1" printArea="1" view="pageBreakPreview" topLeftCell="A10">
      <selection activeCell="D33" sqref="D33"/>
      <pageMargins left="0" right="0" top="0" bottom="0" header="0" footer="0"/>
      <printOptions horizontalCentered="1"/>
      <pageSetup orientation="portrait" r:id="rId2"/>
    </customSheetView>
  </customSheetViews>
  <mergeCells count="6">
    <mergeCell ref="A24:F27"/>
    <mergeCell ref="A8:F8"/>
    <mergeCell ref="A9:F9"/>
    <mergeCell ref="A4:F4"/>
    <mergeCell ref="A5:F5"/>
    <mergeCell ref="A6:F6"/>
  </mergeCells>
  <printOptions horizontalCentered="1"/>
  <pageMargins left="0.7" right="0.7" top="0.75" bottom="0.75" header="0.3" footer="0.3"/>
  <pageSetup orientation="portrait" r:id="rId3"/>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71E0F-67C2-481A-9963-738C66DA9A2F}">
  <sheetPr>
    <tabColor rgb="FF0070C0"/>
    <pageSetUpPr fitToPage="1"/>
  </sheetPr>
  <dimension ref="A1:P54"/>
  <sheetViews>
    <sheetView zoomScale="90" zoomScaleNormal="90" workbookViewId="0">
      <selection activeCell="U58" sqref="U58"/>
    </sheetView>
  </sheetViews>
  <sheetFormatPr defaultColWidth="8.5546875" defaultRowHeight="12"/>
  <cols>
    <col min="1" max="1" width="8.5546875" style="59"/>
    <col min="2" max="2" width="16" style="59" customWidth="1"/>
    <col min="3" max="3" width="68.77734375" style="59" customWidth="1"/>
    <col min="4" max="4" width="10.109375" style="59" customWidth="1"/>
    <col min="5" max="5" width="36.33203125" style="59" customWidth="1"/>
    <col min="6" max="7" width="19.33203125" style="59" customWidth="1"/>
    <col min="8" max="8" width="21.21875" style="59" customWidth="1"/>
    <col min="9" max="16" width="19.33203125" style="59" customWidth="1"/>
    <col min="17" max="16384" width="8.5546875" style="59"/>
  </cols>
  <sheetData>
    <row r="1" spans="1:16" ht="15.6">
      <c r="A1" s="378"/>
      <c r="B1" s="379"/>
      <c r="C1" s="126"/>
      <c r="D1" s="126"/>
      <c r="E1" s="126"/>
      <c r="F1" s="29"/>
      <c r="G1" s="60"/>
      <c r="H1" s="29"/>
      <c r="I1" s="29"/>
      <c r="J1" s="29"/>
      <c r="K1" s="29"/>
      <c r="L1" s="29"/>
      <c r="M1" s="29"/>
      <c r="N1" s="29"/>
      <c r="O1" s="29"/>
      <c r="P1" s="29"/>
    </row>
    <row r="2" spans="1:16" ht="17.399999999999999">
      <c r="A2" s="380"/>
      <c r="B2" s="381"/>
      <c r="C2" s="382"/>
      <c r="D2" s="383"/>
      <c r="E2" s="382"/>
      <c r="F2" s="61"/>
      <c r="G2" s="61"/>
      <c r="H2" s="62"/>
      <c r="I2" s="62"/>
      <c r="J2" s="62"/>
      <c r="K2" s="62"/>
      <c r="L2" s="62"/>
      <c r="M2" s="62"/>
      <c r="N2" s="62"/>
      <c r="O2" s="62"/>
      <c r="P2" s="62"/>
    </row>
    <row r="3" spans="1:16" ht="17.399999999999999">
      <c r="A3" s="1503" t="s">
        <v>0</v>
      </c>
      <c r="B3" s="1503"/>
      <c r="C3" s="1503"/>
      <c r="D3" s="1503"/>
      <c r="E3" s="1503"/>
      <c r="F3" s="1503"/>
      <c r="G3" s="1503"/>
      <c r="H3" s="1503"/>
      <c r="I3" s="1503"/>
      <c r="J3" s="1503"/>
      <c r="K3" s="1503"/>
      <c r="L3" s="1503"/>
      <c r="M3" s="1503"/>
      <c r="N3" s="1503"/>
      <c r="O3" s="1503"/>
      <c r="P3" s="1503"/>
    </row>
    <row r="4" spans="1:16" ht="17.399999999999999">
      <c r="A4" s="1503" t="s">
        <v>1</v>
      </c>
      <c r="B4" s="1503"/>
      <c r="C4" s="1503"/>
      <c r="D4" s="1503"/>
      <c r="E4" s="1503"/>
      <c r="F4" s="1503"/>
      <c r="G4" s="1503"/>
      <c r="H4" s="1503"/>
      <c r="I4" s="1503"/>
      <c r="J4" s="1503"/>
      <c r="K4" s="1503"/>
      <c r="L4" s="1503"/>
      <c r="M4" s="1503"/>
      <c r="N4" s="1503"/>
      <c r="O4" s="1503"/>
      <c r="P4" s="1503"/>
    </row>
    <row r="5" spans="1:16" ht="17.399999999999999">
      <c r="A5" s="1523" t="str">
        <f>SUMMARY!A7</f>
        <v>YEAR ENDING DECEMBER 31, 2022</v>
      </c>
      <c r="B5" s="1523"/>
      <c r="C5" s="1523"/>
      <c r="D5" s="1523"/>
      <c r="E5" s="1523"/>
      <c r="F5" s="1523"/>
      <c r="G5" s="1523"/>
      <c r="H5" s="1523"/>
      <c r="I5" s="1523"/>
      <c r="J5" s="1523"/>
      <c r="K5" s="1523"/>
      <c r="L5" s="1523"/>
      <c r="M5" s="1523"/>
      <c r="N5" s="1523"/>
      <c r="O5" s="1523"/>
      <c r="P5" s="1523"/>
    </row>
    <row r="6" spans="1:16" ht="17.399999999999999">
      <c r="A6" s="384"/>
      <c r="B6" s="384"/>
      <c r="C6" s="384"/>
      <c r="D6" s="384"/>
      <c r="E6" s="384"/>
      <c r="F6" s="384"/>
      <c r="G6" s="384"/>
      <c r="H6" s="384"/>
      <c r="I6" s="384"/>
      <c r="J6" s="384"/>
      <c r="K6" s="384"/>
      <c r="M6" s="1279"/>
      <c r="N6" s="1279"/>
      <c r="O6" s="1279"/>
      <c r="P6" s="1279"/>
    </row>
    <row r="7" spans="1:16" ht="17.399999999999999">
      <c r="A7" s="384"/>
      <c r="B7" s="1505" t="s">
        <v>1728</v>
      </c>
      <c r="C7" s="1505"/>
      <c r="D7" s="1505"/>
      <c r="E7" s="1505"/>
      <c r="F7" s="1505"/>
      <c r="G7" s="1505"/>
      <c r="H7" s="1505"/>
      <c r="I7" s="1505"/>
      <c r="J7" s="1505"/>
      <c r="K7" s="1505"/>
      <c r="L7" s="1505"/>
      <c r="M7" s="1505"/>
      <c r="N7" s="1505"/>
      <c r="O7" s="1505"/>
      <c r="P7" s="1505"/>
    </row>
    <row r="8" spans="1:16" ht="17.399999999999999">
      <c r="A8" s="380"/>
      <c r="B8" s="1505" t="s">
        <v>1729</v>
      </c>
      <c r="C8" s="1505"/>
      <c r="D8" s="1505"/>
      <c r="E8" s="1505"/>
      <c r="F8" s="1505"/>
      <c r="G8" s="1505"/>
      <c r="H8" s="1505"/>
      <c r="I8" s="1505"/>
      <c r="J8" s="1505"/>
      <c r="K8" s="1505"/>
      <c r="L8" s="1505"/>
      <c r="M8" s="1505"/>
      <c r="N8" s="1505"/>
      <c r="O8" s="1505"/>
      <c r="P8" s="1505"/>
    </row>
    <row r="9" spans="1:16" ht="17.399999999999999">
      <c r="A9" s="46"/>
      <c r="B9" s="46"/>
      <c r="C9" s="46"/>
      <c r="D9" s="105"/>
      <c r="E9" s="105"/>
      <c r="F9" s="29"/>
      <c r="G9" s="29"/>
      <c r="H9" s="29"/>
      <c r="I9" s="29"/>
      <c r="J9" s="29"/>
      <c r="K9" s="29"/>
      <c r="L9" s="29"/>
      <c r="M9" s="29"/>
      <c r="N9" s="1279"/>
      <c r="O9" s="1279"/>
      <c r="P9" s="1279"/>
    </row>
    <row r="10" spans="1:16" ht="15.6">
      <c r="A10" s="46"/>
      <c r="B10" s="46"/>
      <c r="C10" s="46"/>
      <c r="D10" s="105"/>
      <c r="E10" s="105"/>
      <c r="F10" s="1520" t="s">
        <v>1730</v>
      </c>
      <c r="G10" s="1521"/>
      <c r="H10" s="1521"/>
      <c r="I10" s="1521"/>
      <c r="J10" s="1520" t="s">
        <v>1731</v>
      </c>
      <c r="K10" s="1521"/>
      <c r="L10" s="1521"/>
      <c r="M10" s="1522"/>
      <c r="N10" s="1520" t="s">
        <v>1115</v>
      </c>
      <c r="O10" s="1521"/>
      <c r="P10" s="1521"/>
    </row>
    <row r="11" spans="1:16" ht="15">
      <c r="A11" s="46"/>
      <c r="B11" s="46"/>
      <c r="C11" s="46"/>
      <c r="D11" s="105"/>
      <c r="E11" s="105"/>
      <c r="F11" s="63"/>
      <c r="G11" s="63"/>
      <c r="H11" s="63"/>
      <c r="I11" s="63"/>
      <c r="J11" s="63"/>
      <c r="K11" s="63"/>
      <c r="L11" s="63"/>
      <c r="M11" s="63"/>
      <c r="N11" s="63"/>
      <c r="O11" s="63"/>
      <c r="P11" s="63"/>
    </row>
    <row r="12" spans="1:16" ht="15.6" thickBot="1">
      <c r="A12" s="46"/>
      <c r="B12" s="64" t="s">
        <v>8</v>
      </c>
      <c r="C12" s="64" t="s">
        <v>9</v>
      </c>
      <c r="D12" s="64" t="s">
        <v>359</v>
      </c>
      <c r="E12" s="64" t="s">
        <v>360</v>
      </c>
      <c r="F12" s="64" t="s">
        <v>162</v>
      </c>
      <c r="G12" s="64" t="s">
        <v>163</v>
      </c>
      <c r="H12" s="64" t="s">
        <v>228</v>
      </c>
      <c r="I12" s="64" t="s">
        <v>361</v>
      </c>
      <c r="J12" s="64" t="s">
        <v>362</v>
      </c>
      <c r="K12" s="64" t="s">
        <v>363</v>
      </c>
      <c r="L12" s="64" t="s">
        <v>364</v>
      </c>
      <c r="M12" s="64" t="s">
        <v>869</v>
      </c>
      <c r="N12" s="64" t="s">
        <v>870</v>
      </c>
      <c r="O12" s="64" t="s">
        <v>603</v>
      </c>
      <c r="P12" s="64" t="s">
        <v>605</v>
      </c>
    </row>
    <row r="13" spans="1:16" ht="31.2">
      <c r="A13" s="47"/>
      <c r="B13" s="47" t="s">
        <v>1331</v>
      </c>
      <c r="C13" s="47" t="s">
        <v>1332</v>
      </c>
      <c r="D13" s="47" t="s">
        <v>1333</v>
      </c>
      <c r="E13" s="47" t="s">
        <v>22</v>
      </c>
      <c r="F13" s="1389" t="s">
        <v>1334</v>
      </c>
      <c r="G13" s="1389" t="s">
        <v>1335</v>
      </c>
      <c r="H13" s="1389" t="s">
        <v>1338</v>
      </c>
      <c r="I13" s="1389" t="s">
        <v>1337</v>
      </c>
      <c r="J13" s="1389" t="s">
        <v>1334</v>
      </c>
      <c r="K13" s="1389" t="s">
        <v>1335</v>
      </c>
      <c r="L13" s="1389" t="s">
        <v>1338</v>
      </c>
      <c r="M13" s="1389" t="s">
        <v>1337</v>
      </c>
      <c r="N13" s="1389" t="s">
        <v>1334</v>
      </c>
      <c r="O13" s="1389" t="s">
        <v>1335</v>
      </c>
      <c r="P13" s="1389" t="s">
        <v>1338</v>
      </c>
    </row>
    <row r="14" spans="1:16" ht="15.6">
      <c r="A14" s="47"/>
      <c r="B14" s="47"/>
      <c r="C14" s="47"/>
      <c r="D14" s="385"/>
      <c r="E14" s="385"/>
      <c r="F14" s="65"/>
      <c r="G14" s="65"/>
      <c r="H14" s="65"/>
      <c r="I14" s="65"/>
      <c r="J14" s="65"/>
      <c r="K14" s="65"/>
      <c r="L14" s="65"/>
      <c r="M14" s="65"/>
      <c r="N14" s="65"/>
      <c r="O14" s="65"/>
      <c r="P14" s="65"/>
    </row>
    <row r="15" spans="1:16" ht="16.2" thickBot="1">
      <c r="A15" s="48"/>
      <c r="B15" s="386"/>
      <c r="C15" s="387"/>
      <c r="D15" s="388"/>
      <c r="E15" s="388"/>
      <c r="F15" s="66"/>
      <c r="G15" s="66"/>
      <c r="H15" s="66"/>
      <c r="I15" s="66"/>
      <c r="J15" s="66"/>
      <c r="K15" s="66"/>
      <c r="L15" s="66"/>
      <c r="M15" s="66"/>
      <c r="N15" s="66"/>
      <c r="O15" s="66"/>
      <c r="P15" s="66"/>
    </row>
    <row r="16" spans="1:16" ht="15.6">
      <c r="A16" s="47"/>
      <c r="B16" s="389"/>
      <c r="C16" s="390"/>
      <c r="D16" s="385"/>
      <c r="E16" s="385"/>
      <c r="F16" s="65"/>
      <c r="G16" s="65"/>
      <c r="H16" s="65"/>
      <c r="I16" s="65"/>
      <c r="J16" s="65"/>
      <c r="K16" s="65"/>
      <c r="L16" s="65"/>
      <c r="M16" s="65"/>
      <c r="N16" s="65"/>
      <c r="O16" s="65"/>
      <c r="P16" s="65"/>
    </row>
    <row r="17" spans="1:16" ht="16.2" thickBot="1">
      <c r="A17" s="48"/>
      <c r="B17" s="386"/>
      <c r="C17" s="387"/>
      <c r="D17" s="388"/>
      <c r="E17" s="388"/>
      <c r="F17" s="66"/>
      <c r="G17" s="66"/>
      <c r="H17" s="66"/>
      <c r="I17" s="66"/>
      <c r="J17" s="66"/>
      <c r="K17" s="66"/>
      <c r="L17" s="66"/>
      <c r="M17" s="66"/>
      <c r="N17" s="66"/>
      <c r="O17" s="66"/>
      <c r="P17" s="66"/>
    </row>
    <row r="18" spans="1:16" ht="15.6">
      <c r="A18" s="391" t="s">
        <v>167</v>
      </c>
      <c r="B18" s="391" t="s">
        <v>220</v>
      </c>
      <c r="C18" s="392" t="s">
        <v>1732</v>
      </c>
      <c r="D18" s="391">
        <v>350</v>
      </c>
      <c r="E18" s="391" t="s">
        <v>1251</v>
      </c>
      <c r="F18" s="67">
        <v>0</v>
      </c>
      <c r="G18" s="67">
        <v>0</v>
      </c>
      <c r="H18" s="68">
        <f>+F18-G18</f>
        <v>0</v>
      </c>
      <c r="I18" s="67">
        <v>0</v>
      </c>
      <c r="J18" s="67">
        <v>0</v>
      </c>
      <c r="K18" s="67">
        <v>0</v>
      </c>
      <c r="L18" s="68">
        <f>+J18-K18</f>
        <v>0</v>
      </c>
      <c r="M18" s="67">
        <v>0</v>
      </c>
      <c r="N18" s="68">
        <f>AVERAGE(F18,J18)</f>
        <v>0</v>
      </c>
      <c r="O18" s="68">
        <f>AVERAGE(G18,K18)</f>
        <v>0</v>
      </c>
      <c r="P18" s="68">
        <f>AVERAGE(H18,L18)</f>
        <v>0</v>
      </c>
    </row>
    <row r="19" spans="1:16" ht="15.6">
      <c r="A19" s="391" t="s">
        <v>171</v>
      </c>
      <c r="B19" s="391" t="s">
        <v>220</v>
      </c>
      <c r="C19" s="392" t="s">
        <v>1732</v>
      </c>
      <c r="D19" s="391">
        <v>352</v>
      </c>
      <c r="E19" s="391" t="s">
        <v>308</v>
      </c>
      <c r="F19" s="67">
        <v>0</v>
      </c>
      <c r="G19" s="67">
        <v>0</v>
      </c>
      <c r="H19" s="68">
        <f>+F19-G19</f>
        <v>0</v>
      </c>
      <c r="I19" s="67">
        <v>0</v>
      </c>
      <c r="J19" s="67">
        <v>0</v>
      </c>
      <c r="K19" s="67">
        <v>0</v>
      </c>
      <c r="L19" s="68">
        <f>+J19-K19</f>
        <v>0</v>
      </c>
      <c r="M19" s="67">
        <v>0</v>
      </c>
      <c r="N19" s="68">
        <f t="shared" ref="N19:P40" si="0">AVERAGE(F19,J19)</f>
        <v>0</v>
      </c>
      <c r="O19" s="68">
        <f t="shared" si="0"/>
        <v>0</v>
      </c>
      <c r="P19" s="68">
        <f t="shared" si="0"/>
        <v>0</v>
      </c>
    </row>
    <row r="20" spans="1:16" ht="15.6">
      <c r="A20" s="391" t="s">
        <v>174</v>
      </c>
      <c r="B20" s="391" t="s">
        <v>220</v>
      </c>
      <c r="C20" s="392" t="s">
        <v>1732</v>
      </c>
      <c r="D20" s="391">
        <v>353</v>
      </c>
      <c r="E20" s="391" t="s">
        <v>189</v>
      </c>
      <c r="F20" s="67">
        <v>48367047</v>
      </c>
      <c r="G20" s="67">
        <v>4284938</v>
      </c>
      <c r="H20" s="68">
        <f t="shared" ref="H20:H26" si="1">+F20-G20</f>
        <v>44082109</v>
      </c>
      <c r="I20" s="67">
        <v>765940</v>
      </c>
      <c r="J20" s="67">
        <v>48367046</v>
      </c>
      <c r="K20" s="67">
        <v>3518998</v>
      </c>
      <c r="L20" s="68">
        <f t="shared" ref="L20:L26" si="2">+J20-K20</f>
        <v>44848048</v>
      </c>
      <c r="M20" s="67">
        <v>641755</v>
      </c>
      <c r="N20" s="68">
        <f t="shared" si="0"/>
        <v>48367046.5</v>
      </c>
      <c r="O20" s="68">
        <f t="shared" si="0"/>
        <v>3901968</v>
      </c>
      <c r="P20" s="68">
        <f t="shared" si="0"/>
        <v>44465078.5</v>
      </c>
    </row>
    <row r="21" spans="1:16" ht="15.6">
      <c r="A21" s="391" t="s">
        <v>177</v>
      </c>
      <c r="B21" s="391" t="s">
        <v>220</v>
      </c>
      <c r="C21" s="392" t="s">
        <v>1732</v>
      </c>
      <c r="D21" s="391">
        <v>354</v>
      </c>
      <c r="E21" s="391" t="s">
        <v>310</v>
      </c>
      <c r="F21" s="67">
        <v>0</v>
      </c>
      <c r="G21" s="67">
        <v>0</v>
      </c>
      <c r="H21" s="68">
        <f t="shared" si="1"/>
        <v>0</v>
      </c>
      <c r="I21" s="67">
        <v>0</v>
      </c>
      <c r="J21" s="67">
        <v>0</v>
      </c>
      <c r="K21" s="67">
        <v>0</v>
      </c>
      <c r="L21" s="68">
        <f t="shared" si="2"/>
        <v>0</v>
      </c>
      <c r="M21" s="67">
        <v>0</v>
      </c>
      <c r="N21" s="68">
        <f t="shared" si="0"/>
        <v>0</v>
      </c>
      <c r="O21" s="68">
        <f t="shared" si="0"/>
        <v>0</v>
      </c>
      <c r="P21" s="68">
        <f t="shared" si="0"/>
        <v>0</v>
      </c>
    </row>
    <row r="22" spans="1:16" ht="15.6">
      <c r="A22" s="391" t="s">
        <v>237</v>
      </c>
      <c r="B22" s="391" t="s">
        <v>220</v>
      </c>
      <c r="C22" s="392" t="s">
        <v>1732</v>
      </c>
      <c r="D22" s="391">
        <v>355</v>
      </c>
      <c r="E22" s="391" t="s">
        <v>311</v>
      </c>
      <c r="F22" s="67">
        <v>0</v>
      </c>
      <c r="G22" s="67">
        <v>0</v>
      </c>
      <c r="H22" s="68">
        <f t="shared" si="1"/>
        <v>0</v>
      </c>
      <c r="I22" s="67">
        <v>0</v>
      </c>
      <c r="J22" s="67">
        <v>0</v>
      </c>
      <c r="K22" s="67">
        <v>0</v>
      </c>
      <c r="L22" s="68">
        <f t="shared" si="2"/>
        <v>0</v>
      </c>
      <c r="M22" s="67">
        <v>0</v>
      </c>
      <c r="N22" s="68">
        <f t="shared" si="0"/>
        <v>0</v>
      </c>
      <c r="O22" s="68">
        <f t="shared" si="0"/>
        <v>0</v>
      </c>
      <c r="P22" s="68">
        <f t="shared" si="0"/>
        <v>0</v>
      </c>
    </row>
    <row r="23" spans="1:16" ht="15.6">
      <c r="A23" s="391" t="s">
        <v>241</v>
      </c>
      <c r="B23" s="391" t="s">
        <v>220</v>
      </c>
      <c r="C23" s="392" t="s">
        <v>1732</v>
      </c>
      <c r="D23" s="391">
        <v>356</v>
      </c>
      <c r="E23" s="391" t="s">
        <v>312</v>
      </c>
      <c r="F23" s="67">
        <v>0</v>
      </c>
      <c r="G23" s="67">
        <v>0</v>
      </c>
      <c r="H23" s="68">
        <f t="shared" si="1"/>
        <v>0</v>
      </c>
      <c r="I23" s="67">
        <v>0</v>
      </c>
      <c r="J23" s="67">
        <v>0</v>
      </c>
      <c r="K23" s="67">
        <v>0</v>
      </c>
      <c r="L23" s="68">
        <f t="shared" si="2"/>
        <v>0</v>
      </c>
      <c r="M23" s="67">
        <v>0</v>
      </c>
      <c r="N23" s="68">
        <f t="shared" si="0"/>
        <v>0</v>
      </c>
      <c r="O23" s="68">
        <f t="shared" si="0"/>
        <v>0</v>
      </c>
      <c r="P23" s="68">
        <f t="shared" si="0"/>
        <v>0</v>
      </c>
    </row>
    <row r="24" spans="1:16" ht="15.6">
      <c r="A24" s="391" t="s">
        <v>246</v>
      </c>
      <c r="B24" s="391" t="s">
        <v>220</v>
      </c>
      <c r="C24" s="392" t="s">
        <v>1732</v>
      </c>
      <c r="D24" s="391">
        <v>357</v>
      </c>
      <c r="E24" s="391" t="s">
        <v>313</v>
      </c>
      <c r="F24" s="67">
        <v>0</v>
      </c>
      <c r="G24" s="67">
        <v>0</v>
      </c>
      <c r="H24" s="68">
        <f t="shared" si="1"/>
        <v>0</v>
      </c>
      <c r="I24" s="67">
        <v>0</v>
      </c>
      <c r="J24" s="67">
        <v>0</v>
      </c>
      <c r="K24" s="67">
        <v>0</v>
      </c>
      <c r="L24" s="68">
        <f t="shared" si="2"/>
        <v>0</v>
      </c>
      <c r="M24" s="67">
        <v>0</v>
      </c>
      <c r="N24" s="68">
        <f t="shared" si="0"/>
        <v>0</v>
      </c>
      <c r="O24" s="68">
        <f t="shared" si="0"/>
        <v>0</v>
      </c>
      <c r="P24" s="68">
        <f t="shared" si="0"/>
        <v>0</v>
      </c>
    </row>
    <row r="25" spans="1:16" ht="15.6">
      <c r="A25" s="391" t="s">
        <v>249</v>
      </c>
      <c r="B25" s="391" t="s">
        <v>220</v>
      </c>
      <c r="C25" s="392" t="s">
        <v>1732</v>
      </c>
      <c r="D25" s="391">
        <v>358</v>
      </c>
      <c r="E25" s="391" t="s">
        <v>314</v>
      </c>
      <c r="F25" s="67">
        <v>0</v>
      </c>
      <c r="G25" s="67">
        <v>0</v>
      </c>
      <c r="H25" s="68">
        <f t="shared" si="1"/>
        <v>0</v>
      </c>
      <c r="I25" s="67">
        <v>0</v>
      </c>
      <c r="J25" s="67">
        <v>0</v>
      </c>
      <c r="K25" s="67">
        <v>0</v>
      </c>
      <c r="L25" s="68">
        <f t="shared" si="2"/>
        <v>0</v>
      </c>
      <c r="M25" s="67">
        <v>0</v>
      </c>
      <c r="N25" s="68">
        <f t="shared" si="0"/>
        <v>0</v>
      </c>
      <c r="O25" s="68">
        <f t="shared" si="0"/>
        <v>0</v>
      </c>
      <c r="P25" s="68">
        <f t="shared" si="0"/>
        <v>0</v>
      </c>
    </row>
    <row r="26" spans="1:16" ht="15.6">
      <c r="A26" s="391" t="s">
        <v>253</v>
      </c>
      <c r="B26" s="391" t="s">
        <v>220</v>
      </c>
      <c r="C26" s="392" t="s">
        <v>1732</v>
      </c>
      <c r="D26" s="391">
        <v>359</v>
      </c>
      <c r="E26" s="391" t="s">
        <v>315</v>
      </c>
      <c r="F26" s="67">
        <v>0</v>
      </c>
      <c r="G26" s="67">
        <v>0</v>
      </c>
      <c r="H26" s="68">
        <f t="shared" si="1"/>
        <v>0</v>
      </c>
      <c r="I26" s="67">
        <v>0</v>
      </c>
      <c r="J26" s="67">
        <v>0</v>
      </c>
      <c r="K26" s="67">
        <v>0</v>
      </c>
      <c r="L26" s="68">
        <f t="shared" si="2"/>
        <v>0</v>
      </c>
      <c r="M26" s="67">
        <v>0</v>
      </c>
      <c r="N26" s="68">
        <f>AVERAGE(F26,J26)</f>
        <v>0</v>
      </c>
      <c r="O26" s="68">
        <f t="shared" si="0"/>
        <v>0</v>
      </c>
      <c r="P26" s="68">
        <f t="shared" si="0"/>
        <v>0</v>
      </c>
    </row>
    <row r="27" spans="1:16" ht="16.2" thickBot="1">
      <c r="A27" s="391" t="s">
        <v>146</v>
      </c>
      <c r="B27" s="391"/>
      <c r="C27" s="392"/>
      <c r="D27" s="391"/>
      <c r="E27" s="391"/>
      <c r="F27" s="67"/>
      <c r="G27" s="67"/>
      <c r="H27" s="67"/>
      <c r="I27" s="67"/>
      <c r="J27" s="67"/>
      <c r="K27" s="67"/>
      <c r="L27" s="67"/>
      <c r="M27" s="67"/>
      <c r="N27" s="67"/>
      <c r="O27" s="67"/>
      <c r="P27" s="67"/>
    </row>
    <row r="28" spans="1:16" ht="16.2" thickBot="1">
      <c r="A28" s="1403">
        <v>1</v>
      </c>
      <c r="B28" s="1404"/>
      <c r="C28" s="1404"/>
      <c r="D28" s="1404"/>
      <c r="E28" s="1405" t="s">
        <v>1733</v>
      </c>
      <c r="F28" s="1397">
        <f>SUM(F18:F27)</f>
        <v>48367047</v>
      </c>
      <c r="G28" s="1397">
        <f t="shared" ref="G28:M28" si="3">SUM(G18:G27)</f>
        <v>4284938</v>
      </c>
      <c r="H28" s="1397">
        <f t="shared" si="3"/>
        <v>44082109</v>
      </c>
      <c r="I28" s="1397">
        <f t="shared" si="3"/>
        <v>765940</v>
      </c>
      <c r="J28" s="1397">
        <f t="shared" si="3"/>
        <v>48367046</v>
      </c>
      <c r="K28" s="1397">
        <f t="shared" si="3"/>
        <v>3518998</v>
      </c>
      <c r="L28" s="1397">
        <f t="shared" si="3"/>
        <v>44848048</v>
      </c>
      <c r="M28" s="1397">
        <f t="shared" si="3"/>
        <v>641755</v>
      </c>
      <c r="N28" s="1397">
        <f>AVERAGE(F28,J28)</f>
        <v>48367046.5</v>
      </c>
      <c r="O28" s="1397">
        <f t="shared" si="0"/>
        <v>3901968</v>
      </c>
      <c r="P28" s="1397">
        <f t="shared" si="0"/>
        <v>44465078.5</v>
      </c>
    </row>
    <row r="29" spans="1:16" ht="15.6">
      <c r="A29" s="393"/>
      <c r="B29" s="394"/>
      <c r="C29" s="394"/>
      <c r="D29" s="394"/>
      <c r="E29" s="385"/>
      <c r="F29" s="68"/>
      <c r="G29" s="68"/>
      <c r="H29" s="68"/>
      <c r="I29" s="68"/>
      <c r="J29" s="68"/>
      <c r="K29" s="68"/>
      <c r="L29" s="68"/>
      <c r="M29" s="68"/>
      <c r="N29" s="68"/>
      <c r="O29" s="68"/>
      <c r="P29" s="68"/>
    </row>
    <row r="30" spans="1:16" ht="15.6">
      <c r="A30" s="391" t="s">
        <v>769</v>
      </c>
      <c r="B30" s="391" t="s">
        <v>220</v>
      </c>
      <c r="C30" s="392" t="s">
        <v>1734</v>
      </c>
      <c r="D30" s="391">
        <v>350</v>
      </c>
      <c r="E30" s="391" t="s">
        <v>1251</v>
      </c>
      <c r="F30" s="67">
        <v>0</v>
      </c>
      <c r="G30" s="67">
        <v>0</v>
      </c>
      <c r="H30" s="68">
        <f>+F30-G30</f>
        <v>0</v>
      </c>
      <c r="I30" s="67">
        <v>0</v>
      </c>
      <c r="J30" s="67">
        <v>0</v>
      </c>
      <c r="K30" s="67">
        <v>0</v>
      </c>
      <c r="L30" s="68">
        <f>+J30-K30</f>
        <v>0</v>
      </c>
      <c r="M30" s="67">
        <v>0</v>
      </c>
      <c r="N30" s="68">
        <f t="shared" si="0"/>
        <v>0</v>
      </c>
      <c r="O30" s="68">
        <f t="shared" si="0"/>
        <v>0</v>
      </c>
      <c r="P30" s="68">
        <f t="shared" si="0"/>
        <v>0</v>
      </c>
    </row>
    <row r="31" spans="1:16" ht="15.6">
      <c r="A31" s="391" t="s">
        <v>771</v>
      </c>
      <c r="B31" s="391" t="s">
        <v>220</v>
      </c>
      <c r="C31" s="392" t="s">
        <v>1734</v>
      </c>
      <c r="D31" s="391">
        <v>352</v>
      </c>
      <c r="E31" s="391" t="s">
        <v>308</v>
      </c>
      <c r="F31" s="67">
        <v>0</v>
      </c>
      <c r="G31" s="67">
        <v>0</v>
      </c>
      <c r="H31" s="68">
        <f>+F31-G31</f>
        <v>0</v>
      </c>
      <c r="I31" s="67">
        <v>0</v>
      </c>
      <c r="J31" s="67">
        <v>0</v>
      </c>
      <c r="K31" s="67">
        <v>0</v>
      </c>
      <c r="L31" s="68">
        <f>+J31-K31</f>
        <v>0</v>
      </c>
      <c r="M31" s="67">
        <v>0</v>
      </c>
      <c r="N31" s="68">
        <f t="shared" si="0"/>
        <v>0</v>
      </c>
      <c r="O31" s="68">
        <f t="shared" si="0"/>
        <v>0</v>
      </c>
      <c r="P31" s="68">
        <f t="shared" si="0"/>
        <v>0</v>
      </c>
    </row>
    <row r="32" spans="1:16" ht="15.6">
      <c r="A32" s="391" t="s">
        <v>773</v>
      </c>
      <c r="B32" s="391" t="s">
        <v>220</v>
      </c>
      <c r="C32" s="392" t="s">
        <v>1734</v>
      </c>
      <c r="D32" s="391">
        <v>353</v>
      </c>
      <c r="E32" s="391" t="s">
        <v>189</v>
      </c>
      <c r="F32" s="67">
        <v>0</v>
      </c>
      <c r="G32" s="67">
        <v>0</v>
      </c>
      <c r="H32" s="68">
        <f t="shared" ref="H32:H38" si="4">+F32-G32</f>
        <v>0</v>
      </c>
      <c r="I32" s="67">
        <v>0</v>
      </c>
      <c r="J32" s="67">
        <v>0</v>
      </c>
      <c r="K32" s="67">
        <v>0</v>
      </c>
      <c r="L32" s="68">
        <f t="shared" ref="L32:L38" si="5">+J32-K32</f>
        <v>0</v>
      </c>
      <c r="M32" s="67">
        <v>0</v>
      </c>
      <c r="N32" s="68">
        <f t="shared" si="0"/>
        <v>0</v>
      </c>
      <c r="O32" s="68">
        <f t="shared" si="0"/>
        <v>0</v>
      </c>
      <c r="P32" s="68">
        <f t="shared" si="0"/>
        <v>0</v>
      </c>
    </row>
    <row r="33" spans="1:16" ht="15.6">
      <c r="A33" s="391" t="s">
        <v>775</v>
      </c>
      <c r="B33" s="391" t="s">
        <v>220</v>
      </c>
      <c r="C33" s="392" t="s">
        <v>1734</v>
      </c>
      <c r="D33" s="391">
        <v>354</v>
      </c>
      <c r="E33" s="391" t="s">
        <v>310</v>
      </c>
      <c r="F33" s="67">
        <v>0</v>
      </c>
      <c r="G33" s="67">
        <v>0</v>
      </c>
      <c r="H33" s="68">
        <f t="shared" si="4"/>
        <v>0</v>
      </c>
      <c r="I33" s="67">
        <v>0</v>
      </c>
      <c r="J33" s="67">
        <v>0</v>
      </c>
      <c r="K33" s="67">
        <v>0</v>
      </c>
      <c r="L33" s="68">
        <f t="shared" si="5"/>
        <v>0</v>
      </c>
      <c r="M33" s="67">
        <v>0</v>
      </c>
      <c r="N33" s="68">
        <f t="shared" si="0"/>
        <v>0</v>
      </c>
      <c r="O33" s="68">
        <f t="shared" si="0"/>
        <v>0</v>
      </c>
      <c r="P33" s="68">
        <f t="shared" si="0"/>
        <v>0</v>
      </c>
    </row>
    <row r="34" spans="1:16" ht="15.6">
      <c r="A34" s="391" t="s">
        <v>777</v>
      </c>
      <c r="B34" s="391" t="s">
        <v>220</v>
      </c>
      <c r="C34" s="392" t="s">
        <v>1734</v>
      </c>
      <c r="D34" s="391">
        <v>355</v>
      </c>
      <c r="E34" s="391" t="s">
        <v>311</v>
      </c>
      <c r="F34" s="67">
        <v>0</v>
      </c>
      <c r="G34" s="67">
        <v>0</v>
      </c>
      <c r="H34" s="68">
        <f t="shared" si="4"/>
        <v>0</v>
      </c>
      <c r="I34" s="67">
        <v>0</v>
      </c>
      <c r="J34" s="67">
        <v>0</v>
      </c>
      <c r="K34" s="67">
        <v>0</v>
      </c>
      <c r="L34" s="68">
        <f t="shared" si="5"/>
        <v>0</v>
      </c>
      <c r="M34" s="67">
        <v>0</v>
      </c>
      <c r="N34" s="68">
        <f t="shared" si="0"/>
        <v>0</v>
      </c>
      <c r="O34" s="68">
        <f t="shared" si="0"/>
        <v>0</v>
      </c>
      <c r="P34" s="68">
        <f t="shared" si="0"/>
        <v>0</v>
      </c>
    </row>
    <row r="35" spans="1:16" ht="15.6">
      <c r="A35" s="391" t="s">
        <v>779</v>
      </c>
      <c r="B35" s="391" t="s">
        <v>220</v>
      </c>
      <c r="C35" s="392" t="s">
        <v>1734</v>
      </c>
      <c r="D35" s="391">
        <v>356</v>
      </c>
      <c r="E35" s="391" t="s">
        <v>312</v>
      </c>
      <c r="F35" s="67">
        <v>0</v>
      </c>
      <c r="G35" s="67">
        <v>0</v>
      </c>
      <c r="H35" s="68">
        <f t="shared" si="4"/>
        <v>0</v>
      </c>
      <c r="I35" s="67">
        <v>0</v>
      </c>
      <c r="J35" s="67">
        <v>0</v>
      </c>
      <c r="K35" s="67">
        <v>0</v>
      </c>
      <c r="L35" s="68">
        <f t="shared" si="5"/>
        <v>0</v>
      </c>
      <c r="M35" s="67">
        <v>0</v>
      </c>
      <c r="N35" s="68">
        <f t="shared" si="0"/>
        <v>0</v>
      </c>
      <c r="O35" s="68">
        <f t="shared" si="0"/>
        <v>0</v>
      </c>
      <c r="P35" s="68">
        <f t="shared" si="0"/>
        <v>0</v>
      </c>
    </row>
    <row r="36" spans="1:16" ht="15.6">
      <c r="A36" s="391" t="s">
        <v>781</v>
      </c>
      <c r="B36" s="391" t="s">
        <v>220</v>
      </c>
      <c r="C36" s="392" t="s">
        <v>1734</v>
      </c>
      <c r="D36" s="391">
        <v>357</v>
      </c>
      <c r="E36" s="391" t="s">
        <v>313</v>
      </c>
      <c r="F36" s="67">
        <v>0</v>
      </c>
      <c r="G36" s="67">
        <v>0</v>
      </c>
      <c r="H36" s="68">
        <f t="shared" si="4"/>
        <v>0</v>
      </c>
      <c r="I36" s="67">
        <v>0</v>
      </c>
      <c r="J36" s="67">
        <v>0</v>
      </c>
      <c r="K36" s="67">
        <v>0</v>
      </c>
      <c r="L36" s="68">
        <f t="shared" si="5"/>
        <v>0</v>
      </c>
      <c r="M36" s="67">
        <v>0</v>
      </c>
      <c r="N36" s="68">
        <f t="shared" si="0"/>
        <v>0</v>
      </c>
      <c r="O36" s="68">
        <f t="shared" si="0"/>
        <v>0</v>
      </c>
      <c r="P36" s="68">
        <f t="shared" si="0"/>
        <v>0</v>
      </c>
    </row>
    <row r="37" spans="1:16" ht="15.6">
      <c r="A37" s="391" t="s">
        <v>783</v>
      </c>
      <c r="B37" s="391" t="s">
        <v>220</v>
      </c>
      <c r="C37" s="392" t="s">
        <v>1734</v>
      </c>
      <c r="D37" s="391">
        <v>358</v>
      </c>
      <c r="E37" s="391" t="s">
        <v>314</v>
      </c>
      <c r="F37" s="67">
        <v>0</v>
      </c>
      <c r="G37" s="67">
        <v>0</v>
      </c>
      <c r="H37" s="68">
        <f t="shared" si="4"/>
        <v>0</v>
      </c>
      <c r="I37" s="67">
        <v>0</v>
      </c>
      <c r="J37" s="67">
        <v>0</v>
      </c>
      <c r="K37" s="67">
        <v>0</v>
      </c>
      <c r="L37" s="68">
        <f t="shared" si="5"/>
        <v>0</v>
      </c>
      <c r="M37" s="67">
        <v>0</v>
      </c>
      <c r="N37" s="68">
        <f t="shared" si="0"/>
        <v>0</v>
      </c>
      <c r="O37" s="68">
        <f t="shared" si="0"/>
        <v>0</v>
      </c>
      <c r="P37" s="68">
        <f t="shared" si="0"/>
        <v>0</v>
      </c>
    </row>
    <row r="38" spans="1:16" ht="15.6">
      <c r="A38" s="391" t="s">
        <v>785</v>
      </c>
      <c r="B38" s="391" t="s">
        <v>220</v>
      </c>
      <c r="C38" s="392" t="s">
        <v>1734</v>
      </c>
      <c r="D38" s="391">
        <v>359</v>
      </c>
      <c r="E38" s="391" t="s">
        <v>315</v>
      </c>
      <c r="F38" s="67">
        <v>0</v>
      </c>
      <c r="G38" s="67">
        <v>0</v>
      </c>
      <c r="H38" s="68">
        <f t="shared" si="4"/>
        <v>0</v>
      </c>
      <c r="I38" s="67">
        <v>0</v>
      </c>
      <c r="J38" s="67">
        <v>0</v>
      </c>
      <c r="K38" s="67">
        <v>0</v>
      </c>
      <c r="L38" s="68">
        <f t="shared" si="5"/>
        <v>0</v>
      </c>
      <c r="M38" s="67">
        <v>0</v>
      </c>
      <c r="N38" s="68">
        <f t="shared" si="0"/>
        <v>0</v>
      </c>
      <c r="O38" s="68">
        <f t="shared" si="0"/>
        <v>0</v>
      </c>
      <c r="P38" s="68">
        <f t="shared" si="0"/>
        <v>0</v>
      </c>
    </row>
    <row r="39" spans="1:16" ht="16.2" thickBot="1">
      <c r="A39" s="391" t="s">
        <v>146</v>
      </c>
      <c r="B39" s="391"/>
      <c r="C39" s="392"/>
      <c r="D39" s="391"/>
      <c r="E39" s="391"/>
      <c r="F39" s="67"/>
      <c r="G39" s="67"/>
      <c r="H39" s="67"/>
      <c r="I39" s="67"/>
      <c r="J39" s="67"/>
      <c r="K39" s="67"/>
      <c r="L39" s="67"/>
      <c r="M39" s="67"/>
      <c r="N39" s="67"/>
      <c r="O39" s="67"/>
      <c r="P39" s="67"/>
    </row>
    <row r="40" spans="1:16" ht="16.2" thickBot="1">
      <c r="A40" s="1403">
        <v>2</v>
      </c>
      <c r="B40" s="1404"/>
      <c r="C40" s="1404"/>
      <c r="D40" s="1404"/>
      <c r="E40" s="1405" t="s">
        <v>1735</v>
      </c>
      <c r="F40" s="1397">
        <f>SUM(F30:F39)</f>
        <v>0</v>
      </c>
      <c r="G40" s="1397">
        <f t="shared" ref="G40:L40" si="6">SUM(G30:G39)</f>
        <v>0</v>
      </c>
      <c r="H40" s="1397">
        <f t="shared" si="6"/>
        <v>0</v>
      </c>
      <c r="I40" s="1397">
        <f>SUM(I30:I39)</f>
        <v>0</v>
      </c>
      <c r="J40" s="1397">
        <f t="shared" si="6"/>
        <v>0</v>
      </c>
      <c r="K40" s="1397">
        <f>SUM(K30:K39)</f>
        <v>0</v>
      </c>
      <c r="L40" s="1397">
        <f t="shared" si="6"/>
        <v>0</v>
      </c>
      <c r="M40" s="1397">
        <f>SUM(M30:M39)</f>
        <v>0</v>
      </c>
      <c r="N40" s="1397">
        <f t="shared" si="0"/>
        <v>0</v>
      </c>
      <c r="O40" s="1397">
        <f t="shared" si="0"/>
        <v>0</v>
      </c>
      <c r="P40" s="1397">
        <f t="shared" si="0"/>
        <v>0</v>
      </c>
    </row>
    <row r="41" spans="1:16" ht="15.6">
      <c r="A41" s="393"/>
      <c r="B41" s="394"/>
      <c r="C41" s="394"/>
      <c r="D41" s="394"/>
      <c r="E41" s="385"/>
      <c r="F41" s="68"/>
      <c r="G41" s="68"/>
      <c r="H41" s="68"/>
      <c r="I41" s="68"/>
      <c r="J41" s="68"/>
      <c r="K41" s="68"/>
      <c r="L41" s="68"/>
      <c r="M41" s="68"/>
      <c r="N41" s="68"/>
      <c r="O41" s="68"/>
      <c r="P41" s="68"/>
    </row>
    <row r="42" spans="1:16" ht="15.6">
      <c r="A42" s="391" t="s">
        <v>183</v>
      </c>
      <c r="B42" s="391" t="s">
        <v>220</v>
      </c>
      <c r="C42" s="392" t="s">
        <v>1736</v>
      </c>
      <c r="D42" s="391">
        <v>350</v>
      </c>
      <c r="E42" s="391" t="s">
        <v>1251</v>
      </c>
      <c r="F42" s="67">
        <v>0</v>
      </c>
      <c r="G42" s="67">
        <v>0</v>
      </c>
      <c r="H42" s="68">
        <v>0</v>
      </c>
      <c r="I42" s="67">
        <v>0</v>
      </c>
      <c r="J42" s="67">
        <v>0</v>
      </c>
      <c r="K42" s="67">
        <v>0</v>
      </c>
      <c r="L42" s="68">
        <f>+J42-K42</f>
        <v>0</v>
      </c>
      <c r="M42" s="67">
        <v>0</v>
      </c>
      <c r="N42" s="68">
        <f t="shared" ref="N42:P50" si="7">AVERAGE(F42,J42)</f>
        <v>0</v>
      </c>
      <c r="O42" s="68">
        <f t="shared" si="7"/>
        <v>0</v>
      </c>
      <c r="P42" s="68">
        <f t="shared" si="7"/>
        <v>0</v>
      </c>
    </row>
    <row r="43" spans="1:16" ht="15.6">
      <c r="A43" s="391" t="s">
        <v>185</v>
      </c>
      <c r="B43" s="391" t="s">
        <v>220</v>
      </c>
      <c r="C43" s="392" t="s">
        <v>1736</v>
      </c>
      <c r="D43" s="391">
        <v>352</v>
      </c>
      <c r="E43" s="391" t="s">
        <v>308</v>
      </c>
      <c r="F43" s="67">
        <v>0</v>
      </c>
      <c r="G43" s="67">
        <v>0</v>
      </c>
      <c r="H43" s="68">
        <v>0</v>
      </c>
      <c r="I43" s="67">
        <v>0</v>
      </c>
      <c r="J43" s="67">
        <v>0</v>
      </c>
      <c r="K43" s="67">
        <v>0</v>
      </c>
      <c r="L43" s="68">
        <f>+J43-K43</f>
        <v>0</v>
      </c>
      <c r="M43" s="67">
        <v>0</v>
      </c>
      <c r="N43" s="68">
        <f t="shared" si="7"/>
        <v>0</v>
      </c>
      <c r="O43" s="68">
        <f t="shared" si="7"/>
        <v>0</v>
      </c>
      <c r="P43" s="68">
        <f t="shared" si="7"/>
        <v>0</v>
      </c>
    </row>
    <row r="44" spans="1:16" ht="15.6">
      <c r="A44" s="391" t="s">
        <v>188</v>
      </c>
      <c r="B44" s="391" t="s">
        <v>220</v>
      </c>
      <c r="C44" s="392" t="s">
        <v>1736</v>
      </c>
      <c r="D44" s="391">
        <v>353</v>
      </c>
      <c r="E44" s="391" t="s">
        <v>189</v>
      </c>
      <c r="F44" s="67">
        <v>0</v>
      </c>
      <c r="G44" s="67">
        <v>0</v>
      </c>
      <c r="H44" s="68">
        <v>0</v>
      </c>
      <c r="I44" s="67">
        <v>0</v>
      </c>
      <c r="J44" s="67">
        <v>0</v>
      </c>
      <c r="K44" s="67">
        <v>0</v>
      </c>
      <c r="L44" s="68">
        <f t="shared" ref="L44:L50" si="8">+J44-K44</f>
        <v>0</v>
      </c>
      <c r="M44" s="67">
        <v>0</v>
      </c>
      <c r="N44" s="68">
        <f t="shared" si="7"/>
        <v>0</v>
      </c>
      <c r="O44" s="68">
        <f t="shared" si="7"/>
        <v>0</v>
      </c>
      <c r="P44" s="68">
        <f t="shared" si="7"/>
        <v>0</v>
      </c>
    </row>
    <row r="45" spans="1:16" ht="15.6">
      <c r="A45" s="391" t="s">
        <v>191</v>
      </c>
      <c r="B45" s="391" t="s">
        <v>220</v>
      </c>
      <c r="C45" s="392" t="s">
        <v>1736</v>
      </c>
      <c r="D45" s="391">
        <v>354</v>
      </c>
      <c r="E45" s="391" t="s">
        <v>310</v>
      </c>
      <c r="F45" s="67">
        <v>0</v>
      </c>
      <c r="G45" s="67">
        <v>0</v>
      </c>
      <c r="H45" s="68">
        <v>0</v>
      </c>
      <c r="I45" s="67">
        <v>0</v>
      </c>
      <c r="J45" s="67">
        <v>0</v>
      </c>
      <c r="K45" s="67">
        <v>0</v>
      </c>
      <c r="L45" s="68">
        <f t="shared" si="8"/>
        <v>0</v>
      </c>
      <c r="M45" s="67">
        <v>0</v>
      </c>
      <c r="N45" s="68">
        <f t="shared" si="7"/>
        <v>0</v>
      </c>
      <c r="O45" s="68">
        <f t="shared" si="7"/>
        <v>0</v>
      </c>
      <c r="P45" s="68">
        <f t="shared" si="7"/>
        <v>0</v>
      </c>
    </row>
    <row r="46" spans="1:16" ht="15.6">
      <c r="A46" s="391" t="s">
        <v>194</v>
      </c>
      <c r="B46" s="391" t="s">
        <v>220</v>
      </c>
      <c r="C46" s="392" t="s">
        <v>1736</v>
      </c>
      <c r="D46" s="391">
        <v>355</v>
      </c>
      <c r="E46" s="391" t="s">
        <v>311</v>
      </c>
      <c r="F46" s="67">
        <v>22342278</v>
      </c>
      <c r="G46" s="67">
        <v>38941</v>
      </c>
      <c r="H46" s="68">
        <f t="shared" ref="H46:H50" si="9">+F46-G46</f>
        <v>22303337</v>
      </c>
      <c r="I46" s="67">
        <v>38941</v>
      </c>
      <c r="J46" s="67">
        <v>0</v>
      </c>
      <c r="K46" s="67">
        <v>0</v>
      </c>
      <c r="L46" s="68">
        <f t="shared" si="8"/>
        <v>0</v>
      </c>
      <c r="M46" s="67">
        <v>0</v>
      </c>
      <c r="N46" s="68">
        <f t="shared" si="7"/>
        <v>11171139</v>
      </c>
      <c r="O46" s="68">
        <f t="shared" si="7"/>
        <v>19470.5</v>
      </c>
      <c r="P46" s="68">
        <f t="shared" si="7"/>
        <v>11151668.5</v>
      </c>
    </row>
    <row r="47" spans="1:16" ht="15.6">
      <c r="A47" s="391" t="s">
        <v>197</v>
      </c>
      <c r="B47" s="391" t="s">
        <v>220</v>
      </c>
      <c r="C47" s="392" t="s">
        <v>1736</v>
      </c>
      <c r="D47" s="391">
        <v>356</v>
      </c>
      <c r="E47" s="391" t="s">
        <v>312</v>
      </c>
      <c r="F47" s="67">
        <v>6177588</v>
      </c>
      <c r="G47" s="67">
        <v>13155</v>
      </c>
      <c r="H47" s="68">
        <f t="shared" si="9"/>
        <v>6164433</v>
      </c>
      <c r="I47" s="67">
        <v>13155</v>
      </c>
      <c r="J47" s="67">
        <v>0</v>
      </c>
      <c r="K47" s="67">
        <v>0</v>
      </c>
      <c r="L47" s="68">
        <f t="shared" si="8"/>
        <v>0</v>
      </c>
      <c r="M47" s="67">
        <v>0</v>
      </c>
      <c r="N47" s="68">
        <f t="shared" si="7"/>
        <v>3088794</v>
      </c>
      <c r="O47" s="68">
        <f t="shared" si="7"/>
        <v>6577.5</v>
      </c>
      <c r="P47" s="68">
        <f t="shared" si="7"/>
        <v>3082216.5</v>
      </c>
    </row>
    <row r="48" spans="1:16" ht="15.6">
      <c r="A48" s="391" t="s">
        <v>322</v>
      </c>
      <c r="B48" s="391" t="s">
        <v>220</v>
      </c>
      <c r="C48" s="392" t="s">
        <v>1736</v>
      </c>
      <c r="D48" s="391">
        <v>357</v>
      </c>
      <c r="E48" s="391" t="s">
        <v>313</v>
      </c>
      <c r="F48" s="67">
        <v>0</v>
      </c>
      <c r="G48" s="67">
        <v>0</v>
      </c>
      <c r="H48" s="68">
        <v>0</v>
      </c>
      <c r="I48" s="67">
        <v>0</v>
      </c>
      <c r="J48" s="67">
        <v>0</v>
      </c>
      <c r="K48" s="67">
        <v>0</v>
      </c>
      <c r="L48" s="68">
        <f t="shared" si="8"/>
        <v>0</v>
      </c>
      <c r="M48" s="67">
        <v>0</v>
      </c>
      <c r="N48" s="68">
        <f t="shared" si="7"/>
        <v>0</v>
      </c>
      <c r="O48" s="68">
        <f t="shared" si="7"/>
        <v>0</v>
      </c>
      <c r="P48" s="68">
        <f t="shared" si="7"/>
        <v>0</v>
      </c>
    </row>
    <row r="49" spans="1:16" ht="15.6">
      <c r="A49" s="391" t="s">
        <v>324</v>
      </c>
      <c r="B49" s="391" t="s">
        <v>220</v>
      </c>
      <c r="C49" s="392" t="s">
        <v>1736</v>
      </c>
      <c r="D49" s="391">
        <v>358</v>
      </c>
      <c r="E49" s="391" t="s">
        <v>314</v>
      </c>
      <c r="F49" s="67">
        <v>0</v>
      </c>
      <c r="G49" s="67">
        <v>0</v>
      </c>
      <c r="H49" s="68">
        <v>0</v>
      </c>
      <c r="I49" s="67">
        <v>0</v>
      </c>
      <c r="J49" s="67">
        <v>0</v>
      </c>
      <c r="K49" s="67">
        <v>0</v>
      </c>
      <c r="L49" s="68">
        <f t="shared" si="8"/>
        <v>0</v>
      </c>
      <c r="M49" s="67">
        <v>0</v>
      </c>
      <c r="N49" s="68">
        <f t="shared" si="7"/>
        <v>0</v>
      </c>
      <c r="O49" s="68">
        <f t="shared" si="7"/>
        <v>0</v>
      </c>
      <c r="P49" s="68">
        <f t="shared" si="7"/>
        <v>0</v>
      </c>
    </row>
    <row r="50" spans="1:16" ht="15.6">
      <c r="A50" s="391" t="s">
        <v>326</v>
      </c>
      <c r="B50" s="391" t="s">
        <v>220</v>
      </c>
      <c r="C50" s="392" t="s">
        <v>1736</v>
      </c>
      <c r="D50" s="391">
        <v>359</v>
      </c>
      <c r="E50" s="391" t="s">
        <v>315</v>
      </c>
      <c r="F50" s="67">
        <v>5147990</v>
      </c>
      <c r="G50" s="67">
        <v>11005</v>
      </c>
      <c r="H50" s="68">
        <f t="shared" si="9"/>
        <v>5136985</v>
      </c>
      <c r="I50" s="67">
        <v>11005</v>
      </c>
      <c r="J50" s="67">
        <v>0</v>
      </c>
      <c r="K50" s="67">
        <v>0</v>
      </c>
      <c r="L50" s="68">
        <f t="shared" si="8"/>
        <v>0</v>
      </c>
      <c r="M50" s="67">
        <v>0</v>
      </c>
      <c r="N50" s="68">
        <f t="shared" si="7"/>
        <v>2573995</v>
      </c>
      <c r="O50" s="68">
        <f t="shared" si="7"/>
        <v>5502.5</v>
      </c>
      <c r="P50" s="68">
        <f t="shared" si="7"/>
        <v>2568492.5</v>
      </c>
    </row>
    <row r="51" spans="1:16" ht="16.2" thickBot="1">
      <c r="A51" s="391" t="s">
        <v>146</v>
      </c>
      <c r="B51" s="391"/>
      <c r="C51" s="392"/>
      <c r="D51" s="391"/>
      <c r="E51" s="391"/>
      <c r="F51" s="67"/>
      <c r="G51" s="67"/>
      <c r="H51" s="67"/>
      <c r="I51" s="67"/>
      <c r="J51" s="67"/>
      <c r="K51" s="67"/>
      <c r="L51" s="67"/>
      <c r="M51" s="67"/>
      <c r="N51" s="67"/>
      <c r="O51" s="67"/>
      <c r="P51" s="67"/>
    </row>
    <row r="52" spans="1:16" ht="16.2" thickBot="1">
      <c r="A52" s="1403">
        <v>3</v>
      </c>
      <c r="B52" s="1404"/>
      <c r="C52" s="1404"/>
      <c r="D52" s="1404"/>
      <c r="E52" s="1405" t="s">
        <v>1737</v>
      </c>
      <c r="F52" s="1397">
        <f>SUM(F42:F51)</f>
        <v>33667856</v>
      </c>
      <c r="G52" s="1397">
        <f t="shared" ref="G52:M52" si="10">SUM(G42:G51)</f>
        <v>63101</v>
      </c>
      <c r="H52" s="1397">
        <f t="shared" si="10"/>
        <v>33604755</v>
      </c>
      <c r="I52" s="1397">
        <f t="shared" si="10"/>
        <v>63101</v>
      </c>
      <c r="J52" s="1397">
        <f t="shared" si="10"/>
        <v>0</v>
      </c>
      <c r="K52" s="1397">
        <f t="shared" si="10"/>
        <v>0</v>
      </c>
      <c r="L52" s="1397">
        <f t="shared" si="10"/>
        <v>0</v>
      </c>
      <c r="M52" s="1397">
        <f t="shared" si="10"/>
        <v>0</v>
      </c>
      <c r="N52" s="1397">
        <f t="shared" ref="N52:P52" si="11">AVERAGE(F52,J52)</f>
        <v>16833928</v>
      </c>
      <c r="O52" s="1397">
        <f t="shared" si="11"/>
        <v>31550.5</v>
      </c>
      <c r="P52" s="1397">
        <f t="shared" si="11"/>
        <v>16802377.5</v>
      </c>
    </row>
    <row r="54" spans="1:16" customFormat="1">
      <c r="A54" s="395" t="s">
        <v>146</v>
      </c>
      <c r="B54" s="395"/>
      <c r="C54" s="395"/>
      <c r="D54" s="395"/>
      <c r="E54" s="395"/>
      <c r="F54" s="395"/>
      <c r="G54" s="395"/>
      <c r="H54" s="395"/>
      <c r="I54" s="395"/>
      <c r="J54" s="395"/>
      <c r="K54" s="395"/>
      <c r="L54" s="395"/>
      <c r="M54" s="395"/>
      <c r="N54" s="395"/>
      <c r="O54" s="395"/>
      <c r="P54" s="395"/>
    </row>
  </sheetData>
  <mergeCells count="8">
    <mergeCell ref="F10:I10"/>
    <mergeCell ref="J10:M10"/>
    <mergeCell ref="N10:P10"/>
    <mergeCell ref="A3:P3"/>
    <mergeCell ref="A4:P4"/>
    <mergeCell ref="A5:P5"/>
    <mergeCell ref="B7:P7"/>
    <mergeCell ref="B8:P8"/>
  </mergeCells>
  <pageMargins left="0.7" right="0.7" top="0.75" bottom="0.75" header="0.3" footer="0.3"/>
  <pageSetup scale="3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FFC000"/>
    <pageSetUpPr fitToPage="1"/>
  </sheetPr>
  <dimension ref="A1:N54"/>
  <sheetViews>
    <sheetView view="pageBreakPreview" zoomScale="115" zoomScaleNormal="70" zoomScaleSheetLayoutView="115" workbookViewId="0">
      <selection activeCell="K25" sqref="K25"/>
    </sheetView>
  </sheetViews>
  <sheetFormatPr defaultColWidth="9" defaultRowHeight="12"/>
  <cols>
    <col min="1" max="1" width="2.33203125" style="216" customWidth="1"/>
    <col min="2" max="2" width="1.33203125" style="216" customWidth="1"/>
    <col min="3" max="3" width="2.77734375" style="216" customWidth="1"/>
    <col min="4" max="4" width="6.33203125" style="216" customWidth="1"/>
    <col min="5" max="5" width="7.33203125" style="216" customWidth="1"/>
    <col min="6" max="6" width="22.109375" style="216" customWidth="1"/>
    <col min="7" max="7" width="4" style="216" customWidth="1"/>
    <col min="8" max="9" width="13.77734375" style="216" customWidth="1"/>
    <col min="10" max="10" width="12.33203125" style="216" bestFit="1" customWidth="1"/>
    <col min="11" max="11" width="3.44140625" style="216" customWidth="1"/>
    <col min="12" max="12" width="14.21875" style="216" bestFit="1" customWidth="1"/>
    <col min="13" max="13" width="2.44140625" style="216" customWidth="1"/>
    <col min="14" max="14" width="12.33203125" style="216" bestFit="1" customWidth="1"/>
    <col min="15" max="16384" width="9" style="216"/>
  </cols>
  <sheetData>
    <row r="1" spans="1:14" s="214" customFormat="1" ht="15.6">
      <c r="A1" s="70"/>
      <c r="B1" s="71"/>
      <c r="C1" s="71"/>
      <c r="D1" s="71"/>
      <c r="E1" s="71"/>
      <c r="F1" s="71"/>
      <c r="G1" s="71"/>
      <c r="H1" s="71"/>
      <c r="I1" s="71"/>
      <c r="J1" s="71"/>
      <c r="K1" s="71"/>
      <c r="L1" s="71"/>
      <c r="M1" s="71"/>
      <c r="N1" s="71"/>
    </row>
    <row r="3" spans="1:14" ht="17.399999999999999">
      <c r="A3" s="221"/>
      <c r="B3" s="218"/>
      <c r="C3" s="218"/>
      <c r="D3" s="218"/>
      <c r="E3" s="218"/>
      <c r="F3" s="218"/>
      <c r="G3" s="218"/>
      <c r="H3" s="218"/>
      <c r="I3" s="218"/>
      <c r="J3" s="218"/>
      <c r="K3" s="218"/>
      <c r="L3" s="218"/>
      <c r="M3" s="218"/>
      <c r="N3" s="218"/>
    </row>
    <row r="4" spans="1:14" ht="17.399999999999999">
      <c r="A4" s="1463" t="s">
        <v>0</v>
      </c>
      <c r="B4" s="1463"/>
      <c r="C4" s="1463"/>
      <c r="D4" s="1463"/>
      <c r="E4" s="1463"/>
      <c r="F4" s="1463"/>
      <c r="G4" s="1463"/>
      <c r="H4" s="1463"/>
      <c r="I4" s="1463"/>
      <c r="J4" s="1463"/>
      <c r="K4" s="1463"/>
      <c r="L4" s="1463"/>
      <c r="M4" s="1463"/>
      <c r="N4" s="1463"/>
    </row>
    <row r="5" spans="1:14" ht="17.399999999999999">
      <c r="A5" s="1463" t="s">
        <v>1</v>
      </c>
      <c r="B5" s="1463"/>
      <c r="C5" s="1463"/>
      <c r="D5" s="1463"/>
      <c r="E5" s="1463"/>
      <c r="F5" s="1463"/>
      <c r="G5" s="1463"/>
      <c r="H5" s="1463"/>
      <c r="I5" s="1463"/>
      <c r="J5" s="1463"/>
      <c r="K5" s="1463"/>
      <c r="L5" s="1463"/>
      <c r="M5" s="1463"/>
      <c r="N5" s="1463"/>
    </row>
    <row r="6" spans="1:14" ht="17.399999999999999">
      <c r="A6" s="1464" t="str">
        <f>SUMMARY!A7</f>
        <v>YEAR ENDING DECEMBER 31, 2022</v>
      </c>
      <c r="B6" s="1464"/>
      <c r="C6" s="1464"/>
      <c r="D6" s="1464"/>
      <c r="E6" s="1464"/>
      <c r="F6" s="1464"/>
      <c r="G6" s="1464"/>
      <c r="H6" s="1464"/>
      <c r="I6" s="1464"/>
      <c r="J6" s="1464"/>
      <c r="K6" s="1464"/>
      <c r="L6" s="1464"/>
      <c r="M6" s="1464"/>
      <c r="N6" s="1464"/>
    </row>
    <row r="7" spans="1:14" ht="12" customHeight="1">
      <c r="A7" s="218"/>
      <c r="B7" s="218"/>
      <c r="C7" s="218"/>
      <c r="D7" s="218"/>
      <c r="E7" s="218"/>
      <c r="F7" s="218"/>
      <c r="G7" s="218"/>
      <c r="H7" s="218"/>
      <c r="I7" s="218"/>
      <c r="J7" s="218"/>
      <c r="K7" s="218"/>
      <c r="L7" s="218"/>
      <c r="M7" s="218"/>
      <c r="N7" s="218"/>
    </row>
    <row r="8" spans="1:14" ht="17.399999999999999">
      <c r="A8" s="1463" t="s">
        <v>1738</v>
      </c>
      <c r="B8" s="1463"/>
      <c r="C8" s="1463"/>
      <c r="D8" s="1463"/>
      <c r="E8" s="1463"/>
      <c r="F8" s="1463"/>
      <c r="G8" s="1463"/>
      <c r="H8" s="1463"/>
      <c r="I8" s="1463"/>
      <c r="J8" s="1463"/>
      <c r="K8" s="1463"/>
      <c r="L8" s="1463"/>
      <c r="M8" s="1463"/>
      <c r="N8" s="1463"/>
    </row>
    <row r="9" spans="1:14" ht="17.399999999999999">
      <c r="A9" s="1463" t="s">
        <v>88</v>
      </c>
      <c r="B9" s="1463"/>
      <c r="C9" s="1463"/>
      <c r="D9" s="1463"/>
      <c r="E9" s="1463"/>
      <c r="F9" s="1463"/>
      <c r="G9" s="1463"/>
      <c r="H9" s="1463"/>
      <c r="I9" s="1463"/>
      <c r="J9" s="1463"/>
      <c r="K9" s="1463"/>
      <c r="L9" s="1463"/>
      <c r="M9" s="1463"/>
      <c r="N9" s="1463"/>
    </row>
    <row r="11" spans="1:14" s="73" customFormat="1" ht="13.2">
      <c r="D11" s="78" t="s">
        <v>8</v>
      </c>
      <c r="E11" s="353"/>
      <c r="F11" s="78" t="s">
        <v>9</v>
      </c>
      <c r="G11" s="353"/>
      <c r="H11" s="78" t="s">
        <v>359</v>
      </c>
      <c r="I11" s="359" t="s">
        <v>360</v>
      </c>
      <c r="J11" s="359" t="s">
        <v>162</v>
      </c>
      <c r="K11" s="353"/>
      <c r="L11" s="359" t="s">
        <v>163</v>
      </c>
      <c r="M11" s="353"/>
      <c r="N11" s="359" t="s">
        <v>228</v>
      </c>
    </row>
    <row r="12" spans="1:14" s="73" customFormat="1" ht="13.8">
      <c r="H12" s="360" t="s">
        <v>1739</v>
      </c>
      <c r="I12" s="360" t="s">
        <v>1739</v>
      </c>
      <c r="J12" s="360" t="s">
        <v>1740</v>
      </c>
      <c r="K12" s="360"/>
      <c r="L12" s="360"/>
      <c r="M12" s="360"/>
      <c r="N12" s="360"/>
    </row>
    <row r="13" spans="1:14" s="73" customFormat="1" ht="15.6">
      <c r="D13" s="1266" t="s">
        <v>1741</v>
      </c>
      <c r="H13" s="360" t="s">
        <v>1742</v>
      </c>
      <c r="I13" s="360" t="s">
        <v>1742</v>
      </c>
      <c r="J13" s="360" t="s">
        <v>1743</v>
      </c>
      <c r="K13" s="360"/>
      <c r="L13" s="360" t="s">
        <v>220</v>
      </c>
      <c r="M13" s="360"/>
      <c r="N13" s="360" t="s">
        <v>1094</v>
      </c>
    </row>
    <row r="14" spans="1:14" s="73" customFormat="1" ht="15.6">
      <c r="D14" s="1280" t="s">
        <v>1120</v>
      </c>
      <c r="E14" s="1268"/>
      <c r="F14" s="1199" t="s">
        <v>1716</v>
      </c>
      <c r="G14" s="1268"/>
      <c r="H14" s="1200">
        <v>44926</v>
      </c>
      <c r="I14" s="1200">
        <v>44561</v>
      </c>
      <c r="J14" s="1200" t="s">
        <v>1744</v>
      </c>
      <c r="K14" s="1201"/>
      <c r="L14" s="361" t="s">
        <v>576</v>
      </c>
      <c r="M14" s="1201"/>
      <c r="N14" s="361" t="s">
        <v>1745</v>
      </c>
    </row>
    <row r="15" spans="1:14" s="73" customFormat="1" ht="13.8">
      <c r="C15" s="362" t="s">
        <v>167</v>
      </c>
      <c r="D15" s="363">
        <v>1100</v>
      </c>
      <c r="E15" s="363"/>
      <c r="F15" s="363" t="s">
        <v>1746</v>
      </c>
      <c r="G15" s="362"/>
      <c r="H15" s="364">
        <v>20268137</v>
      </c>
      <c r="I15" s="364">
        <v>18889212.010000002</v>
      </c>
      <c r="J15" s="365"/>
      <c r="K15" s="365"/>
      <c r="L15" s="366"/>
      <c r="N15" s="367"/>
    </row>
    <row r="16" spans="1:14" s="73" customFormat="1" ht="13.8">
      <c r="C16" s="362" t="s">
        <v>171</v>
      </c>
      <c r="D16" s="363">
        <v>1200</v>
      </c>
      <c r="E16" s="363"/>
      <c r="F16" s="363" t="s">
        <v>1747</v>
      </c>
      <c r="G16" s="362"/>
      <c r="H16" s="364">
        <v>16681542</v>
      </c>
      <c r="I16" s="364">
        <v>16689852.76</v>
      </c>
      <c r="J16" s="365"/>
      <c r="K16" s="365"/>
      <c r="L16" s="366"/>
      <c r="N16" s="367"/>
    </row>
    <row r="17" spans="3:14" s="73" customFormat="1" ht="13.8">
      <c r="C17" s="362" t="s">
        <v>174</v>
      </c>
      <c r="D17" s="363">
        <v>3100</v>
      </c>
      <c r="E17" s="363"/>
      <c r="F17" s="363" t="s">
        <v>1748</v>
      </c>
      <c r="G17" s="362"/>
      <c r="H17" s="364">
        <v>13044149</v>
      </c>
      <c r="I17" s="364">
        <v>13312313.529999999</v>
      </c>
      <c r="J17" s="365"/>
      <c r="K17" s="365"/>
      <c r="L17" s="366"/>
      <c r="N17" s="367"/>
    </row>
    <row r="18" spans="3:14" s="73" customFormat="1" ht="13.8">
      <c r="C18" s="362" t="s">
        <v>177</v>
      </c>
      <c r="D18" s="363">
        <v>3200</v>
      </c>
      <c r="E18" s="363"/>
      <c r="F18" s="363" t="s">
        <v>953</v>
      </c>
      <c r="G18" s="362"/>
      <c r="H18" s="364">
        <v>10000131</v>
      </c>
      <c r="I18" s="364">
        <v>9883651.0700000003</v>
      </c>
      <c r="J18" s="365"/>
      <c r="K18" s="365"/>
      <c r="L18" s="366"/>
      <c r="N18" s="367"/>
    </row>
    <row r="19" spans="3:14" s="73" customFormat="1" ht="13.8">
      <c r="C19" s="362" t="s">
        <v>237</v>
      </c>
      <c r="D19" s="363">
        <v>1300</v>
      </c>
      <c r="E19" s="363"/>
      <c r="F19" s="363" t="s">
        <v>1749</v>
      </c>
      <c r="G19" s="362"/>
      <c r="H19" s="364">
        <v>12418238</v>
      </c>
      <c r="I19" s="364">
        <v>12203807.5</v>
      </c>
      <c r="J19" s="365"/>
      <c r="K19" s="365"/>
      <c r="L19" s="366"/>
      <c r="N19" s="367"/>
    </row>
    <row r="20" spans="3:14" s="73" customFormat="1" ht="13.8">
      <c r="C20" s="362" t="s">
        <v>241</v>
      </c>
      <c r="D20" s="363">
        <v>3300</v>
      </c>
      <c r="E20" s="363"/>
      <c r="F20" s="363" t="s">
        <v>1750</v>
      </c>
      <c r="G20" s="362"/>
      <c r="H20" s="364">
        <v>32399593</v>
      </c>
      <c r="I20" s="364">
        <v>30286908.93</v>
      </c>
      <c r="J20" s="365"/>
      <c r="K20" s="365"/>
      <c r="L20" s="366"/>
      <c r="N20" s="367"/>
    </row>
    <row r="21" spans="3:14" s="73" customFormat="1" ht="13.8">
      <c r="C21" s="362" t="s">
        <v>246</v>
      </c>
      <c r="D21" s="363">
        <v>2100</v>
      </c>
      <c r="E21" s="363"/>
      <c r="F21" s="363" t="s">
        <v>1751</v>
      </c>
      <c r="G21" s="362"/>
      <c r="H21" s="364">
        <v>5958080</v>
      </c>
      <c r="I21" s="364">
        <v>6050064.4100000001</v>
      </c>
      <c r="J21" s="365"/>
      <c r="K21" s="365"/>
      <c r="L21" s="366"/>
      <c r="N21" s="367"/>
    </row>
    <row r="22" spans="3:14" s="73" customFormat="1" ht="15.6">
      <c r="C22" s="363" t="s">
        <v>146</v>
      </c>
      <c r="D22" s="368" t="s">
        <v>768</v>
      </c>
      <c r="E22" s="363"/>
      <c r="F22" s="369" t="s">
        <v>768</v>
      </c>
      <c r="G22" s="362"/>
      <c r="H22" s="370"/>
      <c r="I22" s="370"/>
      <c r="J22" s="365"/>
      <c r="K22" s="365"/>
      <c r="L22" s="366"/>
      <c r="N22" s="367"/>
    </row>
    <row r="23" spans="3:14" s="73" customFormat="1" ht="13.8">
      <c r="C23" s="73">
        <v>2</v>
      </c>
      <c r="D23" s="362"/>
      <c r="E23" s="362"/>
      <c r="F23" s="362" t="s">
        <v>1752</v>
      </c>
      <c r="G23" s="362"/>
      <c r="H23" s="365">
        <f>SUM(H15:H22)</f>
        <v>110769870</v>
      </c>
      <c r="I23" s="365">
        <f>SUM(I15:I22)</f>
        <v>107315810.21000001</v>
      </c>
      <c r="J23" s="365"/>
      <c r="K23" s="365"/>
      <c r="L23" s="366"/>
      <c r="N23" s="367"/>
    </row>
    <row r="24" spans="3:14" s="73" customFormat="1" ht="13.8">
      <c r="D24" s="362"/>
      <c r="E24" s="362"/>
      <c r="F24" s="362"/>
      <c r="G24" s="362"/>
      <c r="H24" s="365"/>
      <c r="I24" s="365"/>
      <c r="J24" s="365"/>
      <c r="K24" s="365"/>
      <c r="L24" s="366"/>
      <c r="N24" s="367"/>
    </row>
    <row r="25" spans="3:14" s="73" customFormat="1" ht="13.8">
      <c r="C25" s="362" t="s">
        <v>183</v>
      </c>
      <c r="D25" s="363" t="s">
        <v>1753</v>
      </c>
      <c r="E25" s="363"/>
      <c r="F25" s="363"/>
      <c r="G25" s="362"/>
      <c r="H25" s="364">
        <v>-682635</v>
      </c>
      <c r="I25" s="364">
        <v>-682635</v>
      </c>
      <c r="J25" s="365"/>
      <c r="K25" s="365"/>
      <c r="L25" s="366"/>
      <c r="N25" s="367"/>
    </row>
    <row r="26" spans="3:14" s="73" customFormat="1" ht="15">
      <c r="C26" s="362" t="s">
        <v>185</v>
      </c>
      <c r="D26" s="363" t="s">
        <v>1754</v>
      </c>
      <c r="E26" s="363"/>
      <c r="F26" s="363"/>
      <c r="G26" s="362"/>
      <c r="H26" s="364">
        <v>-36547786</v>
      </c>
      <c r="I26" s="364">
        <v>-22635550.07</v>
      </c>
      <c r="J26" s="371"/>
      <c r="K26" s="371"/>
      <c r="L26" s="372"/>
      <c r="M26" s="371"/>
      <c r="N26" s="371"/>
    </row>
    <row r="27" spans="3:14" s="73" customFormat="1" ht="16.8">
      <c r="C27" s="363" t="s">
        <v>146</v>
      </c>
      <c r="D27" s="368" t="s">
        <v>768</v>
      </c>
      <c r="E27" s="363"/>
      <c r="F27" s="369" t="s">
        <v>768</v>
      </c>
      <c r="G27" s="362"/>
      <c r="H27" s="370"/>
      <c r="I27" s="370"/>
      <c r="J27" s="371"/>
      <c r="K27" s="371"/>
      <c r="L27" s="372"/>
      <c r="M27" s="371"/>
      <c r="N27" s="371"/>
    </row>
    <row r="28" spans="3:14" s="73" customFormat="1" ht="15">
      <c r="C28" s="73">
        <v>4</v>
      </c>
      <c r="D28" s="362"/>
      <c r="E28" s="362"/>
      <c r="F28" s="362" t="s">
        <v>1755</v>
      </c>
      <c r="G28" s="362"/>
      <c r="H28" s="373">
        <f>SUM(H25:H27)</f>
        <v>-37230421</v>
      </c>
      <c r="I28" s="373">
        <f>SUM(I25:I27)</f>
        <v>-23318185.07</v>
      </c>
      <c r="J28" s="371"/>
      <c r="K28" s="371"/>
      <c r="L28" s="372"/>
      <c r="M28" s="371"/>
      <c r="N28" s="371"/>
    </row>
    <row r="29" spans="3:14" s="73" customFormat="1" ht="15">
      <c r="D29" s="362"/>
      <c r="E29" s="362"/>
      <c r="F29" s="362"/>
      <c r="G29" s="362"/>
      <c r="H29" s="373"/>
      <c r="I29" s="373"/>
      <c r="J29" s="371"/>
      <c r="K29" s="371"/>
      <c r="L29" s="372"/>
      <c r="M29" s="371"/>
      <c r="N29" s="371"/>
    </row>
    <row r="30" spans="3:14" s="73" customFormat="1" ht="14.4" thickBot="1">
      <c r="C30" s="73">
        <v>5</v>
      </c>
      <c r="D30" s="374"/>
      <c r="E30" s="374"/>
      <c r="F30" s="374" t="s">
        <v>157</v>
      </c>
      <c r="G30" s="374"/>
      <c r="H30" s="375">
        <f>H23+H28</f>
        <v>73539449</v>
      </c>
      <c r="I30" s="375">
        <f>I23+I28</f>
        <v>83997625.140000015</v>
      </c>
      <c r="J30" s="375">
        <f>AVERAGE(H30,I30)</f>
        <v>78768537.070000008</v>
      </c>
      <c r="K30" s="375"/>
      <c r="L30" s="1414">
        <f>'E1-Allocator'!F21</f>
        <v>0.36604951377740613</v>
      </c>
      <c r="M30" s="375"/>
      <c r="N30" s="375">
        <f>J30*L30</f>
        <v>28833184.695431095</v>
      </c>
    </row>
    <row r="31" spans="3:14" s="73" customFormat="1" ht="13.8" thickTop="1"/>
    <row r="32" spans="3:14" s="73" customFormat="1" ht="13.2">
      <c r="H32" s="104"/>
      <c r="I32" s="104"/>
      <c r="J32" s="104"/>
    </row>
    <row r="33" spans="2:2" s="73" customFormat="1" ht="13.2"/>
    <row r="34" spans="2:2" s="73" customFormat="1" ht="13.2"/>
    <row r="37" spans="2:2" ht="14.4">
      <c r="B37" s="376"/>
    </row>
    <row r="38" spans="2:2" ht="14.4">
      <c r="B38" s="377"/>
    </row>
    <row r="39" spans="2:2" ht="14.4">
      <c r="B39" s="377"/>
    </row>
    <row r="40" spans="2:2" ht="14.4">
      <c r="B40" s="377"/>
    </row>
    <row r="41" spans="2:2" ht="14.4">
      <c r="B41" s="377"/>
    </row>
    <row r="42" spans="2:2" ht="14.4">
      <c r="B42" s="377"/>
    </row>
    <row r="43" spans="2:2" ht="14.4">
      <c r="B43" s="377"/>
    </row>
    <row r="44" spans="2:2" ht="14.4">
      <c r="B44" s="377"/>
    </row>
    <row r="45" spans="2:2" ht="14.4">
      <c r="B45" s="377"/>
    </row>
    <row r="46" spans="2:2" ht="14.4">
      <c r="B46" s="377"/>
    </row>
    <row r="47" spans="2:2" ht="14.4">
      <c r="B47" s="376"/>
    </row>
    <row r="48" spans="2:2" ht="14.4">
      <c r="B48" s="377"/>
    </row>
    <row r="49" spans="2:2" ht="14.4">
      <c r="B49" s="377"/>
    </row>
    <row r="50" spans="2:2" ht="14.4">
      <c r="B50" s="377"/>
    </row>
    <row r="51" spans="2:2" ht="14.4">
      <c r="B51" s="376"/>
    </row>
    <row r="52" spans="2:2" ht="14.4">
      <c r="B52" s="376"/>
    </row>
    <row r="53" spans="2:2" ht="14.4">
      <c r="B53" s="376"/>
    </row>
    <row r="54" spans="2:2" ht="14.4">
      <c r="B54" s="376"/>
    </row>
  </sheetData>
  <customSheetViews>
    <customSheetView guid="{343BF296-013A-41F5-BDAB-AD6220EA7F78}" showPageBreaks="1" fitToPage="1" printArea="1" view="pageBreakPreview">
      <selection activeCell="D33" sqref="D33"/>
      <pageMargins left="0" right="0" top="0" bottom="0" header="0" footer="0"/>
      <printOptions horizontalCentered="1"/>
      <pageSetup scale="69" orientation="portrait" r:id="rId1"/>
    </customSheetView>
    <customSheetView guid="{B321D76C-CDE5-48BB-9CDE-80FF97D58FCF}" showPageBreaks="1" fitToPage="1" printArea="1" view="pageBreakPreview">
      <selection activeCell="D33" sqref="D33"/>
      <pageMargins left="0" right="0" top="0" bottom="0" header="0" footer="0"/>
      <printOptions horizontalCentered="1"/>
      <pageSetup scale="69" orientation="portrait" r:id="rId2"/>
    </customSheetView>
  </customSheetViews>
  <mergeCells count="5">
    <mergeCell ref="A4:N4"/>
    <mergeCell ref="A5:N5"/>
    <mergeCell ref="A9:N9"/>
    <mergeCell ref="A6:N6"/>
    <mergeCell ref="A8:N8"/>
  </mergeCells>
  <printOptions horizontalCentered="1"/>
  <pageMargins left="0.45" right="0.45" top="0.75" bottom="0.75" header="0.3" footer="0.3"/>
  <pageSetup scale="93" orientation="landscape" r:id="rId3"/>
  <ignoredErrors>
    <ignoredError sqref="I23" formulaRange="1"/>
  </ignoredErrors>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tabColor rgb="FFFFC000"/>
    <pageSetUpPr fitToPage="1"/>
  </sheetPr>
  <dimension ref="A1:Q29"/>
  <sheetViews>
    <sheetView view="pageBreakPreview" zoomScaleNormal="100" zoomScaleSheetLayoutView="100" workbookViewId="0">
      <selection activeCell="M14" sqref="M14"/>
    </sheetView>
  </sheetViews>
  <sheetFormatPr defaultColWidth="9" defaultRowHeight="13.2"/>
  <cols>
    <col min="1" max="1" width="9" style="74"/>
    <col min="2" max="2" width="11.33203125" style="74" customWidth="1"/>
    <col min="3" max="3" width="16.33203125" style="74" customWidth="1"/>
    <col min="4" max="4" width="16.109375" style="74" customWidth="1"/>
    <col min="5" max="5" width="10.77734375" style="74" customWidth="1"/>
    <col min="6" max="6" width="12.33203125" style="74" bestFit="1" customWidth="1"/>
    <col min="7" max="7" width="10.6640625" style="74" customWidth="1"/>
    <col min="8" max="10" width="9" style="74"/>
    <col min="11" max="11" width="29.109375" style="74" customWidth="1"/>
    <col min="12" max="16" width="9" style="74"/>
    <col min="17" max="17" width="11.21875" style="74" bestFit="1" customWidth="1"/>
    <col min="18" max="16384" width="9" style="74"/>
  </cols>
  <sheetData>
    <row r="1" spans="1:7" s="347" customFormat="1" ht="15.6">
      <c r="A1" s="70"/>
      <c r="B1" s="346"/>
      <c r="G1" s="72"/>
    </row>
    <row r="2" spans="1:7" s="351" customFormat="1" ht="17.399999999999999">
      <c r="A2" s="348"/>
      <c r="B2" s="349"/>
      <c r="C2" s="350"/>
      <c r="D2" s="350"/>
      <c r="E2" s="350"/>
      <c r="F2" s="350"/>
      <c r="G2" s="1278"/>
    </row>
    <row r="3" spans="1:7" s="351" customFormat="1" ht="17.399999999999999">
      <c r="A3" s="1503" t="s">
        <v>0</v>
      </c>
      <c r="B3" s="1503"/>
      <c r="C3" s="1503"/>
      <c r="D3" s="1503"/>
      <c r="E3" s="1503"/>
      <c r="F3" s="1503"/>
      <c r="G3" s="1503"/>
    </row>
    <row r="4" spans="1:7" s="351" customFormat="1" ht="17.399999999999999">
      <c r="A4" s="1503" t="s">
        <v>1</v>
      </c>
      <c r="B4" s="1503"/>
      <c r="C4" s="1503"/>
      <c r="D4" s="1503"/>
      <c r="E4" s="1503"/>
      <c r="F4" s="1503"/>
      <c r="G4" s="1503"/>
    </row>
    <row r="5" spans="1:7" s="351" customFormat="1" ht="17.399999999999999">
      <c r="A5" s="1504" t="str">
        <f>SUMMARY!A7</f>
        <v>YEAR ENDING DECEMBER 31, 2022</v>
      </c>
      <c r="B5" s="1504"/>
      <c r="C5" s="1504"/>
      <c r="D5" s="1504"/>
      <c r="E5" s="1504"/>
      <c r="F5" s="1504"/>
      <c r="G5" s="1504"/>
    </row>
    <row r="6" spans="1:7" s="351" customFormat="1" ht="12" customHeight="1">
      <c r="A6" s="350"/>
      <c r="B6" s="352"/>
      <c r="C6" s="350"/>
      <c r="D6" s="350"/>
      <c r="E6" s="350"/>
      <c r="F6" s="350"/>
      <c r="G6" s="350"/>
    </row>
    <row r="7" spans="1:7" s="351" customFormat="1" ht="17.399999999999999">
      <c r="A7" s="1503" t="s">
        <v>1756</v>
      </c>
      <c r="B7" s="1503"/>
      <c r="C7" s="1503"/>
      <c r="D7" s="1503"/>
      <c r="E7" s="1503"/>
      <c r="F7" s="1503"/>
      <c r="G7" s="1503"/>
    </row>
    <row r="8" spans="1:7" ht="17.399999999999999">
      <c r="A8" s="1503" t="s">
        <v>90</v>
      </c>
      <c r="B8" s="1503"/>
      <c r="C8" s="1503"/>
      <c r="D8" s="1503"/>
      <c r="E8" s="1503"/>
      <c r="F8" s="1503"/>
      <c r="G8" s="1503"/>
    </row>
    <row r="9" spans="1:7" ht="17.399999999999999">
      <c r="A9" s="1278"/>
      <c r="B9" s="216"/>
      <c r="C9" s="216"/>
      <c r="D9" s="216"/>
      <c r="E9" s="1278"/>
      <c r="F9" s="1278"/>
      <c r="G9" s="1278"/>
    </row>
    <row r="10" spans="1:7">
      <c r="B10" s="78" t="s">
        <v>8</v>
      </c>
      <c r="C10" s="353"/>
      <c r="D10" s="78" t="s">
        <v>9</v>
      </c>
      <c r="F10" s="78" t="s">
        <v>359</v>
      </c>
    </row>
    <row r="11" spans="1:7">
      <c r="A11" s="354"/>
      <c r="B11" s="354"/>
      <c r="C11" s="354"/>
      <c r="D11" s="354"/>
      <c r="E11" s="354"/>
      <c r="F11" s="354"/>
      <c r="G11" s="354"/>
    </row>
    <row r="12" spans="1:7">
      <c r="B12" s="355"/>
      <c r="C12" s="355"/>
      <c r="D12" s="356" t="s">
        <v>1757</v>
      </c>
      <c r="E12" s="355"/>
      <c r="F12" s="356" t="s">
        <v>1758</v>
      </c>
    </row>
    <row r="13" spans="1:7">
      <c r="B13" s="1202" t="s">
        <v>23</v>
      </c>
      <c r="C13" s="355"/>
      <c r="D13" s="1202" t="s">
        <v>1759</v>
      </c>
      <c r="E13" s="355"/>
      <c r="F13" s="1202" t="s">
        <v>1760</v>
      </c>
    </row>
    <row r="14" spans="1:7">
      <c r="B14" s="356"/>
      <c r="C14" s="355"/>
      <c r="D14" s="356"/>
      <c r="E14" s="355"/>
      <c r="F14" s="356"/>
    </row>
    <row r="16" spans="1:7" ht="13.8">
      <c r="A16" s="354">
        <v>1</v>
      </c>
      <c r="B16" s="357">
        <v>44561</v>
      </c>
      <c r="D16" s="32">
        <v>0</v>
      </c>
      <c r="E16" s="24"/>
      <c r="F16" s="32">
        <v>19468174</v>
      </c>
    </row>
    <row r="17" spans="1:17" ht="13.8">
      <c r="A17" s="354"/>
      <c r="B17" s="357"/>
      <c r="D17" s="32"/>
      <c r="E17" s="25"/>
      <c r="F17" s="32"/>
    </row>
    <row r="18" spans="1:17" ht="13.8">
      <c r="A18" s="354">
        <v>2</v>
      </c>
      <c r="B18" s="357">
        <v>44926</v>
      </c>
      <c r="D18" s="32">
        <v>0</v>
      </c>
      <c r="E18" s="25"/>
      <c r="F18" s="32">
        <v>7898234</v>
      </c>
      <c r="Q18" s="334"/>
    </row>
    <row r="19" spans="1:17" ht="13.8">
      <c r="A19" s="354"/>
      <c r="D19" s="25"/>
      <c r="E19" s="25"/>
      <c r="F19" s="25"/>
      <c r="Q19" s="334"/>
    </row>
    <row r="20" spans="1:17">
      <c r="A20" s="354"/>
      <c r="Q20" s="334"/>
    </row>
    <row r="21" spans="1:17" ht="13.8">
      <c r="A21" s="354">
        <v>3</v>
      </c>
      <c r="B21" s="355" t="s">
        <v>1761</v>
      </c>
      <c r="C21" s="26"/>
      <c r="D21" s="27">
        <f>IF(D16&gt;0,AVERAGE(D16,D18),0)</f>
        <v>0</v>
      </c>
      <c r="E21" s="28"/>
      <c r="F21" s="27">
        <f>+(F16+F18)/2</f>
        <v>13683204</v>
      </c>
      <c r="Q21" s="334"/>
    </row>
    <row r="22" spans="1:17">
      <c r="Q22" s="334"/>
    </row>
    <row r="23" spans="1:17">
      <c r="Q23" s="334"/>
    </row>
    <row r="24" spans="1:17">
      <c r="Q24" s="334"/>
    </row>
    <row r="25" spans="1:17">
      <c r="Q25" s="334"/>
    </row>
    <row r="26" spans="1:17">
      <c r="Q26" s="334"/>
    </row>
    <row r="27" spans="1:17">
      <c r="Q27" s="334"/>
    </row>
    <row r="28" spans="1:17">
      <c r="Q28" s="334"/>
    </row>
    <row r="29" spans="1:17">
      <c r="Q29" s="334"/>
    </row>
  </sheetData>
  <customSheetViews>
    <customSheetView guid="{343BF296-013A-41F5-BDAB-AD6220EA7F78}" showPageBreaks="1" fitToPage="1" printArea="1" view="pageBreakPreview">
      <selection activeCell="D33" sqref="D33"/>
      <pageMargins left="0" right="0" top="0" bottom="0" header="0" footer="0"/>
      <printOptions horizontalCentered="1"/>
      <pageSetup orientation="portrait" r:id="rId1"/>
    </customSheetView>
    <customSheetView guid="{B321D76C-CDE5-48BB-9CDE-80FF97D58FCF}" showPageBreaks="1" fitToPage="1" printArea="1" view="pageBreakPreview">
      <selection activeCell="D33" sqref="D33"/>
      <pageMargins left="0" right="0" top="0" bottom="0" header="0" footer="0"/>
      <printOptions horizontalCentered="1"/>
      <pageSetup orientation="portrait" r:id="rId2"/>
    </customSheetView>
  </customSheetViews>
  <mergeCells count="5">
    <mergeCell ref="A3:G3"/>
    <mergeCell ref="A4:G4"/>
    <mergeCell ref="A8:G8"/>
    <mergeCell ref="A5:G5"/>
    <mergeCell ref="A7:G7"/>
  </mergeCells>
  <printOptions horizontalCentered="1"/>
  <pageMargins left="0.2" right="0.2" top="0.5" bottom="0.5" header="0.3" footer="0.3"/>
  <pageSetup orientation="landscape" r:id="rId3"/>
  <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tabColor rgb="FF7030A0"/>
    <pageSetUpPr fitToPage="1"/>
  </sheetPr>
  <dimension ref="A1:W50"/>
  <sheetViews>
    <sheetView view="pageBreakPreview" zoomScale="90" zoomScaleNormal="80" zoomScaleSheetLayoutView="90" workbookViewId="0">
      <selection activeCell="L26" sqref="L26"/>
    </sheetView>
  </sheetViews>
  <sheetFormatPr defaultRowHeight="15"/>
  <cols>
    <col min="1" max="1" width="5.77734375" style="325" customWidth="1"/>
    <col min="2" max="2" width="5.21875" style="335" customWidth="1"/>
    <col min="3" max="3" width="43.77734375" style="325" customWidth="1"/>
    <col min="4" max="4" width="1.77734375" style="325" customWidth="1"/>
    <col min="5" max="5" width="21.6640625" style="56" customWidth="1"/>
    <col min="6" max="6" width="8.77734375" style="56" customWidth="1"/>
    <col min="7" max="7" width="9.33203125" style="56" customWidth="1"/>
    <col min="8" max="8" width="2.77734375" style="56" customWidth="1"/>
    <col min="9" max="9" width="10.33203125" style="56" customWidth="1"/>
    <col min="10" max="10" width="2.77734375" style="56" customWidth="1"/>
    <col min="11" max="11" width="29.109375" style="56" customWidth="1"/>
    <col min="12" max="12" width="4" style="56" customWidth="1"/>
    <col min="13" max="13" width="11.33203125" style="56" customWidth="1"/>
    <col min="14" max="14" width="6.33203125" style="56" customWidth="1"/>
    <col min="15" max="15" width="9.33203125" style="56" customWidth="1"/>
    <col min="16" max="16" width="11.109375" style="56" customWidth="1"/>
    <col min="17" max="17" width="6.33203125" style="325" customWidth="1"/>
    <col min="18" max="251" width="9" style="325"/>
    <col min="252" max="252" width="22.33203125" style="325" customWidth="1"/>
    <col min="253" max="253" width="1.77734375" style="325" customWidth="1"/>
    <col min="254" max="254" width="15.33203125" style="325" customWidth="1"/>
    <col min="255" max="255" width="1.77734375" style="325" customWidth="1"/>
    <col min="256" max="256" width="17" style="325" customWidth="1"/>
    <col min="257" max="257" width="1.33203125" style="325" customWidth="1"/>
    <col min="258" max="258" width="9.33203125" style="325" customWidth="1"/>
    <col min="259" max="259" width="2" style="325" customWidth="1"/>
    <col min="260" max="260" width="11.33203125" style="325" customWidth="1"/>
    <col min="261" max="261" width="10.109375" style="325" customWidth="1"/>
    <col min="262" max="262" width="11.77734375" style="325" customWidth="1"/>
    <col min="263" max="263" width="18.109375" style="325" customWidth="1"/>
    <col min="264" max="507" width="9" style="325"/>
    <col min="508" max="508" width="22.33203125" style="325" customWidth="1"/>
    <col min="509" max="509" width="1.77734375" style="325" customWidth="1"/>
    <col min="510" max="510" width="15.33203125" style="325" customWidth="1"/>
    <col min="511" max="511" width="1.77734375" style="325" customWidth="1"/>
    <col min="512" max="512" width="17" style="325" customWidth="1"/>
    <col min="513" max="513" width="1.33203125" style="325" customWidth="1"/>
    <col min="514" max="514" width="9.33203125" style="325" customWidth="1"/>
    <col min="515" max="515" width="2" style="325" customWidth="1"/>
    <col min="516" max="516" width="11.33203125" style="325" customWidth="1"/>
    <col min="517" max="517" width="10.109375" style="325" customWidth="1"/>
    <col min="518" max="518" width="11.77734375" style="325" customWidth="1"/>
    <col min="519" max="519" width="18.109375" style="325" customWidth="1"/>
    <col min="520" max="763" width="9" style="325"/>
    <col min="764" max="764" width="22.33203125" style="325" customWidth="1"/>
    <col min="765" max="765" width="1.77734375" style="325" customWidth="1"/>
    <col min="766" max="766" width="15.33203125" style="325" customWidth="1"/>
    <col min="767" max="767" width="1.77734375" style="325" customWidth="1"/>
    <col min="768" max="768" width="17" style="325" customWidth="1"/>
    <col min="769" max="769" width="1.33203125" style="325" customWidth="1"/>
    <col min="770" max="770" width="9.33203125" style="325" customWidth="1"/>
    <col min="771" max="771" width="2" style="325" customWidth="1"/>
    <col min="772" max="772" width="11.33203125" style="325" customWidth="1"/>
    <col min="773" max="773" width="10.109375" style="325" customWidth="1"/>
    <col min="774" max="774" width="11.77734375" style="325" customWidth="1"/>
    <col min="775" max="775" width="18.109375" style="325" customWidth="1"/>
    <col min="776" max="1019" width="9" style="325"/>
    <col min="1020" max="1020" width="22.33203125" style="325" customWidth="1"/>
    <col min="1021" max="1021" width="1.77734375" style="325" customWidth="1"/>
    <col min="1022" max="1022" width="15.33203125" style="325" customWidth="1"/>
    <col min="1023" max="1023" width="1.77734375" style="325" customWidth="1"/>
    <col min="1024" max="1024" width="17" style="325" customWidth="1"/>
    <col min="1025" max="1025" width="1.33203125" style="325" customWidth="1"/>
    <col min="1026" max="1026" width="9.33203125" style="325" customWidth="1"/>
    <col min="1027" max="1027" width="2" style="325" customWidth="1"/>
    <col min="1028" max="1028" width="11.33203125" style="325" customWidth="1"/>
    <col min="1029" max="1029" width="10.109375" style="325" customWidth="1"/>
    <col min="1030" max="1030" width="11.77734375" style="325" customWidth="1"/>
    <col min="1031" max="1031" width="18.109375" style="325" customWidth="1"/>
    <col min="1032" max="1275" width="9" style="325"/>
    <col min="1276" max="1276" width="22.33203125" style="325" customWidth="1"/>
    <col min="1277" max="1277" width="1.77734375" style="325" customWidth="1"/>
    <col min="1278" max="1278" width="15.33203125" style="325" customWidth="1"/>
    <col min="1279" max="1279" width="1.77734375" style="325" customWidth="1"/>
    <col min="1280" max="1280" width="17" style="325" customWidth="1"/>
    <col min="1281" max="1281" width="1.33203125" style="325" customWidth="1"/>
    <col min="1282" max="1282" width="9.33203125" style="325" customWidth="1"/>
    <col min="1283" max="1283" width="2" style="325" customWidth="1"/>
    <col min="1284" max="1284" width="11.33203125" style="325" customWidth="1"/>
    <col min="1285" max="1285" width="10.109375" style="325" customWidth="1"/>
    <col min="1286" max="1286" width="11.77734375" style="325" customWidth="1"/>
    <col min="1287" max="1287" width="18.109375" style="325" customWidth="1"/>
    <col min="1288" max="1531" width="9" style="325"/>
    <col min="1532" max="1532" width="22.33203125" style="325" customWidth="1"/>
    <col min="1533" max="1533" width="1.77734375" style="325" customWidth="1"/>
    <col min="1534" max="1534" width="15.33203125" style="325" customWidth="1"/>
    <col min="1535" max="1535" width="1.77734375" style="325" customWidth="1"/>
    <col min="1536" max="1536" width="17" style="325" customWidth="1"/>
    <col min="1537" max="1537" width="1.33203125" style="325" customWidth="1"/>
    <col min="1538" max="1538" width="9.33203125" style="325" customWidth="1"/>
    <col min="1539" max="1539" width="2" style="325" customWidth="1"/>
    <col min="1540" max="1540" width="11.33203125" style="325" customWidth="1"/>
    <col min="1541" max="1541" width="10.109375" style="325" customWidth="1"/>
    <col min="1542" max="1542" width="11.77734375" style="325" customWidth="1"/>
    <col min="1543" max="1543" width="18.109375" style="325" customWidth="1"/>
    <col min="1544" max="1787" width="9" style="325"/>
    <col min="1788" max="1788" width="22.33203125" style="325" customWidth="1"/>
    <col min="1789" max="1789" width="1.77734375" style="325" customWidth="1"/>
    <col min="1790" max="1790" width="15.33203125" style="325" customWidth="1"/>
    <col min="1791" max="1791" width="1.77734375" style="325" customWidth="1"/>
    <col min="1792" max="1792" width="17" style="325" customWidth="1"/>
    <col min="1793" max="1793" width="1.33203125" style="325" customWidth="1"/>
    <col min="1794" max="1794" width="9.33203125" style="325" customWidth="1"/>
    <col min="1795" max="1795" width="2" style="325" customWidth="1"/>
    <col min="1796" max="1796" width="11.33203125" style="325" customWidth="1"/>
    <col min="1797" max="1797" width="10.109375" style="325" customWidth="1"/>
    <col min="1798" max="1798" width="11.77734375" style="325" customWidth="1"/>
    <col min="1799" max="1799" width="18.109375" style="325" customWidth="1"/>
    <col min="1800" max="2043" width="9" style="325"/>
    <col min="2044" max="2044" width="22.33203125" style="325" customWidth="1"/>
    <col min="2045" max="2045" width="1.77734375" style="325" customWidth="1"/>
    <col min="2046" max="2046" width="15.33203125" style="325" customWidth="1"/>
    <col min="2047" max="2047" width="1.77734375" style="325" customWidth="1"/>
    <col min="2048" max="2048" width="17" style="325" customWidth="1"/>
    <col min="2049" max="2049" width="1.33203125" style="325" customWidth="1"/>
    <col min="2050" max="2050" width="9.33203125" style="325" customWidth="1"/>
    <col min="2051" max="2051" width="2" style="325" customWidth="1"/>
    <col min="2052" max="2052" width="11.33203125" style="325" customWidth="1"/>
    <col min="2053" max="2053" width="10.109375" style="325" customWidth="1"/>
    <col min="2054" max="2054" width="11.77734375" style="325" customWidth="1"/>
    <col min="2055" max="2055" width="18.109375" style="325" customWidth="1"/>
    <col min="2056" max="2299" width="9" style="325"/>
    <col min="2300" max="2300" width="22.33203125" style="325" customWidth="1"/>
    <col min="2301" max="2301" width="1.77734375" style="325" customWidth="1"/>
    <col min="2302" max="2302" width="15.33203125" style="325" customWidth="1"/>
    <col min="2303" max="2303" width="1.77734375" style="325" customWidth="1"/>
    <col min="2304" max="2304" width="17" style="325" customWidth="1"/>
    <col min="2305" max="2305" width="1.33203125" style="325" customWidth="1"/>
    <col min="2306" max="2306" width="9.33203125" style="325" customWidth="1"/>
    <col min="2307" max="2307" width="2" style="325" customWidth="1"/>
    <col min="2308" max="2308" width="11.33203125" style="325" customWidth="1"/>
    <col min="2309" max="2309" width="10.109375" style="325" customWidth="1"/>
    <col min="2310" max="2310" width="11.77734375" style="325" customWidth="1"/>
    <col min="2311" max="2311" width="18.109375" style="325" customWidth="1"/>
    <col min="2312" max="2555" width="9" style="325"/>
    <col min="2556" max="2556" width="22.33203125" style="325" customWidth="1"/>
    <col min="2557" max="2557" width="1.77734375" style="325" customWidth="1"/>
    <col min="2558" max="2558" width="15.33203125" style="325" customWidth="1"/>
    <col min="2559" max="2559" width="1.77734375" style="325" customWidth="1"/>
    <col min="2560" max="2560" width="17" style="325" customWidth="1"/>
    <col min="2561" max="2561" width="1.33203125" style="325" customWidth="1"/>
    <col min="2562" max="2562" width="9.33203125" style="325" customWidth="1"/>
    <col min="2563" max="2563" width="2" style="325" customWidth="1"/>
    <col min="2564" max="2564" width="11.33203125" style="325" customWidth="1"/>
    <col min="2565" max="2565" width="10.109375" style="325" customWidth="1"/>
    <col min="2566" max="2566" width="11.77734375" style="325" customWidth="1"/>
    <col min="2567" max="2567" width="18.109375" style="325" customWidth="1"/>
    <col min="2568" max="2811" width="9" style="325"/>
    <col min="2812" max="2812" width="22.33203125" style="325" customWidth="1"/>
    <col min="2813" max="2813" width="1.77734375" style="325" customWidth="1"/>
    <col min="2814" max="2814" width="15.33203125" style="325" customWidth="1"/>
    <col min="2815" max="2815" width="1.77734375" style="325" customWidth="1"/>
    <col min="2816" max="2816" width="17" style="325" customWidth="1"/>
    <col min="2817" max="2817" width="1.33203125" style="325" customWidth="1"/>
    <col min="2818" max="2818" width="9.33203125" style="325" customWidth="1"/>
    <col min="2819" max="2819" width="2" style="325" customWidth="1"/>
    <col min="2820" max="2820" width="11.33203125" style="325" customWidth="1"/>
    <col min="2821" max="2821" width="10.109375" style="325" customWidth="1"/>
    <col min="2822" max="2822" width="11.77734375" style="325" customWidth="1"/>
    <col min="2823" max="2823" width="18.109375" style="325" customWidth="1"/>
    <col min="2824" max="3067" width="9" style="325"/>
    <col min="3068" max="3068" width="22.33203125" style="325" customWidth="1"/>
    <col min="3069" max="3069" width="1.77734375" style="325" customWidth="1"/>
    <col min="3070" max="3070" width="15.33203125" style="325" customWidth="1"/>
    <col min="3071" max="3071" width="1.77734375" style="325" customWidth="1"/>
    <col min="3072" max="3072" width="17" style="325" customWidth="1"/>
    <col min="3073" max="3073" width="1.33203125" style="325" customWidth="1"/>
    <col min="3074" max="3074" width="9.33203125" style="325" customWidth="1"/>
    <col min="3075" max="3075" width="2" style="325" customWidth="1"/>
    <col min="3076" max="3076" width="11.33203125" style="325" customWidth="1"/>
    <col min="3077" max="3077" width="10.109375" style="325" customWidth="1"/>
    <col min="3078" max="3078" width="11.77734375" style="325" customWidth="1"/>
    <col min="3079" max="3079" width="18.109375" style="325" customWidth="1"/>
    <col min="3080" max="3323" width="9" style="325"/>
    <col min="3324" max="3324" width="22.33203125" style="325" customWidth="1"/>
    <col min="3325" max="3325" width="1.77734375" style="325" customWidth="1"/>
    <col min="3326" max="3326" width="15.33203125" style="325" customWidth="1"/>
    <col min="3327" max="3327" width="1.77734375" style="325" customWidth="1"/>
    <col min="3328" max="3328" width="17" style="325" customWidth="1"/>
    <col min="3329" max="3329" width="1.33203125" style="325" customWidth="1"/>
    <col min="3330" max="3330" width="9.33203125" style="325" customWidth="1"/>
    <col min="3331" max="3331" width="2" style="325" customWidth="1"/>
    <col min="3332" max="3332" width="11.33203125" style="325" customWidth="1"/>
    <col min="3333" max="3333" width="10.109375" style="325" customWidth="1"/>
    <col min="3334" max="3334" width="11.77734375" style="325" customWidth="1"/>
    <col min="3335" max="3335" width="18.109375" style="325" customWidth="1"/>
    <col min="3336" max="3579" width="9" style="325"/>
    <col min="3580" max="3580" width="22.33203125" style="325" customWidth="1"/>
    <col min="3581" max="3581" width="1.77734375" style="325" customWidth="1"/>
    <col min="3582" max="3582" width="15.33203125" style="325" customWidth="1"/>
    <col min="3583" max="3583" width="1.77734375" style="325" customWidth="1"/>
    <col min="3584" max="3584" width="17" style="325" customWidth="1"/>
    <col min="3585" max="3585" width="1.33203125" style="325" customWidth="1"/>
    <col min="3586" max="3586" width="9.33203125" style="325" customWidth="1"/>
    <col min="3587" max="3587" width="2" style="325" customWidth="1"/>
    <col min="3588" max="3588" width="11.33203125" style="325" customWidth="1"/>
    <col min="3589" max="3589" width="10.109375" style="325" customWidth="1"/>
    <col min="3590" max="3590" width="11.77734375" style="325" customWidth="1"/>
    <col min="3591" max="3591" width="18.109375" style="325" customWidth="1"/>
    <col min="3592" max="3835" width="9" style="325"/>
    <col min="3836" max="3836" width="22.33203125" style="325" customWidth="1"/>
    <col min="3837" max="3837" width="1.77734375" style="325" customWidth="1"/>
    <col min="3838" max="3838" width="15.33203125" style="325" customWidth="1"/>
    <col min="3839" max="3839" width="1.77734375" style="325" customWidth="1"/>
    <col min="3840" max="3840" width="17" style="325" customWidth="1"/>
    <col min="3841" max="3841" width="1.33203125" style="325" customWidth="1"/>
    <col min="3842" max="3842" width="9.33203125" style="325" customWidth="1"/>
    <col min="3843" max="3843" width="2" style="325" customWidth="1"/>
    <col min="3844" max="3844" width="11.33203125" style="325" customWidth="1"/>
    <col min="3845" max="3845" width="10.109375" style="325" customWidth="1"/>
    <col min="3846" max="3846" width="11.77734375" style="325" customWidth="1"/>
    <col min="3847" max="3847" width="18.109375" style="325" customWidth="1"/>
    <col min="3848" max="4091" width="9" style="325"/>
    <col min="4092" max="4092" width="22.33203125" style="325" customWidth="1"/>
    <col min="4093" max="4093" width="1.77734375" style="325" customWidth="1"/>
    <col min="4094" max="4094" width="15.33203125" style="325" customWidth="1"/>
    <col min="4095" max="4095" width="1.77734375" style="325" customWidth="1"/>
    <col min="4096" max="4096" width="17" style="325" customWidth="1"/>
    <col min="4097" max="4097" width="1.33203125" style="325" customWidth="1"/>
    <col min="4098" max="4098" width="9.33203125" style="325" customWidth="1"/>
    <col min="4099" max="4099" width="2" style="325" customWidth="1"/>
    <col min="4100" max="4100" width="11.33203125" style="325" customWidth="1"/>
    <col min="4101" max="4101" width="10.109375" style="325" customWidth="1"/>
    <col min="4102" max="4102" width="11.77734375" style="325" customWidth="1"/>
    <col min="4103" max="4103" width="18.109375" style="325" customWidth="1"/>
    <col min="4104" max="4347" width="9" style="325"/>
    <col min="4348" max="4348" width="22.33203125" style="325" customWidth="1"/>
    <col min="4349" max="4349" width="1.77734375" style="325" customWidth="1"/>
    <col min="4350" max="4350" width="15.33203125" style="325" customWidth="1"/>
    <col min="4351" max="4351" width="1.77734375" style="325" customWidth="1"/>
    <col min="4352" max="4352" width="17" style="325" customWidth="1"/>
    <col min="4353" max="4353" width="1.33203125" style="325" customWidth="1"/>
    <col min="4354" max="4354" width="9.33203125" style="325" customWidth="1"/>
    <col min="4355" max="4355" width="2" style="325" customWidth="1"/>
    <col min="4356" max="4356" width="11.33203125" style="325" customWidth="1"/>
    <col min="4357" max="4357" width="10.109375" style="325" customWidth="1"/>
    <col min="4358" max="4358" width="11.77734375" style="325" customWidth="1"/>
    <col min="4359" max="4359" width="18.109375" style="325" customWidth="1"/>
    <col min="4360" max="4603" width="9" style="325"/>
    <col min="4604" max="4604" width="22.33203125" style="325" customWidth="1"/>
    <col min="4605" max="4605" width="1.77734375" style="325" customWidth="1"/>
    <col min="4606" max="4606" width="15.33203125" style="325" customWidth="1"/>
    <col min="4607" max="4607" width="1.77734375" style="325" customWidth="1"/>
    <col min="4608" max="4608" width="17" style="325" customWidth="1"/>
    <col min="4609" max="4609" width="1.33203125" style="325" customWidth="1"/>
    <col min="4610" max="4610" width="9.33203125" style="325" customWidth="1"/>
    <col min="4611" max="4611" width="2" style="325" customWidth="1"/>
    <col min="4612" max="4612" width="11.33203125" style="325" customWidth="1"/>
    <col min="4613" max="4613" width="10.109375" style="325" customWidth="1"/>
    <col min="4614" max="4614" width="11.77734375" style="325" customWidth="1"/>
    <col min="4615" max="4615" width="18.109375" style="325" customWidth="1"/>
    <col min="4616" max="4859" width="9" style="325"/>
    <col min="4860" max="4860" width="22.33203125" style="325" customWidth="1"/>
    <col min="4861" max="4861" width="1.77734375" style="325" customWidth="1"/>
    <col min="4862" max="4862" width="15.33203125" style="325" customWidth="1"/>
    <col min="4863" max="4863" width="1.77734375" style="325" customWidth="1"/>
    <col min="4864" max="4864" width="17" style="325" customWidth="1"/>
    <col min="4865" max="4865" width="1.33203125" style="325" customWidth="1"/>
    <col min="4866" max="4866" width="9.33203125" style="325" customWidth="1"/>
    <col min="4867" max="4867" width="2" style="325" customWidth="1"/>
    <col min="4868" max="4868" width="11.33203125" style="325" customWidth="1"/>
    <col min="4869" max="4869" width="10.109375" style="325" customWidth="1"/>
    <col min="4870" max="4870" width="11.77734375" style="325" customWidth="1"/>
    <col min="4871" max="4871" width="18.109375" style="325" customWidth="1"/>
    <col min="4872" max="5115" width="9" style="325"/>
    <col min="5116" max="5116" width="22.33203125" style="325" customWidth="1"/>
    <col min="5117" max="5117" width="1.77734375" style="325" customWidth="1"/>
    <col min="5118" max="5118" width="15.33203125" style="325" customWidth="1"/>
    <col min="5119" max="5119" width="1.77734375" style="325" customWidth="1"/>
    <col min="5120" max="5120" width="17" style="325" customWidth="1"/>
    <col min="5121" max="5121" width="1.33203125" style="325" customWidth="1"/>
    <col min="5122" max="5122" width="9.33203125" style="325" customWidth="1"/>
    <col min="5123" max="5123" width="2" style="325" customWidth="1"/>
    <col min="5124" max="5124" width="11.33203125" style="325" customWidth="1"/>
    <col min="5125" max="5125" width="10.109375" style="325" customWidth="1"/>
    <col min="5126" max="5126" width="11.77734375" style="325" customWidth="1"/>
    <col min="5127" max="5127" width="18.109375" style="325" customWidth="1"/>
    <col min="5128" max="5371" width="9" style="325"/>
    <col min="5372" max="5372" width="22.33203125" style="325" customWidth="1"/>
    <col min="5373" max="5373" width="1.77734375" style="325" customWidth="1"/>
    <col min="5374" max="5374" width="15.33203125" style="325" customWidth="1"/>
    <col min="5375" max="5375" width="1.77734375" style="325" customWidth="1"/>
    <col min="5376" max="5376" width="17" style="325" customWidth="1"/>
    <col min="5377" max="5377" width="1.33203125" style="325" customWidth="1"/>
    <col min="5378" max="5378" width="9.33203125" style="325" customWidth="1"/>
    <col min="5379" max="5379" width="2" style="325" customWidth="1"/>
    <col min="5380" max="5380" width="11.33203125" style="325" customWidth="1"/>
    <col min="5381" max="5381" width="10.109375" style="325" customWidth="1"/>
    <col min="5382" max="5382" width="11.77734375" style="325" customWidth="1"/>
    <col min="5383" max="5383" width="18.109375" style="325" customWidth="1"/>
    <col min="5384" max="5627" width="9" style="325"/>
    <col min="5628" max="5628" width="22.33203125" style="325" customWidth="1"/>
    <col min="5629" max="5629" width="1.77734375" style="325" customWidth="1"/>
    <col min="5630" max="5630" width="15.33203125" style="325" customWidth="1"/>
    <col min="5631" max="5631" width="1.77734375" style="325" customWidth="1"/>
    <col min="5632" max="5632" width="17" style="325" customWidth="1"/>
    <col min="5633" max="5633" width="1.33203125" style="325" customWidth="1"/>
    <col min="5634" max="5634" width="9.33203125" style="325" customWidth="1"/>
    <col min="5635" max="5635" width="2" style="325" customWidth="1"/>
    <col min="5636" max="5636" width="11.33203125" style="325" customWidth="1"/>
    <col min="5637" max="5637" width="10.109375" style="325" customWidth="1"/>
    <col min="5638" max="5638" width="11.77734375" style="325" customWidth="1"/>
    <col min="5639" max="5639" width="18.109375" style="325" customWidth="1"/>
    <col min="5640" max="5883" width="9" style="325"/>
    <col min="5884" max="5884" width="22.33203125" style="325" customWidth="1"/>
    <col min="5885" max="5885" width="1.77734375" style="325" customWidth="1"/>
    <col min="5886" max="5886" width="15.33203125" style="325" customWidth="1"/>
    <col min="5887" max="5887" width="1.77734375" style="325" customWidth="1"/>
    <col min="5888" max="5888" width="17" style="325" customWidth="1"/>
    <col min="5889" max="5889" width="1.33203125" style="325" customWidth="1"/>
    <col min="5890" max="5890" width="9.33203125" style="325" customWidth="1"/>
    <col min="5891" max="5891" width="2" style="325" customWidth="1"/>
    <col min="5892" max="5892" width="11.33203125" style="325" customWidth="1"/>
    <col min="5893" max="5893" width="10.109375" style="325" customWidth="1"/>
    <col min="5894" max="5894" width="11.77734375" style="325" customWidth="1"/>
    <col min="5895" max="5895" width="18.109375" style="325" customWidth="1"/>
    <col min="5896" max="6139" width="9" style="325"/>
    <col min="6140" max="6140" width="22.33203125" style="325" customWidth="1"/>
    <col min="6141" max="6141" width="1.77734375" style="325" customWidth="1"/>
    <col min="6142" max="6142" width="15.33203125" style="325" customWidth="1"/>
    <col min="6143" max="6143" width="1.77734375" style="325" customWidth="1"/>
    <col min="6144" max="6144" width="17" style="325" customWidth="1"/>
    <col min="6145" max="6145" width="1.33203125" style="325" customWidth="1"/>
    <col min="6146" max="6146" width="9.33203125" style="325" customWidth="1"/>
    <col min="6147" max="6147" width="2" style="325" customWidth="1"/>
    <col min="6148" max="6148" width="11.33203125" style="325" customWidth="1"/>
    <col min="6149" max="6149" width="10.109375" style="325" customWidth="1"/>
    <col min="6150" max="6150" width="11.77734375" style="325" customWidth="1"/>
    <col min="6151" max="6151" width="18.109375" style="325" customWidth="1"/>
    <col min="6152" max="6395" width="9" style="325"/>
    <col min="6396" max="6396" width="22.33203125" style="325" customWidth="1"/>
    <col min="6397" max="6397" width="1.77734375" style="325" customWidth="1"/>
    <col min="6398" max="6398" width="15.33203125" style="325" customWidth="1"/>
    <col min="6399" max="6399" width="1.77734375" style="325" customWidth="1"/>
    <col min="6400" max="6400" width="17" style="325" customWidth="1"/>
    <col min="6401" max="6401" width="1.33203125" style="325" customWidth="1"/>
    <col min="6402" max="6402" width="9.33203125" style="325" customWidth="1"/>
    <col min="6403" max="6403" width="2" style="325" customWidth="1"/>
    <col min="6404" max="6404" width="11.33203125" style="325" customWidth="1"/>
    <col min="6405" max="6405" width="10.109375" style="325" customWidth="1"/>
    <col min="6406" max="6406" width="11.77734375" style="325" customWidth="1"/>
    <col min="6407" max="6407" width="18.109375" style="325" customWidth="1"/>
    <col min="6408" max="6651" width="9" style="325"/>
    <col min="6652" max="6652" width="22.33203125" style="325" customWidth="1"/>
    <col min="6653" max="6653" width="1.77734375" style="325" customWidth="1"/>
    <col min="6654" max="6654" width="15.33203125" style="325" customWidth="1"/>
    <col min="6655" max="6655" width="1.77734375" style="325" customWidth="1"/>
    <col min="6656" max="6656" width="17" style="325" customWidth="1"/>
    <col min="6657" max="6657" width="1.33203125" style="325" customWidth="1"/>
    <col min="6658" max="6658" width="9.33203125" style="325" customWidth="1"/>
    <col min="6659" max="6659" width="2" style="325" customWidth="1"/>
    <col min="6660" max="6660" width="11.33203125" style="325" customWidth="1"/>
    <col min="6661" max="6661" width="10.109375" style="325" customWidth="1"/>
    <col min="6662" max="6662" width="11.77734375" style="325" customWidth="1"/>
    <col min="6663" max="6663" width="18.109375" style="325" customWidth="1"/>
    <col min="6664" max="6907" width="9" style="325"/>
    <col min="6908" max="6908" width="22.33203125" style="325" customWidth="1"/>
    <col min="6909" max="6909" width="1.77734375" style="325" customWidth="1"/>
    <col min="6910" max="6910" width="15.33203125" style="325" customWidth="1"/>
    <col min="6911" max="6911" width="1.77734375" style="325" customWidth="1"/>
    <col min="6912" max="6912" width="17" style="325" customWidth="1"/>
    <col min="6913" max="6913" width="1.33203125" style="325" customWidth="1"/>
    <col min="6914" max="6914" width="9.33203125" style="325" customWidth="1"/>
    <col min="6915" max="6915" width="2" style="325" customWidth="1"/>
    <col min="6916" max="6916" width="11.33203125" style="325" customWidth="1"/>
    <col min="6917" max="6917" width="10.109375" style="325" customWidth="1"/>
    <col min="6918" max="6918" width="11.77734375" style="325" customWidth="1"/>
    <col min="6919" max="6919" width="18.109375" style="325" customWidth="1"/>
    <col min="6920" max="7163" width="9" style="325"/>
    <col min="7164" max="7164" width="22.33203125" style="325" customWidth="1"/>
    <col min="7165" max="7165" width="1.77734375" style="325" customWidth="1"/>
    <col min="7166" max="7166" width="15.33203125" style="325" customWidth="1"/>
    <col min="7167" max="7167" width="1.77734375" style="325" customWidth="1"/>
    <col min="7168" max="7168" width="17" style="325" customWidth="1"/>
    <col min="7169" max="7169" width="1.33203125" style="325" customWidth="1"/>
    <col min="7170" max="7170" width="9.33203125" style="325" customWidth="1"/>
    <col min="7171" max="7171" width="2" style="325" customWidth="1"/>
    <col min="7172" max="7172" width="11.33203125" style="325" customWidth="1"/>
    <col min="7173" max="7173" width="10.109375" style="325" customWidth="1"/>
    <col min="7174" max="7174" width="11.77734375" style="325" customWidth="1"/>
    <col min="7175" max="7175" width="18.109375" style="325" customWidth="1"/>
    <col min="7176" max="7419" width="9" style="325"/>
    <col min="7420" max="7420" width="22.33203125" style="325" customWidth="1"/>
    <col min="7421" max="7421" width="1.77734375" style="325" customWidth="1"/>
    <col min="7422" max="7422" width="15.33203125" style="325" customWidth="1"/>
    <col min="7423" max="7423" width="1.77734375" style="325" customWidth="1"/>
    <col min="7424" max="7424" width="17" style="325" customWidth="1"/>
    <col min="7425" max="7425" width="1.33203125" style="325" customWidth="1"/>
    <col min="7426" max="7426" width="9.33203125" style="325" customWidth="1"/>
    <col min="7427" max="7427" width="2" style="325" customWidth="1"/>
    <col min="7428" max="7428" width="11.33203125" style="325" customWidth="1"/>
    <col min="7429" max="7429" width="10.109375" style="325" customWidth="1"/>
    <col min="7430" max="7430" width="11.77734375" style="325" customWidth="1"/>
    <col min="7431" max="7431" width="18.109375" style="325" customWidth="1"/>
    <col min="7432" max="7675" width="9" style="325"/>
    <col min="7676" max="7676" width="22.33203125" style="325" customWidth="1"/>
    <col min="7677" max="7677" width="1.77734375" style="325" customWidth="1"/>
    <col min="7678" max="7678" width="15.33203125" style="325" customWidth="1"/>
    <col min="7679" max="7679" width="1.77734375" style="325" customWidth="1"/>
    <col min="7680" max="7680" width="17" style="325" customWidth="1"/>
    <col min="7681" max="7681" width="1.33203125" style="325" customWidth="1"/>
    <col min="7682" max="7682" width="9.33203125" style="325" customWidth="1"/>
    <col min="7683" max="7683" width="2" style="325" customWidth="1"/>
    <col min="7684" max="7684" width="11.33203125" style="325" customWidth="1"/>
    <col min="7685" max="7685" width="10.109375" style="325" customWidth="1"/>
    <col min="7686" max="7686" width="11.77734375" style="325" customWidth="1"/>
    <col min="7687" max="7687" width="18.109375" style="325" customWidth="1"/>
    <col min="7688" max="7931" width="9" style="325"/>
    <col min="7932" max="7932" width="22.33203125" style="325" customWidth="1"/>
    <col min="7933" max="7933" width="1.77734375" style="325" customWidth="1"/>
    <col min="7934" max="7934" width="15.33203125" style="325" customWidth="1"/>
    <col min="7935" max="7935" width="1.77734375" style="325" customWidth="1"/>
    <col min="7936" max="7936" width="17" style="325" customWidth="1"/>
    <col min="7937" max="7937" width="1.33203125" style="325" customWidth="1"/>
    <col min="7938" max="7938" width="9.33203125" style="325" customWidth="1"/>
    <col min="7939" max="7939" width="2" style="325" customWidth="1"/>
    <col min="7940" max="7940" width="11.33203125" style="325" customWidth="1"/>
    <col min="7941" max="7941" width="10.109375" style="325" customWidth="1"/>
    <col min="7942" max="7942" width="11.77734375" style="325" customWidth="1"/>
    <col min="7943" max="7943" width="18.109375" style="325" customWidth="1"/>
    <col min="7944" max="8187" width="9" style="325"/>
    <col min="8188" max="8188" width="22.33203125" style="325" customWidth="1"/>
    <col min="8189" max="8189" width="1.77734375" style="325" customWidth="1"/>
    <col min="8190" max="8190" width="15.33203125" style="325" customWidth="1"/>
    <col min="8191" max="8191" width="1.77734375" style="325" customWidth="1"/>
    <col min="8192" max="8192" width="17" style="325" customWidth="1"/>
    <col min="8193" max="8193" width="1.33203125" style="325" customWidth="1"/>
    <col min="8194" max="8194" width="9.33203125" style="325" customWidth="1"/>
    <col min="8195" max="8195" width="2" style="325" customWidth="1"/>
    <col min="8196" max="8196" width="11.33203125" style="325" customWidth="1"/>
    <col min="8197" max="8197" width="10.109375" style="325" customWidth="1"/>
    <col min="8198" max="8198" width="11.77734375" style="325" customWidth="1"/>
    <col min="8199" max="8199" width="18.109375" style="325" customWidth="1"/>
    <col min="8200" max="8443" width="9" style="325"/>
    <col min="8444" max="8444" width="22.33203125" style="325" customWidth="1"/>
    <col min="8445" max="8445" width="1.77734375" style="325" customWidth="1"/>
    <col min="8446" max="8446" width="15.33203125" style="325" customWidth="1"/>
    <col min="8447" max="8447" width="1.77734375" style="325" customWidth="1"/>
    <col min="8448" max="8448" width="17" style="325" customWidth="1"/>
    <col min="8449" max="8449" width="1.33203125" style="325" customWidth="1"/>
    <col min="8450" max="8450" width="9.33203125" style="325" customWidth="1"/>
    <col min="8451" max="8451" width="2" style="325" customWidth="1"/>
    <col min="8452" max="8452" width="11.33203125" style="325" customWidth="1"/>
    <col min="8453" max="8453" width="10.109375" style="325" customWidth="1"/>
    <col min="8454" max="8454" width="11.77734375" style="325" customWidth="1"/>
    <col min="8455" max="8455" width="18.109375" style="325" customWidth="1"/>
    <col min="8456" max="8699" width="9" style="325"/>
    <col min="8700" max="8700" width="22.33203125" style="325" customWidth="1"/>
    <col min="8701" max="8701" width="1.77734375" style="325" customWidth="1"/>
    <col min="8702" max="8702" width="15.33203125" style="325" customWidth="1"/>
    <col min="8703" max="8703" width="1.77734375" style="325" customWidth="1"/>
    <col min="8704" max="8704" width="17" style="325" customWidth="1"/>
    <col min="8705" max="8705" width="1.33203125" style="325" customWidth="1"/>
    <col min="8706" max="8706" width="9.33203125" style="325" customWidth="1"/>
    <col min="8707" max="8707" width="2" style="325" customWidth="1"/>
    <col min="8708" max="8708" width="11.33203125" style="325" customWidth="1"/>
    <col min="8709" max="8709" width="10.109375" style="325" customWidth="1"/>
    <col min="8710" max="8710" width="11.77734375" style="325" customWidth="1"/>
    <col min="8711" max="8711" width="18.109375" style="325" customWidth="1"/>
    <col min="8712" max="8955" width="9" style="325"/>
    <col min="8956" max="8956" width="22.33203125" style="325" customWidth="1"/>
    <col min="8957" max="8957" width="1.77734375" style="325" customWidth="1"/>
    <col min="8958" max="8958" width="15.33203125" style="325" customWidth="1"/>
    <col min="8959" max="8959" width="1.77734375" style="325" customWidth="1"/>
    <col min="8960" max="8960" width="17" style="325" customWidth="1"/>
    <col min="8961" max="8961" width="1.33203125" style="325" customWidth="1"/>
    <col min="8962" max="8962" width="9.33203125" style="325" customWidth="1"/>
    <col min="8963" max="8963" width="2" style="325" customWidth="1"/>
    <col min="8964" max="8964" width="11.33203125" style="325" customWidth="1"/>
    <col min="8965" max="8965" width="10.109375" style="325" customWidth="1"/>
    <col min="8966" max="8966" width="11.77734375" style="325" customWidth="1"/>
    <col min="8967" max="8967" width="18.109375" style="325" customWidth="1"/>
    <col min="8968" max="9211" width="9" style="325"/>
    <col min="9212" max="9212" width="22.33203125" style="325" customWidth="1"/>
    <col min="9213" max="9213" width="1.77734375" style="325" customWidth="1"/>
    <col min="9214" max="9214" width="15.33203125" style="325" customWidth="1"/>
    <col min="9215" max="9215" width="1.77734375" style="325" customWidth="1"/>
    <col min="9216" max="9216" width="17" style="325" customWidth="1"/>
    <col min="9217" max="9217" width="1.33203125" style="325" customWidth="1"/>
    <col min="9218" max="9218" width="9.33203125" style="325" customWidth="1"/>
    <col min="9219" max="9219" width="2" style="325" customWidth="1"/>
    <col min="9220" max="9220" width="11.33203125" style="325" customWidth="1"/>
    <col min="9221" max="9221" width="10.109375" style="325" customWidth="1"/>
    <col min="9222" max="9222" width="11.77734375" style="325" customWidth="1"/>
    <col min="9223" max="9223" width="18.109375" style="325" customWidth="1"/>
    <col min="9224" max="9467" width="9" style="325"/>
    <col min="9468" max="9468" width="22.33203125" style="325" customWidth="1"/>
    <col min="9469" max="9469" width="1.77734375" style="325" customWidth="1"/>
    <col min="9470" max="9470" width="15.33203125" style="325" customWidth="1"/>
    <col min="9471" max="9471" width="1.77734375" style="325" customWidth="1"/>
    <col min="9472" max="9472" width="17" style="325" customWidth="1"/>
    <col min="9473" max="9473" width="1.33203125" style="325" customWidth="1"/>
    <col min="9474" max="9474" width="9.33203125" style="325" customWidth="1"/>
    <col min="9475" max="9475" width="2" style="325" customWidth="1"/>
    <col min="9476" max="9476" width="11.33203125" style="325" customWidth="1"/>
    <col min="9477" max="9477" width="10.109375" style="325" customWidth="1"/>
    <col min="9478" max="9478" width="11.77734375" style="325" customWidth="1"/>
    <col min="9479" max="9479" width="18.109375" style="325" customWidth="1"/>
    <col min="9480" max="9723" width="9" style="325"/>
    <col min="9724" max="9724" width="22.33203125" style="325" customWidth="1"/>
    <col min="9725" max="9725" width="1.77734375" style="325" customWidth="1"/>
    <col min="9726" max="9726" width="15.33203125" style="325" customWidth="1"/>
    <col min="9727" max="9727" width="1.77734375" style="325" customWidth="1"/>
    <col min="9728" max="9728" width="17" style="325" customWidth="1"/>
    <col min="9729" max="9729" width="1.33203125" style="325" customWidth="1"/>
    <col min="9730" max="9730" width="9.33203125" style="325" customWidth="1"/>
    <col min="9731" max="9731" width="2" style="325" customWidth="1"/>
    <col min="9732" max="9732" width="11.33203125" style="325" customWidth="1"/>
    <col min="9733" max="9733" width="10.109375" style="325" customWidth="1"/>
    <col min="9734" max="9734" width="11.77734375" style="325" customWidth="1"/>
    <col min="9735" max="9735" width="18.109375" style="325" customWidth="1"/>
    <col min="9736" max="9979" width="9" style="325"/>
    <col min="9980" max="9980" width="22.33203125" style="325" customWidth="1"/>
    <col min="9981" max="9981" width="1.77734375" style="325" customWidth="1"/>
    <col min="9982" max="9982" width="15.33203125" style="325" customWidth="1"/>
    <col min="9983" max="9983" width="1.77734375" style="325" customWidth="1"/>
    <col min="9984" max="9984" width="17" style="325" customWidth="1"/>
    <col min="9985" max="9985" width="1.33203125" style="325" customWidth="1"/>
    <col min="9986" max="9986" width="9.33203125" style="325" customWidth="1"/>
    <col min="9987" max="9987" width="2" style="325" customWidth="1"/>
    <col min="9988" max="9988" width="11.33203125" style="325" customWidth="1"/>
    <col min="9989" max="9989" width="10.109375" style="325" customWidth="1"/>
    <col min="9990" max="9990" width="11.77734375" style="325" customWidth="1"/>
    <col min="9991" max="9991" width="18.109375" style="325" customWidth="1"/>
    <col min="9992" max="10235" width="9" style="325"/>
    <col min="10236" max="10236" width="22.33203125" style="325" customWidth="1"/>
    <col min="10237" max="10237" width="1.77734375" style="325" customWidth="1"/>
    <col min="10238" max="10238" width="15.33203125" style="325" customWidth="1"/>
    <col min="10239" max="10239" width="1.77734375" style="325" customWidth="1"/>
    <col min="10240" max="10240" width="17" style="325" customWidth="1"/>
    <col min="10241" max="10241" width="1.33203125" style="325" customWidth="1"/>
    <col min="10242" max="10242" width="9.33203125" style="325" customWidth="1"/>
    <col min="10243" max="10243" width="2" style="325" customWidth="1"/>
    <col min="10244" max="10244" width="11.33203125" style="325" customWidth="1"/>
    <col min="10245" max="10245" width="10.109375" style="325" customWidth="1"/>
    <col min="10246" max="10246" width="11.77734375" style="325" customWidth="1"/>
    <col min="10247" max="10247" width="18.109375" style="325" customWidth="1"/>
    <col min="10248" max="10491" width="9" style="325"/>
    <col min="10492" max="10492" width="22.33203125" style="325" customWidth="1"/>
    <col min="10493" max="10493" width="1.77734375" style="325" customWidth="1"/>
    <col min="10494" max="10494" width="15.33203125" style="325" customWidth="1"/>
    <col min="10495" max="10495" width="1.77734375" style="325" customWidth="1"/>
    <col min="10496" max="10496" width="17" style="325" customWidth="1"/>
    <col min="10497" max="10497" width="1.33203125" style="325" customWidth="1"/>
    <col min="10498" max="10498" width="9.33203125" style="325" customWidth="1"/>
    <col min="10499" max="10499" width="2" style="325" customWidth="1"/>
    <col min="10500" max="10500" width="11.33203125" style="325" customWidth="1"/>
    <col min="10501" max="10501" width="10.109375" style="325" customWidth="1"/>
    <col min="10502" max="10502" width="11.77734375" style="325" customWidth="1"/>
    <col min="10503" max="10503" width="18.109375" style="325" customWidth="1"/>
    <col min="10504" max="10747" width="9" style="325"/>
    <col min="10748" max="10748" width="22.33203125" style="325" customWidth="1"/>
    <col min="10749" max="10749" width="1.77734375" style="325" customWidth="1"/>
    <col min="10750" max="10750" width="15.33203125" style="325" customWidth="1"/>
    <col min="10751" max="10751" width="1.77734375" style="325" customWidth="1"/>
    <col min="10752" max="10752" width="17" style="325" customWidth="1"/>
    <col min="10753" max="10753" width="1.33203125" style="325" customWidth="1"/>
    <col min="10754" max="10754" width="9.33203125" style="325" customWidth="1"/>
    <col min="10755" max="10755" width="2" style="325" customWidth="1"/>
    <col min="10756" max="10756" width="11.33203125" style="325" customWidth="1"/>
    <col min="10757" max="10757" width="10.109375" style="325" customWidth="1"/>
    <col min="10758" max="10758" width="11.77734375" style="325" customWidth="1"/>
    <col min="10759" max="10759" width="18.109375" style="325" customWidth="1"/>
    <col min="10760" max="11003" width="9" style="325"/>
    <col min="11004" max="11004" width="22.33203125" style="325" customWidth="1"/>
    <col min="11005" max="11005" width="1.77734375" style="325" customWidth="1"/>
    <col min="11006" max="11006" width="15.33203125" style="325" customWidth="1"/>
    <col min="11007" max="11007" width="1.77734375" style="325" customWidth="1"/>
    <col min="11008" max="11008" width="17" style="325" customWidth="1"/>
    <col min="11009" max="11009" width="1.33203125" style="325" customWidth="1"/>
    <col min="11010" max="11010" width="9.33203125" style="325" customWidth="1"/>
    <col min="11011" max="11011" width="2" style="325" customWidth="1"/>
    <col min="11012" max="11012" width="11.33203125" style="325" customWidth="1"/>
    <col min="11013" max="11013" width="10.109375" style="325" customWidth="1"/>
    <col min="11014" max="11014" width="11.77734375" style="325" customWidth="1"/>
    <col min="11015" max="11015" width="18.109375" style="325" customWidth="1"/>
    <col min="11016" max="11259" width="9" style="325"/>
    <col min="11260" max="11260" width="22.33203125" style="325" customWidth="1"/>
    <col min="11261" max="11261" width="1.77734375" style="325" customWidth="1"/>
    <col min="11262" max="11262" width="15.33203125" style="325" customWidth="1"/>
    <col min="11263" max="11263" width="1.77734375" style="325" customWidth="1"/>
    <col min="11264" max="11264" width="17" style="325" customWidth="1"/>
    <col min="11265" max="11265" width="1.33203125" style="325" customWidth="1"/>
    <col min="11266" max="11266" width="9.33203125" style="325" customWidth="1"/>
    <col min="11267" max="11267" width="2" style="325" customWidth="1"/>
    <col min="11268" max="11268" width="11.33203125" style="325" customWidth="1"/>
    <col min="11269" max="11269" width="10.109375" style="325" customWidth="1"/>
    <col min="11270" max="11270" width="11.77734375" style="325" customWidth="1"/>
    <col min="11271" max="11271" width="18.109375" style="325" customWidth="1"/>
    <col min="11272" max="11515" width="9" style="325"/>
    <col min="11516" max="11516" width="22.33203125" style="325" customWidth="1"/>
    <col min="11517" max="11517" width="1.77734375" style="325" customWidth="1"/>
    <col min="11518" max="11518" width="15.33203125" style="325" customWidth="1"/>
    <col min="11519" max="11519" width="1.77734375" style="325" customWidth="1"/>
    <col min="11520" max="11520" width="17" style="325" customWidth="1"/>
    <col min="11521" max="11521" width="1.33203125" style="325" customWidth="1"/>
    <col min="11522" max="11522" width="9.33203125" style="325" customWidth="1"/>
    <col min="11523" max="11523" width="2" style="325" customWidth="1"/>
    <col min="11524" max="11524" width="11.33203125" style="325" customWidth="1"/>
    <col min="11525" max="11525" width="10.109375" style="325" customWidth="1"/>
    <col min="11526" max="11526" width="11.77734375" style="325" customWidth="1"/>
    <col min="11527" max="11527" width="18.109375" style="325" customWidth="1"/>
    <col min="11528" max="11771" width="9" style="325"/>
    <col min="11772" max="11772" width="22.33203125" style="325" customWidth="1"/>
    <col min="11773" max="11773" width="1.77734375" style="325" customWidth="1"/>
    <col min="11774" max="11774" width="15.33203125" style="325" customWidth="1"/>
    <col min="11775" max="11775" width="1.77734375" style="325" customWidth="1"/>
    <col min="11776" max="11776" width="17" style="325" customWidth="1"/>
    <col min="11777" max="11777" width="1.33203125" style="325" customWidth="1"/>
    <col min="11778" max="11778" width="9.33203125" style="325" customWidth="1"/>
    <col min="11779" max="11779" width="2" style="325" customWidth="1"/>
    <col min="11780" max="11780" width="11.33203125" style="325" customWidth="1"/>
    <col min="11781" max="11781" width="10.109375" style="325" customWidth="1"/>
    <col min="11782" max="11782" width="11.77734375" style="325" customWidth="1"/>
    <col min="11783" max="11783" width="18.109375" style="325" customWidth="1"/>
    <col min="11784" max="12027" width="9" style="325"/>
    <col min="12028" max="12028" width="22.33203125" style="325" customWidth="1"/>
    <col min="12029" max="12029" width="1.77734375" style="325" customWidth="1"/>
    <col min="12030" max="12030" width="15.33203125" style="325" customWidth="1"/>
    <col min="12031" max="12031" width="1.77734375" style="325" customWidth="1"/>
    <col min="12032" max="12032" width="17" style="325" customWidth="1"/>
    <col min="12033" max="12033" width="1.33203125" style="325" customWidth="1"/>
    <col min="12034" max="12034" width="9.33203125" style="325" customWidth="1"/>
    <col min="12035" max="12035" width="2" style="325" customWidth="1"/>
    <col min="12036" max="12036" width="11.33203125" style="325" customWidth="1"/>
    <col min="12037" max="12037" width="10.109375" style="325" customWidth="1"/>
    <col min="12038" max="12038" width="11.77734375" style="325" customWidth="1"/>
    <col min="12039" max="12039" width="18.109375" style="325" customWidth="1"/>
    <col min="12040" max="12283" width="9" style="325"/>
    <col min="12284" max="12284" width="22.33203125" style="325" customWidth="1"/>
    <col min="12285" max="12285" width="1.77734375" style="325" customWidth="1"/>
    <col min="12286" max="12286" width="15.33203125" style="325" customWidth="1"/>
    <col min="12287" max="12287" width="1.77734375" style="325" customWidth="1"/>
    <col min="12288" max="12288" width="17" style="325" customWidth="1"/>
    <col min="12289" max="12289" width="1.33203125" style="325" customWidth="1"/>
    <col min="12290" max="12290" width="9.33203125" style="325" customWidth="1"/>
    <col min="12291" max="12291" width="2" style="325" customWidth="1"/>
    <col min="12292" max="12292" width="11.33203125" style="325" customWidth="1"/>
    <col min="12293" max="12293" width="10.109375" style="325" customWidth="1"/>
    <col min="12294" max="12294" width="11.77734375" style="325" customWidth="1"/>
    <col min="12295" max="12295" width="18.109375" style="325" customWidth="1"/>
    <col min="12296" max="12539" width="9" style="325"/>
    <col min="12540" max="12540" width="22.33203125" style="325" customWidth="1"/>
    <col min="12541" max="12541" width="1.77734375" style="325" customWidth="1"/>
    <col min="12542" max="12542" width="15.33203125" style="325" customWidth="1"/>
    <col min="12543" max="12543" width="1.77734375" style="325" customWidth="1"/>
    <col min="12544" max="12544" width="17" style="325" customWidth="1"/>
    <col min="12545" max="12545" width="1.33203125" style="325" customWidth="1"/>
    <col min="12546" max="12546" width="9.33203125" style="325" customWidth="1"/>
    <col min="12547" max="12547" width="2" style="325" customWidth="1"/>
    <col min="12548" max="12548" width="11.33203125" style="325" customWidth="1"/>
    <col min="12549" max="12549" width="10.109375" style="325" customWidth="1"/>
    <col min="12550" max="12550" width="11.77734375" style="325" customWidth="1"/>
    <col min="12551" max="12551" width="18.109375" style="325" customWidth="1"/>
    <col min="12552" max="12795" width="9" style="325"/>
    <col min="12796" max="12796" width="22.33203125" style="325" customWidth="1"/>
    <col min="12797" max="12797" width="1.77734375" style="325" customWidth="1"/>
    <col min="12798" max="12798" width="15.33203125" style="325" customWidth="1"/>
    <col min="12799" max="12799" width="1.77734375" style="325" customWidth="1"/>
    <col min="12800" max="12800" width="17" style="325" customWidth="1"/>
    <col min="12801" max="12801" width="1.33203125" style="325" customWidth="1"/>
    <col min="12802" max="12802" width="9.33203125" style="325" customWidth="1"/>
    <col min="12803" max="12803" width="2" style="325" customWidth="1"/>
    <col min="12804" max="12804" width="11.33203125" style="325" customWidth="1"/>
    <col min="12805" max="12805" width="10.109375" style="325" customWidth="1"/>
    <col min="12806" max="12806" width="11.77734375" style="325" customWidth="1"/>
    <col min="12807" max="12807" width="18.109375" style="325" customWidth="1"/>
    <col min="12808" max="13051" width="9" style="325"/>
    <col min="13052" max="13052" width="22.33203125" style="325" customWidth="1"/>
    <col min="13053" max="13053" width="1.77734375" style="325" customWidth="1"/>
    <col min="13054" max="13054" width="15.33203125" style="325" customWidth="1"/>
    <col min="13055" max="13055" width="1.77734375" style="325" customWidth="1"/>
    <col min="13056" max="13056" width="17" style="325" customWidth="1"/>
    <col min="13057" max="13057" width="1.33203125" style="325" customWidth="1"/>
    <col min="13058" max="13058" width="9.33203125" style="325" customWidth="1"/>
    <col min="13059" max="13059" width="2" style="325" customWidth="1"/>
    <col min="13060" max="13060" width="11.33203125" style="325" customWidth="1"/>
    <col min="13061" max="13061" width="10.109375" style="325" customWidth="1"/>
    <col min="13062" max="13062" width="11.77734375" style="325" customWidth="1"/>
    <col min="13063" max="13063" width="18.109375" style="325" customWidth="1"/>
    <col min="13064" max="13307" width="9" style="325"/>
    <col min="13308" max="13308" width="22.33203125" style="325" customWidth="1"/>
    <col min="13309" max="13309" width="1.77734375" style="325" customWidth="1"/>
    <col min="13310" max="13310" width="15.33203125" style="325" customWidth="1"/>
    <col min="13311" max="13311" width="1.77734375" style="325" customWidth="1"/>
    <col min="13312" max="13312" width="17" style="325" customWidth="1"/>
    <col min="13313" max="13313" width="1.33203125" style="325" customWidth="1"/>
    <col min="13314" max="13314" width="9.33203125" style="325" customWidth="1"/>
    <col min="13315" max="13315" width="2" style="325" customWidth="1"/>
    <col min="13316" max="13316" width="11.33203125" style="325" customWidth="1"/>
    <col min="13317" max="13317" width="10.109375" style="325" customWidth="1"/>
    <col min="13318" max="13318" width="11.77734375" style="325" customWidth="1"/>
    <col min="13319" max="13319" width="18.109375" style="325" customWidth="1"/>
    <col min="13320" max="13563" width="9" style="325"/>
    <col min="13564" max="13564" width="22.33203125" style="325" customWidth="1"/>
    <col min="13565" max="13565" width="1.77734375" style="325" customWidth="1"/>
    <col min="13566" max="13566" width="15.33203125" style="325" customWidth="1"/>
    <col min="13567" max="13567" width="1.77734375" style="325" customWidth="1"/>
    <col min="13568" max="13568" width="17" style="325" customWidth="1"/>
    <col min="13569" max="13569" width="1.33203125" style="325" customWidth="1"/>
    <col min="13570" max="13570" width="9.33203125" style="325" customWidth="1"/>
    <col min="13571" max="13571" width="2" style="325" customWidth="1"/>
    <col min="13572" max="13572" width="11.33203125" style="325" customWidth="1"/>
    <col min="13573" max="13573" width="10.109375" style="325" customWidth="1"/>
    <col min="13574" max="13574" width="11.77734375" style="325" customWidth="1"/>
    <col min="13575" max="13575" width="18.109375" style="325" customWidth="1"/>
    <col min="13576" max="13819" width="9" style="325"/>
    <col min="13820" max="13820" width="22.33203125" style="325" customWidth="1"/>
    <col min="13821" max="13821" width="1.77734375" style="325" customWidth="1"/>
    <col min="13822" max="13822" width="15.33203125" style="325" customWidth="1"/>
    <col min="13823" max="13823" width="1.77734375" style="325" customWidth="1"/>
    <col min="13824" max="13824" width="17" style="325" customWidth="1"/>
    <col min="13825" max="13825" width="1.33203125" style="325" customWidth="1"/>
    <col min="13826" max="13826" width="9.33203125" style="325" customWidth="1"/>
    <col min="13827" max="13827" width="2" style="325" customWidth="1"/>
    <col min="13828" max="13828" width="11.33203125" style="325" customWidth="1"/>
    <col min="13829" max="13829" width="10.109375" style="325" customWidth="1"/>
    <col min="13830" max="13830" width="11.77734375" style="325" customWidth="1"/>
    <col min="13831" max="13831" width="18.109375" style="325" customWidth="1"/>
    <col min="13832" max="14075" width="9" style="325"/>
    <col min="14076" max="14076" width="22.33203125" style="325" customWidth="1"/>
    <col min="14077" max="14077" width="1.77734375" style="325" customWidth="1"/>
    <col min="14078" max="14078" width="15.33203125" style="325" customWidth="1"/>
    <col min="14079" max="14079" width="1.77734375" style="325" customWidth="1"/>
    <col min="14080" max="14080" width="17" style="325" customWidth="1"/>
    <col min="14081" max="14081" width="1.33203125" style="325" customWidth="1"/>
    <col min="14082" max="14082" width="9.33203125" style="325" customWidth="1"/>
    <col min="14083" max="14083" width="2" style="325" customWidth="1"/>
    <col min="14084" max="14084" width="11.33203125" style="325" customWidth="1"/>
    <col min="14085" max="14085" width="10.109375" style="325" customWidth="1"/>
    <col min="14086" max="14086" width="11.77734375" style="325" customWidth="1"/>
    <col min="14087" max="14087" width="18.109375" style="325" customWidth="1"/>
    <col min="14088" max="14331" width="9" style="325"/>
    <col min="14332" max="14332" width="22.33203125" style="325" customWidth="1"/>
    <col min="14333" max="14333" width="1.77734375" style="325" customWidth="1"/>
    <col min="14334" max="14334" width="15.33203125" style="325" customWidth="1"/>
    <col min="14335" max="14335" width="1.77734375" style="325" customWidth="1"/>
    <col min="14336" max="14336" width="17" style="325" customWidth="1"/>
    <col min="14337" max="14337" width="1.33203125" style="325" customWidth="1"/>
    <col min="14338" max="14338" width="9.33203125" style="325" customWidth="1"/>
    <col min="14339" max="14339" width="2" style="325" customWidth="1"/>
    <col min="14340" max="14340" width="11.33203125" style="325" customWidth="1"/>
    <col min="14341" max="14341" width="10.109375" style="325" customWidth="1"/>
    <col min="14342" max="14342" width="11.77734375" style="325" customWidth="1"/>
    <col min="14343" max="14343" width="18.109375" style="325" customWidth="1"/>
    <col min="14344" max="14587" width="9" style="325"/>
    <col min="14588" max="14588" width="22.33203125" style="325" customWidth="1"/>
    <col min="14589" max="14589" width="1.77734375" style="325" customWidth="1"/>
    <col min="14590" max="14590" width="15.33203125" style="325" customWidth="1"/>
    <col min="14591" max="14591" width="1.77734375" style="325" customWidth="1"/>
    <col min="14592" max="14592" width="17" style="325" customWidth="1"/>
    <col min="14593" max="14593" width="1.33203125" style="325" customWidth="1"/>
    <col min="14594" max="14594" width="9.33203125" style="325" customWidth="1"/>
    <col min="14595" max="14595" width="2" style="325" customWidth="1"/>
    <col min="14596" max="14596" width="11.33203125" style="325" customWidth="1"/>
    <col min="14597" max="14597" width="10.109375" style="325" customWidth="1"/>
    <col min="14598" max="14598" width="11.77734375" style="325" customWidth="1"/>
    <col min="14599" max="14599" width="18.109375" style="325" customWidth="1"/>
    <col min="14600" max="14843" width="9" style="325"/>
    <col min="14844" max="14844" width="22.33203125" style="325" customWidth="1"/>
    <col min="14845" max="14845" width="1.77734375" style="325" customWidth="1"/>
    <col min="14846" max="14846" width="15.33203125" style="325" customWidth="1"/>
    <col min="14847" max="14847" width="1.77734375" style="325" customWidth="1"/>
    <col min="14848" max="14848" width="17" style="325" customWidth="1"/>
    <col min="14849" max="14849" width="1.33203125" style="325" customWidth="1"/>
    <col min="14850" max="14850" width="9.33203125" style="325" customWidth="1"/>
    <col min="14851" max="14851" width="2" style="325" customWidth="1"/>
    <col min="14852" max="14852" width="11.33203125" style="325" customWidth="1"/>
    <col min="14853" max="14853" width="10.109375" style="325" customWidth="1"/>
    <col min="14854" max="14854" width="11.77734375" style="325" customWidth="1"/>
    <col min="14855" max="14855" width="18.109375" style="325" customWidth="1"/>
    <col min="14856" max="15099" width="9" style="325"/>
    <col min="15100" max="15100" width="22.33203125" style="325" customWidth="1"/>
    <col min="15101" max="15101" width="1.77734375" style="325" customWidth="1"/>
    <col min="15102" max="15102" width="15.33203125" style="325" customWidth="1"/>
    <col min="15103" max="15103" width="1.77734375" style="325" customWidth="1"/>
    <col min="15104" max="15104" width="17" style="325" customWidth="1"/>
    <col min="15105" max="15105" width="1.33203125" style="325" customWidth="1"/>
    <col min="15106" max="15106" width="9.33203125" style="325" customWidth="1"/>
    <col min="15107" max="15107" width="2" style="325" customWidth="1"/>
    <col min="15108" max="15108" width="11.33203125" style="325" customWidth="1"/>
    <col min="15109" max="15109" width="10.109375" style="325" customWidth="1"/>
    <col min="15110" max="15110" width="11.77734375" style="325" customWidth="1"/>
    <col min="15111" max="15111" width="18.109375" style="325" customWidth="1"/>
    <col min="15112" max="15355" width="9" style="325"/>
    <col min="15356" max="15356" width="22.33203125" style="325" customWidth="1"/>
    <col min="15357" max="15357" width="1.77734375" style="325" customWidth="1"/>
    <col min="15358" max="15358" width="15.33203125" style="325" customWidth="1"/>
    <col min="15359" max="15359" width="1.77734375" style="325" customWidth="1"/>
    <col min="15360" max="15360" width="17" style="325" customWidth="1"/>
    <col min="15361" max="15361" width="1.33203125" style="325" customWidth="1"/>
    <col min="15362" max="15362" width="9.33203125" style="325" customWidth="1"/>
    <col min="15363" max="15363" width="2" style="325" customWidth="1"/>
    <col min="15364" max="15364" width="11.33203125" style="325" customWidth="1"/>
    <col min="15365" max="15365" width="10.109375" style="325" customWidth="1"/>
    <col min="15366" max="15366" width="11.77734375" style="325" customWidth="1"/>
    <col min="15367" max="15367" width="18.109375" style="325" customWidth="1"/>
    <col min="15368" max="15611" width="9" style="325"/>
    <col min="15612" max="15612" width="22.33203125" style="325" customWidth="1"/>
    <col min="15613" max="15613" width="1.77734375" style="325" customWidth="1"/>
    <col min="15614" max="15614" width="15.33203125" style="325" customWidth="1"/>
    <col min="15615" max="15615" width="1.77734375" style="325" customWidth="1"/>
    <col min="15616" max="15616" width="17" style="325" customWidth="1"/>
    <col min="15617" max="15617" width="1.33203125" style="325" customWidth="1"/>
    <col min="15618" max="15618" width="9.33203125" style="325" customWidth="1"/>
    <col min="15619" max="15619" width="2" style="325" customWidth="1"/>
    <col min="15620" max="15620" width="11.33203125" style="325" customWidth="1"/>
    <col min="15621" max="15621" width="10.109375" style="325" customWidth="1"/>
    <col min="15622" max="15622" width="11.77734375" style="325" customWidth="1"/>
    <col min="15623" max="15623" width="18.109375" style="325" customWidth="1"/>
    <col min="15624" max="15867" width="9" style="325"/>
    <col min="15868" max="15868" width="22.33203125" style="325" customWidth="1"/>
    <col min="15869" max="15869" width="1.77734375" style="325" customWidth="1"/>
    <col min="15870" max="15870" width="15.33203125" style="325" customWidth="1"/>
    <col min="15871" max="15871" width="1.77734375" style="325" customWidth="1"/>
    <col min="15872" max="15872" width="17" style="325" customWidth="1"/>
    <col min="15873" max="15873" width="1.33203125" style="325" customWidth="1"/>
    <col min="15874" max="15874" width="9.33203125" style="325" customWidth="1"/>
    <col min="15875" max="15875" width="2" style="325" customWidth="1"/>
    <col min="15876" max="15876" width="11.33203125" style="325" customWidth="1"/>
    <col min="15877" max="15877" width="10.109375" style="325" customWidth="1"/>
    <col min="15878" max="15878" width="11.77734375" style="325" customWidth="1"/>
    <col min="15879" max="15879" width="18.109375" style="325" customWidth="1"/>
    <col min="15880" max="16123" width="9" style="325"/>
    <col min="16124" max="16124" width="22.33203125" style="325" customWidth="1"/>
    <col min="16125" max="16125" width="1.77734375" style="325" customWidth="1"/>
    <col min="16126" max="16126" width="15.33203125" style="325" customWidth="1"/>
    <col min="16127" max="16127" width="1.77734375" style="325" customWidth="1"/>
    <col min="16128" max="16128" width="17" style="325" customWidth="1"/>
    <col min="16129" max="16129" width="1.33203125" style="325" customWidth="1"/>
    <col min="16130" max="16130" width="9.33203125" style="325" customWidth="1"/>
    <col min="16131" max="16131" width="2" style="325" customWidth="1"/>
    <col min="16132" max="16132" width="11.33203125" style="325" customWidth="1"/>
    <col min="16133" max="16133" width="10.109375" style="325" customWidth="1"/>
    <col min="16134" max="16134" width="11.77734375" style="325" customWidth="1"/>
    <col min="16135" max="16135" width="18.109375" style="325" customWidth="1"/>
    <col min="16136" max="16384" width="9" style="325"/>
  </cols>
  <sheetData>
    <row r="1" spans="1:23" s="330" customFormat="1" ht="15.6">
      <c r="E1" s="331"/>
      <c r="F1" s="331"/>
      <c r="G1" s="331"/>
      <c r="H1" s="331"/>
      <c r="I1" s="331"/>
      <c r="J1" s="331"/>
      <c r="K1" s="331"/>
      <c r="L1" s="331"/>
      <c r="M1" s="331"/>
      <c r="N1" s="331"/>
      <c r="O1" s="331"/>
      <c r="P1" s="332"/>
    </row>
    <row r="2" spans="1:23" s="73" customFormat="1" ht="17.399999999999999">
      <c r="B2" s="1264"/>
      <c r="D2" s="221"/>
      <c r="E2" s="333"/>
      <c r="F2" s="333"/>
      <c r="G2" s="333"/>
      <c r="H2" s="333"/>
      <c r="I2" s="333"/>
      <c r="J2" s="333"/>
      <c r="K2" s="333"/>
      <c r="L2" s="333"/>
      <c r="M2" s="333"/>
      <c r="N2" s="333"/>
      <c r="O2" s="334"/>
      <c r="P2" s="333"/>
      <c r="Q2" s="221"/>
      <c r="R2" s="221"/>
      <c r="S2" s="221"/>
      <c r="T2" s="221"/>
      <c r="U2" s="221"/>
      <c r="V2" s="221"/>
      <c r="W2" s="221"/>
    </row>
    <row r="3" spans="1:23" s="73" customFormat="1" ht="17.399999999999999">
      <c r="A3" s="1463" t="s">
        <v>0</v>
      </c>
      <c r="B3" s="1463"/>
      <c r="C3" s="1463"/>
      <c r="D3" s="1463"/>
      <c r="E3" s="1463"/>
      <c r="F3" s="1463"/>
      <c r="G3" s="1463"/>
      <c r="H3" s="1463"/>
      <c r="I3" s="1463"/>
      <c r="J3" s="1463"/>
      <c r="K3" s="1463"/>
      <c r="L3" s="1463"/>
      <c r="M3" s="1463"/>
      <c r="N3" s="1463"/>
      <c r="O3" s="1463"/>
      <c r="P3" s="1463"/>
      <c r="Q3" s="221"/>
      <c r="R3" s="221"/>
      <c r="S3" s="221"/>
      <c r="T3" s="221"/>
      <c r="U3" s="221"/>
      <c r="V3" s="221"/>
      <c r="W3" s="221"/>
    </row>
    <row r="4" spans="1:23" s="73" customFormat="1" ht="17.399999999999999">
      <c r="A4" s="1463" t="s">
        <v>1</v>
      </c>
      <c r="B4" s="1463"/>
      <c r="C4" s="1463"/>
      <c r="D4" s="1463"/>
      <c r="E4" s="1463"/>
      <c r="F4" s="1463"/>
      <c r="G4" s="1463"/>
      <c r="H4" s="1463"/>
      <c r="I4" s="1463"/>
      <c r="J4" s="1463"/>
      <c r="K4" s="1463"/>
      <c r="L4" s="1463"/>
      <c r="M4" s="1463"/>
      <c r="N4" s="1463"/>
      <c r="O4" s="1463"/>
      <c r="P4" s="1463"/>
      <c r="Q4" s="221"/>
      <c r="R4" s="221"/>
      <c r="S4" s="221"/>
      <c r="T4" s="221"/>
      <c r="U4" s="221"/>
      <c r="V4" s="221"/>
      <c r="W4" s="221"/>
    </row>
    <row r="5" spans="1:23" s="73" customFormat="1" ht="17.399999999999999">
      <c r="A5" s="1464" t="str">
        <f>SUMMARY!A7</f>
        <v>YEAR ENDING DECEMBER 31, 2022</v>
      </c>
      <c r="B5" s="1464"/>
      <c r="C5" s="1464"/>
      <c r="D5" s="1464"/>
      <c r="E5" s="1464"/>
      <c r="F5" s="1464"/>
      <c r="G5" s="1464"/>
      <c r="H5" s="1464"/>
      <c r="I5" s="1464"/>
      <c r="J5" s="1464"/>
      <c r="K5" s="1464"/>
      <c r="L5" s="1464"/>
      <c r="M5" s="1464"/>
      <c r="N5" s="1464"/>
      <c r="O5" s="1464"/>
      <c r="P5" s="1464"/>
    </row>
    <row r="6" spans="1:23" s="73" customFormat="1" ht="17.399999999999999">
      <c r="E6" s="334"/>
      <c r="F6" s="334"/>
      <c r="G6" s="334"/>
      <c r="H6" s="334"/>
      <c r="I6" s="334"/>
      <c r="J6" s="334"/>
      <c r="K6" s="334"/>
      <c r="L6" s="334"/>
      <c r="M6" s="334"/>
      <c r="N6" s="334"/>
      <c r="O6" s="334"/>
      <c r="P6" s="334"/>
      <c r="Q6" s="221"/>
      <c r="R6" s="221"/>
      <c r="S6" s="221"/>
      <c r="T6" s="221"/>
      <c r="U6" s="221"/>
      <c r="V6" s="221"/>
      <c r="W6" s="221"/>
    </row>
    <row r="7" spans="1:23" s="330" customFormat="1" ht="17.399999999999999">
      <c r="A7" s="1463" t="s">
        <v>1762</v>
      </c>
      <c r="B7" s="1463"/>
      <c r="C7" s="1463"/>
      <c r="D7" s="1463"/>
      <c r="E7" s="1463"/>
      <c r="F7" s="1463"/>
      <c r="G7" s="1463"/>
      <c r="H7" s="1463"/>
      <c r="I7" s="1463"/>
      <c r="J7" s="1463"/>
      <c r="K7" s="1463"/>
      <c r="L7" s="1463"/>
      <c r="M7" s="1463"/>
      <c r="N7" s="1463"/>
      <c r="O7" s="1463"/>
      <c r="P7" s="1463"/>
    </row>
    <row r="8" spans="1:23" s="330" customFormat="1" ht="17.399999999999999">
      <c r="A8" s="1463" t="s">
        <v>92</v>
      </c>
      <c r="B8" s="1463"/>
      <c r="C8" s="1463"/>
      <c r="D8" s="1463"/>
      <c r="E8" s="1463"/>
      <c r="F8" s="1463"/>
      <c r="G8" s="1463"/>
      <c r="H8" s="1463"/>
      <c r="I8" s="1463"/>
      <c r="J8" s="1463"/>
      <c r="K8" s="1463"/>
      <c r="L8" s="1463"/>
      <c r="M8" s="1463"/>
      <c r="N8" s="1463"/>
      <c r="O8" s="1463"/>
      <c r="P8" s="1463"/>
    </row>
    <row r="10" spans="1:23">
      <c r="C10" s="78" t="s">
        <v>8</v>
      </c>
      <c r="E10" s="336" t="s">
        <v>9</v>
      </c>
      <c r="G10" s="336" t="s">
        <v>359</v>
      </c>
      <c r="I10" s="336" t="s">
        <v>360</v>
      </c>
      <c r="K10" s="336" t="s">
        <v>162</v>
      </c>
      <c r="M10" s="336" t="s">
        <v>163</v>
      </c>
      <c r="O10" s="336" t="s">
        <v>228</v>
      </c>
    </row>
    <row r="11" spans="1:23" ht="15.6">
      <c r="C11" s="330"/>
      <c r="D11" s="330"/>
      <c r="E11" s="337"/>
      <c r="F11" s="337"/>
      <c r="G11" s="337" t="s">
        <v>691</v>
      </c>
      <c r="H11" s="337"/>
      <c r="I11" s="337" t="s">
        <v>1763</v>
      </c>
      <c r="J11" s="337"/>
      <c r="K11" s="337" t="s">
        <v>1764</v>
      </c>
      <c r="L11" s="337"/>
      <c r="M11" s="337" t="s">
        <v>669</v>
      </c>
      <c r="N11" s="337"/>
      <c r="O11" s="337" t="s">
        <v>667</v>
      </c>
    </row>
    <row r="12" spans="1:23" ht="15.6">
      <c r="C12" s="1203" t="s">
        <v>1765</v>
      </c>
      <c r="D12" s="338"/>
      <c r="E12" s="1204" t="s">
        <v>4</v>
      </c>
      <c r="F12" s="337"/>
      <c r="G12" s="1204" t="s">
        <v>1766</v>
      </c>
      <c r="H12" s="337"/>
      <c r="I12" s="1204" t="s">
        <v>1767</v>
      </c>
      <c r="J12" s="337"/>
      <c r="K12" s="1204" t="s">
        <v>1766</v>
      </c>
      <c r="L12" s="337"/>
      <c r="M12" s="1204" t="s">
        <v>1768</v>
      </c>
      <c r="N12" s="337"/>
      <c r="O12" s="1204" t="s">
        <v>669</v>
      </c>
    </row>
    <row r="14" spans="1:23">
      <c r="B14" s="335">
        <v>1</v>
      </c>
      <c r="C14" s="325" t="s">
        <v>1769</v>
      </c>
      <c r="E14" s="102">
        <f>AVERAGE('WP-DB'!E31,'WP-DB'!F31)</f>
        <v>1905667500</v>
      </c>
      <c r="F14" s="56" t="s">
        <v>497</v>
      </c>
      <c r="G14" s="793">
        <f>IF($E$20&gt;0,E14/$E$20,0)</f>
        <v>0.28083714682453864</v>
      </c>
      <c r="I14" s="339">
        <v>0.5</v>
      </c>
      <c r="K14" s="793">
        <f>1-K18</f>
        <v>0.5</v>
      </c>
      <c r="M14" s="793">
        <f>E32</f>
        <v>4.2505644767237546E-2</v>
      </c>
      <c r="N14" s="56" t="s">
        <v>268</v>
      </c>
      <c r="O14" s="793">
        <f>K14*M14</f>
        <v>2.1252822383618773E-2</v>
      </c>
    </row>
    <row r="15" spans="1:23">
      <c r="E15" s="102"/>
      <c r="G15" s="793"/>
    </row>
    <row r="16" spans="1:23">
      <c r="B16" s="335">
        <v>2</v>
      </c>
      <c r="C16" s="325" t="s">
        <v>1770</v>
      </c>
      <c r="E16" s="102">
        <v>0</v>
      </c>
      <c r="G16" s="56">
        <f>IF($E$20&gt;0,E16/$E$20,0)</f>
        <v>0</v>
      </c>
      <c r="I16" s="56">
        <v>0</v>
      </c>
      <c r="K16" s="56">
        <f>I16</f>
        <v>0</v>
      </c>
      <c r="M16" s="56">
        <f>E37</f>
        <v>0</v>
      </c>
      <c r="N16" s="56" t="s">
        <v>287</v>
      </c>
      <c r="O16" s="56">
        <f>K16*M16</f>
        <v>0</v>
      </c>
    </row>
    <row r="17" spans="2:15" ht="15.6" thickBot="1">
      <c r="E17" s="102"/>
      <c r="G17" s="793"/>
    </row>
    <row r="18" spans="2:15" ht="15.6" thickBot="1">
      <c r="B18" s="335">
        <v>3</v>
      </c>
      <c r="C18" s="325" t="s">
        <v>1771</v>
      </c>
      <c r="E18" s="1454">
        <f>+E24</f>
        <v>4880000000</v>
      </c>
      <c r="F18" s="56" t="s">
        <v>282</v>
      </c>
      <c r="G18" s="341">
        <f>IF($E$20&gt;0,E18/$E$20,0)</f>
        <v>0.71916285317546136</v>
      </c>
      <c r="I18" s="341">
        <v>0.5</v>
      </c>
      <c r="K18" s="341">
        <f>MIN(G18,I18)</f>
        <v>0.5</v>
      </c>
      <c r="L18" s="56" t="s">
        <v>446</v>
      </c>
      <c r="M18" s="342">
        <f>8.95%+0.5%</f>
        <v>9.4500000000000001E-2</v>
      </c>
      <c r="N18" s="56" t="s">
        <v>495</v>
      </c>
      <c r="O18" s="341">
        <f>K18*M18</f>
        <v>4.725E-2</v>
      </c>
    </row>
    <row r="19" spans="2:15">
      <c r="E19" s="102"/>
    </row>
    <row r="20" spans="2:15">
      <c r="B20" s="335">
        <v>4</v>
      </c>
      <c r="C20" s="325" t="s">
        <v>1772</v>
      </c>
      <c r="E20" s="102">
        <f>SUM(E14:E18)</f>
        <v>6785667500</v>
      </c>
      <c r="G20" s="343">
        <f>SUM(G14:G18)</f>
        <v>1</v>
      </c>
      <c r="I20" s="343">
        <f>SUM(I14:I18)</f>
        <v>1</v>
      </c>
      <c r="K20" s="343">
        <f>SUM(K14:K18)</f>
        <v>1</v>
      </c>
      <c r="O20" s="793">
        <f>SUM(O14:O18)</f>
        <v>6.8502822383618767E-2</v>
      </c>
    </row>
    <row r="21" spans="2:15">
      <c r="E21" s="102"/>
    </row>
    <row r="22" spans="2:15">
      <c r="B22" s="335" t="s">
        <v>6</v>
      </c>
      <c r="E22" s="102"/>
    </row>
    <row r="23" spans="2:15">
      <c r="C23" s="325" t="s">
        <v>1773</v>
      </c>
      <c r="E23" s="102"/>
    </row>
    <row r="24" spans="2:15">
      <c r="B24" s="335">
        <v>5</v>
      </c>
      <c r="C24" s="325" t="s">
        <v>1774</v>
      </c>
      <c r="E24" s="102">
        <f>+('WP-DB'!F41+'WP-DB'!E41)/2</f>
        <v>4880000000</v>
      </c>
      <c r="G24" s="56" t="s">
        <v>1775</v>
      </c>
    </row>
    <row r="25" spans="2:15">
      <c r="B25" s="335">
        <v>6</v>
      </c>
      <c r="C25" s="325" t="s">
        <v>1776</v>
      </c>
      <c r="E25" s="102"/>
    </row>
    <row r="26" spans="2:15" ht="15.6" thickBot="1">
      <c r="B26" s="335">
        <v>7</v>
      </c>
      <c r="C26" s="325" t="s">
        <v>1777</v>
      </c>
      <c r="E26" s="1454"/>
    </row>
    <row r="27" spans="2:15">
      <c r="B27" s="335">
        <v>8</v>
      </c>
      <c r="C27" s="335" t="s">
        <v>1771</v>
      </c>
      <c r="E27" s="102">
        <f>SUM(E24:E26)</f>
        <v>4880000000</v>
      </c>
    </row>
    <row r="28" spans="2:15">
      <c r="E28" s="102"/>
    </row>
    <row r="29" spans="2:15">
      <c r="C29" s="325" t="s">
        <v>1778</v>
      </c>
      <c r="E29" s="102"/>
    </row>
    <row r="30" spans="2:15">
      <c r="B30" s="335">
        <v>9</v>
      </c>
      <c r="C30" s="325" t="s">
        <v>1779</v>
      </c>
      <c r="E30" s="102">
        <f>'WP-DB'!E23</f>
        <v>83543338.730000004</v>
      </c>
      <c r="G30" s="56" t="s">
        <v>1780</v>
      </c>
    </row>
    <row r="31" spans="2:15" ht="15.6" thickBot="1">
      <c r="B31" s="335">
        <v>10</v>
      </c>
      <c r="C31" s="325" t="s">
        <v>1781</v>
      </c>
      <c r="E31" s="1454">
        <f>+('WP-DB'!F39+'WP-DB'!E39)/2</f>
        <v>1965464568</v>
      </c>
      <c r="G31" s="56" t="s">
        <v>1782</v>
      </c>
    </row>
    <row r="32" spans="2:15">
      <c r="B32" s="335">
        <v>11</v>
      </c>
      <c r="C32" s="335" t="s">
        <v>1783</v>
      </c>
      <c r="E32" s="793">
        <f>E30/E31</f>
        <v>4.2505644767237546E-2</v>
      </c>
      <c r="F32" s="56" t="s">
        <v>499</v>
      </c>
    </row>
    <row r="34" spans="2:7">
      <c r="C34" s="325" t="s">
        <v>1784</v>
      </c>
    </row>
    <row r="35" spans="2:7">
      <c r="B35" s="335">
        <v>12</v>
      </c>
      <c r="C35" s="325" t="s">
        <v>1785</v>
      </c>
      <c r="E35" s="56">
        <v>0</v>
      </c>
    </row>
    <row r="36" spans="2:7" ht="15.6" thickBot="1">
      <c r="B36" s="335">
        <v>13</v>
      </c>
      <c r="C36" s="325" t="s">
        <v>1770</v>
      </c>
      <c r="E36" s="340">
        <f>E16</f>
        <v>0</v>
      </c>
    </row>
    <row r="37" spans="2:7">
      <c r="B37" s="335">
        <v>14</v>
      </c>
      <c r="C37" s="335" t="s">
        <v>1786</v>
      </c>
      <c r="E37" s="56">
        <v>0</v>
      </c>
    </row>
    <row r="38" spans="2:7">
      <c r="C38" s="335"/>
    </row>
    <row r="39" spans="2:7">
      <c r="B39" s="335">
        <v>15</v>
      </c>
      <c r="C39" s="344" t="s">
        <v>1787</v>
      </c>
    </row>
    <row r="40" spans="2:7">
      <c r="C40" s="344" t="s">
        <v>1788</v>
      </c>
    </row>
    <row r="41" spans="2:7">
      <c r="C41" s="344" t="s">
        <v>1789</v>
      </c>
    </row>
    <row r="42" spans="2:7">
      <c r="C42" s="344"/>
    </row>
    <row r="43" spans="2:7">
      <c r="B43" s="335">
        <v>16</v>
      </c>
      <c r="C43" s="345" t="s">
        <v>1790</v>
      </c>
    </row>
    <row r="44" spans="2:7">
      <c r="C44" s="345" t="s">
        <v>1791</v>
      </c>
    </row>
    <row r="45" spans="2:7">
      <c r="E45" s="334"/>
      <c r="G45" s="334"/>
    </row>
    <row r="46" spans="2:7">
      <c r="B46" s="335">
        <v>17</v>
      </c>
      <c r="C46" s="325" t="s">
        <v>1792</v>
      </c>
    </row>
    <row r="47" spans="2:7">
      <c r="C47" s="325" t="s">
        <v>1793</v>
      </c>
    </row>
    <row r="49" spans="2:3">
      <c r="B49" s="335">
        <v>18</v>
      </c>
      <c r="C49" s="325" t="s">
        <v>1794</v>
      </c>
    </row>
    <row r="50" spans="2:3">
      <c r="C50" s="325" t="s">
        <v>1795</v>
      </c>
    </row>
  </sheetData>
  <customSheetViews>
    <customSheetView guid="{343BF296-013A-41F5-BDAB-AD6220EA7F78}" showPageBreaks="1" fitToPage="1" printArea="1" view="pageBreakPreview">
      <selection activeCell="D33" sqref="D33"/>
      <pageMargins left="0" right="0" top="0" bottom="0" header="0" footer="0"/>
      <printOptions horizontalCentered="1"/>
      <pageSetup scale="55" fitToHeight="3" orientation="portrait" r:id="rId1"/>
      <headerFooter alignWithMargins="0"/>
    </customSheetView>
    <customSheetView guid="{B321D76C-CDE5-48BB-9CDE-80FF97D58FCF}" showPageBreaks="1" fitToPage="1" printArea="1" view="pageBreakPreview">
      <selection activeCell="D33" sqref="D33"/>
      <pageMargins left="0" right="0" top="0" bottom="0" header="0" footer="0"/>
      <printOptions horizontalCentered="1"/>
      <pageSetup scale="55" fitToHeight="3" orientation="portrait" r:id="rId2"/>
      <headerFooter alignWithMargins="0"/>
    </customSheetView>
  </customSheetViews>
  <mergeCells count="5">
    <mergeCell ref="A7:P7"/>
    <mergeCell ref="A3:P3"/>
    <mergeCell ref="A4:P4"/>
    <mergeCell ref="A8:P8"/>
    <mergeCell ref="A5:P5"/>
  </mergeCells>
  <printOptions horizontalCentered="1"/>
  <pageMargins left="0.25" right="0.25" top="0.5" bottom="0.5" header="0.5" footer="0.5"/>
  <pageSetup scale="54" fitToHeight="3" orientation="portrait" r:id="rId3"/>
  <headerFooter alignWithMargins="0"/>
  <drawing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2">
    <tabColor rgb="FF7030A0"/>
    <pageSetUpPr fitToPage="1"/>
  </sheetPr>
  <dimension ref="A1:L49"/>
  <sheetViews>
    <sheetView view="pageBreakPreview" zoomScale="90" zoomScaleNormal="90" zoomScaleSheetLayoutView="90" workbookViewId="0">
      <selection activeCell="F41" sqref="F41"/>
    </sheetView>
  </sheetViews>
  <sheetFormatPr defaultColWidth="9" defaultRowHeight="13.2"/>
  <cols>
    <col min="1" max="1" width="7.21875" style="23" customWidth="1"/>
    <col min="2" max="2" width="5.33203125" style="23" customWidth="1"/>
    <col min="3" max="3" width="54" style="23" bestFit="1" customWidth="1"/>
    <col min="4" max="4" width="8.77734375" style="23" customWidth="1"/>
    <col min="5" max="5" width="18.33203125" style="23" bestFit="1" customWidth="1"/>
    <col min="6" max="6" width="18.33203125" style="23" customWidth="1"/>
    <col min="7" max="7" width="3.33203125" style="23" customWidth="1"/>
    <col min="8" max="8" width="19" style="23" customWidth="1"/>
    <col min="9" max="10" width="19.109375" style="23" bestFit="1" customWidth="1"/>
    <col min="11" max="11" width="29.109375" style="23" customWidth="1"/>
    <col min="12" max="12" width="16.5546875" style="23" customWidth="1"/>
    <col min="13" max="16384" width="9" style="23"/>
  </cols>
  <sheetData>
    <row r="1" spans="1:12" s="71" customFormat="1" ht="15.6">
      <c r="A1" s="70"/>
      <c r="C1" s="324"/>
      <c r="K1" s="294"/>
    </row>
    <row r="2" spans="1:12" s="73" customFormat="1"/>
    <row r="3" spans="1:12" s="73" customFormat="1" ht="17.399999999999999">
      <c r="B3" s="218"/>
      <c r="D3" s="218"/>
      <c r="F3" s="218"/>
      <c r="G3" s="218"/>
      <c r="H3" s="218"/>
      <c r="I3" s="218"/>
      <c r="J3" s="218"/>
    </row>
    <row r="4" spans="1:12" s="73" customFormat="1" ht="17.399999999999999">
      <c r="A4" s="1463" t="s">
        <v>0</v>
      </c>
      <c r="B4" s="1463"/>
      <c r="C4" s="1463"/>
      <c r="D4" s="1463"/>
      <c r="E4" s="1463"/>
      <c r="F4" s="1463"/>
      <c r="G4" s="1463"/>
      <c r="H4" s="1463"/>
      <c r="I4" s="221"/>
      <c r="J4" s="221"/>
      <c r="K4" s="221"/>
    </row>
    <row r="5" spans="1:12" s="73" customFormat="1" ht="17.399999999999999">
      <c r="A5" s="1463" t="s">
        <v>1</v>
      </c>
      <c r="B5" s="1463"/>
      <c r="C5" s="1463"/>
      <c r="D5" s="1463"/>
      <c r="E5" s="1463"/>
      <c r="F5" s="1463"/>
      <c r="G5" s="1463"/>
      <c r="H5" s="1463"/>
      <c r="I5" s="221"/>
      <c r="J5" s="221"/>
      <c r="K5" s="221"/>
    </row>
    <row r="6" spans="1:12" s="73" customFormat="1" ht="17.399999999999999">
      <c r="A6" s="1464" t="str">
        <f>SUMMARY!A7</f>
        <v>YEAR ENDING DECEMBER 31, 2022</v>
      </c>
      <c r="B6" s="1464"/>
      <c r="C6" s="1464"/>
      <c r="D6" s="1464"/>
      <c r="E6" s="1464"/>
      <c r="F6" s="1464"/>
      <c r="G6" s="1464"/>
      <c r="H6" s="1464"/>
      <c r="I6" s="221"/>
      <c r="J6" s="221"/>
      <c r="K6" s="221"/>
    </row>
    <row r="7" spans="1:12" s="73" customFormat="1" ht="17.399999999999999">
      <c r="A7" s="1264"/>
      <c r="B7" s="1264"/>
      <c r="C7" s="1264"/>
      <c r="D7" s="1264"/>
      <c r="E7" s="1264"/>
      <c r="F7" s="1264"/>
      <c r="G7" s="1264"/>
      <c r="H7" s="1264"/>
      <c r="I7" s="1264"/>
      <c r="J7" s="1264"/>
      <c r="K7" s="1264"/>
    </row>
    <row r="8" spans="1:12" s="73" customFormat="1" ht="17.399999999999999">
      <c r="A8" s="1463" t="s">
        <v>1796</v>
      </c>
      <c r="B8" s="1463"/>
      <c r="C8" s="1463"/>
      <c r="D8" s="1463"/>
      <c r="E8" s="1463"/>
      <c r="F8" s="1463"/>
      <c r="G8" s="1463"/>
      <c r="H8" s="1463"/>
      <c r="I8" s="221"/>
      <c r="J8" s="221"/>
      <c r="K8" s="221"/>
    </row>
    <row r="9" spans="1:12" s="73" customFormat="1" ht="17.399999999999999">
      <c r="A9" s="1463" t="s">
        <v>1797</v>
      </c>
      <c r="B9" s="1463"/>
      <c r="C9" s="1463"/>
      <c r="D9" s="1463"/>
      <c r="E9" s="1463"/>
      <c r="F9" s="1463"/>
      <c r="G9" s="1463"/>
      <c r="H9" s="1463"/>
      <c r="I9" s="221"/>
      <c r="J9" s="221"/>
      <c r="K9" s="221"/>
    </row>
    <row r="10" spans="1:12" s="73" customFormat="1" ht="17.399999999999999">
      <c r="A10" s="1463" t="s">
        <v>94</v>
      </c>
      <c r="B10" s="1463"/>
      <c r="C10" s="1463"/>
      <c r="D10" s="1463"/>
      <c r="E10" s="1463"/>
      <c r="F10" s="1463"/>
      <c r="G10" s="1463"/>
      <c r="H10" s="1463"/>
      <c r="I10" s="221"/>
      <c r="J10" s="221"/>
      <c r="K10" s="221"/>
    </row>
    <row r="11" spans="1:12" s="73" customFormat="1" ht="17.399999999999999">
      <c r="A11" s="1264"/>
      <c r="B11" s="1264"/>
      <c r="C11" s="1264"/>
      <c r="D11" s="1264"/>
      <c r="E11" s="1264"/>
      <c r="F11" s="1264"/>
      <c r="G11" s="1264"/>
      <c r="H11" s="1264"/>
      <c r="I11" s="1264"/>
      <c r="J11" s="1264"/>
      <c r="K11" s="1264"/>
    </row>
    <row r="12" spans="1:12" s="73" customFormat="1" ht="15">
      <c r="B12" s="78" t="s">
        <v>8</v>
      </c>
      <c r="C12" s="78"/>
      <c r="D12" s="325"/>
      <c r="E12" s="78" t="s">
        <v>9</v>
      </c>
      <c r="F12" s="78" t="s">
        <v>359</v>
      </c>
      <c r="G12" s="78"/>
      <c r="H12" s="78" t="s">
        <v>360</v>
      </c>
    </row>
    <row r="13" spans="1:12" s="15" customFormat="1" ht="15.6">
      <c r="E13" s="16"/>
      <c r="F13" s="16"/>
      <c r="G13" s="16"/>
    </row>
    <row r="14" spans="1:12" s="15" customFormat="1" ht="31.2">
      <c r="E14" s="1205" t="s">
        <v>1798</v>
      </c>
      <c r="F14" s="1205" t="s">
        <v>1799</v>
      </c>
      <c r="G14" s="54"/>
      <c r="H14" s="1206" t="s">
        <v>159</v>
      </c>
      <c r="I14"/>
      <c r="J14"/>
      <c r="K14"/>
      <c r="L14"/>
    </row>
    <row r="15" spans="1:12" s="15" customFormat="1" ht="15.6">
      <c r="E15" s="16"/>
      <c r="F15" s="16"/>
      <c r="G15" s="16"/>
      <c r="I15"/>
      <c r="J15"/>
      <c r="K15"/>
      <c r="L15"/>
    </row>
    <row r="16" spans="1:12" s="15" customFormat="1" ht="15.6">
      <c r="A16" s="17">
        <v>1</v>
      </c>
      <c r="B16" s="18" t="s">
        <v>1800</v>
      </c>
      <c r="G16" s="326"/>
      <c r="I16"/>
      <c r="J16"/>
      <c r="K16"/>
      <c r="L16"/>
    </row>
    <row r="17" spans="1:12" s="15" customFormat="1" ht="15.6">
      <c r="A17" s="17" t="s">
        <v>167</v>
      </c>
      <c r="C17" s="15" t="s">
        <v>1801</v>
      </c>
      <c r="E17" s="327">
        <v>86369989.609999999</v>
      </c>
      <c r="F17" s="1415">
        <v>68016680.480000004</v>
      </c>
      <c r="G17" s="326"/>
      <c r="H17" s="15" t="s">
        <v>1802</v>
      </c>
      <c r="I17"/>
      <c r="J17"/>
      <c r="K17"/>
      <c r="L17"/>
    </row>
    <row r="18" spans="1:12" s="15" customFormat="1" ht="15.6">
      <c r="A18" s="17" t="s">
        <v>171</v>
      </c>
      <c r="C18" s="15" t="s">
        <v>1803</v>
      </c>
      <c r="E18" s="327">
        <v>1695935</v>
      </c>
      <c r="F18" s="1415">
        <v>1441567</v>
      </c>
      <c r="G18" s="326"/>
      <c r="H18" s="15" t="s">
        <v>1804</v>
      </c>
      <c r="I18"/>
      <c r="J18"/>
      <c r="K18"/>
      <c r="L18"/>
    </row>
    <row r="19" spans="1:12" s="15" customFormat="1" ht="15.6">
      <c r="A19" s="17" t="s">
        <v>174</v>
      </c>
      <c r="C19" s="15" t="s">
        <v>1805</v>
      </c>
      <c r="E19" s="1415">
        <v>0</v>
      </c>
      <c r="F19" s="1415">
        <v>0</v>
      </c>
      <c r="G19" s="326"/>
      <c r="H19" s="15" t="s">
        <v>1806</v>
      </c>
      <c r="I19"/>
      <c r="J19"/>
      <c r="K19"/>
      <c r="L19"/>
    </row>
    <row r="20" spans="1:12" s="15" customFormat="1" ht="15.6">
      <c r="A20" s="17" t="s">
        <v>177</v>
      </c>
      <c r="C20" s="15" t="s">
        <v>1807</v>
      </c>
      <c r="E20" s="327">
        <v>-4522585.88</v>
      </c>
      <c r="F20" s="1415">
        <v>-2728807</v>
      </c>
      <c r="G20" s="326"/>
      <c r="H20" s="15" t="s">
        <v>1808</v>
      </c>
      <c r="I20"/>
      <c r="J20"/>
      <c r="K20"/>
      <c r="L20"/>
    </row>
    <row r="21" spans="1:12" s="15" customFormat="1" ht="15.6">
      <c r="A21" s="17" t="s">
        <v>237</v>
      </c>
      <c r="C21" s="15" t="s">
        <v>1809</v>
      </c>
      <c r="E21" s="327" t="s">
        <v>2109</v>
      </c>
      <c r="F21" s="327" t="s">
        <v>2109</v>
      </c>
      <c r="G21" s="326"/>
      <c r="H21" s="15" t="s">
        <v>1810</v>
      </c>
      <c r="I21"/>
      <c r="J21"/>
      <c r="K21"/>
      <c r="L21"/>
    </row>
    <row r="22" spans="1:12" s="15" customFormat="1" ht="15.6">
      <c r="A22" s="17"/>
      <c r="E22" s="328"/>
      <c r="F22" s="328"/>
      <c r="G22" s="326"/>
      <c r="I22"/>
      <c r="J22"/>
      <c r="K22"/>
      <c r="L22"/>
    </row>
    <row r="23" spans="1:12" s="15" customFormat="1" ht="16.2" thickBot="1">
      <c r="A23" s="17">
        <v>2</v>
      </c>
      <c r="B23" s="18" t="s">
        <v>1811</v>
      </c>
      <c r="C23" s="18"/>
      <c r="E23" s="20">
        <f>SUM(E17:E21)</f>
        <v>83543338.730000004</v>
      </c>
      <c r="F23" s="20">
        <f>SUM(F17:F21)</f>
        <v>66729440.480000004</v>
      </c>
      <c r="G23" s="326"/>
      <c r="I23"/>
      <c r="J23"/>
      <c r="K23"/>
      <c r="L23"/>
    </row>
    <row r="24" spans="1:12" s="15" customFormat="1" ht="15.6" thickTop="1">
      <c r="A24" s="17"/>
      <c r="E24" s="328"/>
      <c r="F24" s="328"/>
      <c r="G24" s="328"/>
      <c r="I24"/>
      <c r="J24"/>
      <c r="K24"/>
      <c r="L24"/>
    </row>
    <row r="25" spans="1:12" s="15" customFormat="1" ht="15.6">
      <c r="A25" s="17">
        <v>3</v>
      </c>
      <c r="B25" s="18" t="s">
        <v>1812</v>
      </c>
      <c r="E25" s="328"/>
      <c r="F25" s="328"/>
      <c r="G25" s="328"/>
      <c r="I25"/>
      <c r="J25"/>
      <c r="K25"/>
      <c r="L25"/>
    </row>
    <row r="26" spans="1:12" s="15" customFormat="1" ht="15.6">
      <c r="A26" s="17"/>
      <c r="B26" s="18"/>
      <c r="E26" s="328"/>
      <c r="F26" s="328"/>
      <c r="G26" s="328"/>
      <c r="I26"/>
      <c r="J26"/>
      <c r="K26"/>
      <c r="L26"/>
    </row>
    <row r="27" spans="1:12" s="15" customFormat="1" ht="15">
      <c r="A27" s="17" t="s">
        <v>183</v>
      </c>
      <c r="C27" s="15" t="s">
        <v>1813</v>
      </c>
      <c r="E27" s="327">
        <v>2170550000</v>
      </c>
      <c r="F27" s="327">
        <v>1562240000</v>
      </c>
      <c r="H27" s="15" t="s">
        <v>1814</v>
      </c>
      <c r="I27"/>
      <c r="J27"/>
      <c r="K27"/>
      <c r="L27"/>
    </row>
    <row r="28" spans="1:12" s="15" customFormat="1" ht="15">
      <c r="A28" s="17" t="s">
        <v>185</v>
      </c>
      <c r="C28" s="15" t="s">
        <v>1815</v>
      </c>
      <c r="E28" s="327">
        <v>0</v>
      </c>
      <c r="F28" s="327">
        <v>0</v>
      </c>
      <c r="H28" s="15" t="s">
        <v>1816</v>
      </c>
      <c r="I28"/>
      <c r="J28"/>
      <c r="K28"/>
      <c r="L28"/>
    </row>
    <row r="29" spans="1:12" s="15" customFormat="1" ht="15">
      <c r="A29" s="17" t="s">
        <v>191</v>
      </c>
      <c r="C29" s="15" t="s">
        <v>1817</v>
      </c>
      <c r="E29" s="327">
        <v>38530000</v>
      </c>
      <c r="F29" s="327">
        <v>40015000</v>
      </c>
      <c r="H29" s="15" t="s">
        <v>1818</v>
      </c>
      <c r="I29"/>
      <c r="J29"/>
      <c r="K29"/>
      <c r="L29"/>
    </row>
    <row r="30" spans="1:12" s="15" customFormat="1" ht="15">
      <c r="A30" s="17"/>
      <c r="E30" s="19"/>
      <c r="F30" s="19"/>
      <c r="G30" s="19"/>
      <c r="I30"/>
      <c r="J30"/>
      <c r="K30"/>
      <c r="L30"/>
    </row>
    <row r="31" spans="1:12" s="15" customFormat="1" ht="15.6">
      <c r="A31" s="17" t="s">
        <v>194</v>
      </c>
      <c r="B31" s="15" t="s">
        <v>1819</v>
      </c>
      <c r="E31" s="55">
        <f>SUM(E27:E29)</f>
        <v>2209080000</v>
      </c>
      <c r="F31" s="55">
        <f>SUM(F27:F29)</f>
        <v>1602255000</v>
      </c>
      <c r="G31" s="19"/>
      <c r="I31"/>
      <c r="J31"/>
      <c r="K31"/>
      <c r="L31"/>
    </row>
    <row r="32" spans="1:12" s="15" customFormat="1" ht="15.6">
      <c r="A32" s="17"/>
      <c r="E32" s="21"/>
      <c r="F32" s="21"/>
      <c r="G32" s="21"/>
      <c r="I32"/>
      <c r="J32"/>
      <c r="K32"/>
      <c r="L32"/>
    </row>
    <row r="33" spans="1:12" s="15" customFormat="1" ht="15.6">
      <c r="A33" s="17" t="s">
        <v>197</v>
      </c>
      <c r="C33" s="15" t="s">
        <v>1820</v>
      </c>
      <c r="E33" s="327">
        <v>-5493031</v>
      </c>
      <c r="F33" s="327">
        <v>-5686318</v>
      </c>
      <c r="G33" s="21"/>
      <c r="H33" s="15" t="s">
        <v>1821</v>
      </c>
      <c r="I33"/>
      <c r="J33"/>
      <c r="K33"/>
      <c r="L33"/>
    </row>
    <row r="34" spans="1:12" s="15" customFormat="1" ht="15.6">
      <c r="A34" s="17" t="s">
        <v>322</v>
      </c>
      <c r="C34" s="15" t="s">
        <v>1822</v>
      </c>
      <c r="E34" s="327">
        <v>-31559970</v>
      </c>
      <c r="F34" s="327">
        <v>-24789495</v>
      </c>
      <c r="G34" s="21"/>
      <c r="H34" s="15" t="s">
        <v>1823</v>
      </c>
      <c r="I34"/>
      <c r="J34"/>
      <c r="K34"/>
      <c r="L34"/>
    </row>
    <row r="35" spans="1:12" s="15" customFormat="1" ht="15.6">
      <c r="A35" s="17" t="s">
        <v>324</v>
      </c>
      <c r="C35" s="15" t="s">
        <v>1824</v>
      </c>
      <c r="E35" s="327">
        <v>0</v>
      </c>
      <c r="F35" s="327">
        <v>0</v>
      </c>
      <c r="G35" s="21"/>
      <c r="H35" s="15" t="s">
        <v>1825</v>
      </c>
      <c r="I35"/>
      <c r="J35"/>
      <c r="K35"/>
      <c r="L35"/>
    </row>
    <row r="36" spans="1:12" s="15" customFormat="1" ht="15.6">
      <c r="A36" s="17" t="s">
        <v>326</v>
      </c>
      <c r="C36" s="15" t="s">
        <v>1826</v>
      </c>
      <c r="E36" s="327">
        <v>117415082</v>
      </c>
      <c r="F36" s="327">
        <v>69707868</v>
      </c>
      <c r="G36" s="21"/>
      <c r="H36" s="15" t="s">
        <v>1827</v>
      </c>
      <c r="I36"/>
      <c r="J36"/>
      <c r="K36"/>
      <c r="L36"/>
    </row>
    <row r="37" spans="1:12" s="15" customFormat="1" ht="15.6">
      <c r="A37" s="17" t="s">
        <v>846</v>
      </c>
      <c r="C37" s="15" t="s">
        <v>1828</v>
      </c>
      <c r="E37" s="327">
        <v>0</v>
      </c>
      <c r="F37" s="327">
        <v>0</v>
      </c>
      <c r="G37" s="21"/>
      <c r="H37" s="15" t="s">
        <v>1829</v>
      </c>
      <c r="I37"/>
      <c r="J37"/>
      <c r="K37"/>
      <c r="L37"/>
    </row>
    <row r="38" spans="1:12" s="15" customFormat="1" ht="15.6">
      <c r="A38" s="17"/>
      <c r="E38" s="21"/>
      <c r="F38" s="21"/>
      <c r="G38" s="21"/>
      <c r="I38"/>
      <c r="J38"/>
      <c r="K38"/>
      <c r="L38"/>
    </row>
    <row r="39" spans="1:12" s="18" customFormat="1" ht="16.2" thickBot="1">
      <c r="A39" s="16">
        <v>4</v>
      </c>
      <c r="B39" s="18" t="s">
        <v>1830</v>
      </c>
      <c r="E39" s="20">
        <f>SUM(E31:E37)</f>
        <v>2289442081</v>
      </c>
      <c r="F39" s="20">
        <f>SUM(F31:F37)</f>
        <v>1641487055</v>
      </c>
      <c r="G39" s="21"/>
      <c r="J39" s="331"/>
    </row>
    <row r="40" spans="1:12" s="15" customFormat="1" ht="16.2" thickTop="1">
      <c r="A40" s="17"/>
      <c r="E40" s="21"/>
      <c r="F40" s="21"/>
      <c r="G40" s="21"/>
      <c r="I40" s="18"/>
      <c r="J40" s="56"/>
    </row>
    <row r="41" spans="1:12" s="15" customFormat="1" ht="15.6">
      <c r="A41" s="17">
        <v>5</v>
      </c>
      <c r="B41" s="18" t="s">
        <v>1831</v>
      </c>
      <c r="C41" s="18"/>
      <c r="E41" s="329">
        <f>'WP-AR-IS'!G63*1000000</f>
        <v>4945000000</v>
      </c>
      <c r="F41" s="329">
        <f>'WP-AR-IS'!H63*1000000</f>
        <v>4815000000</v>
      </c>
      <c r="G41" s="329"/>
      <c r="I41" s="18"/>
    </row>
    <row r="42" spans="1:12" s="15" customFormat="1" ht="15"/>
    <row r="43" spans="1:12" s="15" customFormat="1" ht="15.6">
      <c r="B43" s="18"/>
      <c r="C43" s="18"/>
    </row>
    <row r="44" spans="1:12" s="15" customFormat="1" ht="15">
      <c r="B44" s="22"/>
    </row>
    <row r="45" spans="1:12" s="15" customFormat="1" ht="15"/>
    <row r="49" spans="2:3" ht="17.399999999999999">
      <c r="B49" s="1"/>
      <c r="C49" s="1"/>
    </row>
  </sheetData>
  <customSheetViews>
    <customSheetView guid="{343BF296-013A-41F5-BDAB-AD6220EA7F78}" showPageBreaks="1" fitToPage="1" printArea="1" view="pageBreakPreview" topLeftCell="A17">
      <selection activeCell="D33" sqref="D33"/>
      <pageMargins left="0" right="0" top="0" bottom="0" header="0" footer="0"/>
      <printOptions horizontalCentered="1"/>
      <pageSetup scale="78" orientation="portrait" r:id="rId1"/>
    </customSheetView>
    <customSheetView guid="{B321D76C-CDE5-48BB-9CDE-80FF97D58FCF}" showPageBreaks="1" fitToPage="1" printArea="1" view="pageBreakPreview" topLeftCell="A17">
      <selection activeCell="D33" sqref="D33"/>
      <pageMargins left="0" right="0" top="0" bottom="0" header="0" footer="0"/>
      <printOptions horizontalCentered="1"/>
      <pageSetup scale="78" orientation="portrait" r:id="rId2"/>
    </customSheetView>
  </customSheetViews>
  <mergeCells count="6">
    <mergeCell ref="A10:H10"/>
    <mergeCell ref="A4:H4"/>
    <mergeCell ref="A5:H5"/>
    <mergeCell ref="A6:H6"/>
    <mergeCell ref="A8:H8"/>
    <mergeCell ref="A9:H9"/>
  </mergeCells>
  <printOptions horizontalCentered="1"/>
  <pageMargins left="0.2" right="0.2" top="0.5" bottom="0.25" header="0.3" footer="0.3"/>
  <pageSetup scale="78" orientation="portrait" r:id="rId3"/>
  <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1">
    <tabColor rgb="FFFFFF00"/>
    <pageSetUpPr fitToPage="1"/>
  </sheetPr>
  <dimension ref="A1:OR54"/>
  <sheetViews>
    <sheetView view="pageBreakPreview" zoomScale="90" zoomScaleNormal="100" zoomScaleSheetLayoutView="90" workbookViewId="0">
      <selection activeCell="J52" sqref="J52"/>
    </sheetView>
  </sheetViews>
  <sheetFormatPr defaultColWidth="9" defaultRowHeight="13.2"/>
  <cols>
    <col min="1" max="1" width="6.33203125" style="81" customWidth="1"/>
    <col min="2" max="2" width="13.109375" style="81" customWidth="1"/>
    <col min="3" max="3" width="2.77734375" style="81" customWidth="1"/>
    <col min="4" max="4" width="38.109375" style="82" bestFit="1" customWidth="1"/>
    <col min="5" max="5" width="2.109375" style="82" customWidth="1"/>
    <col min="6" max="6" width="15" style="82" customWidth="1"/>
    <col min="7" max="7" width="2.109375" style="82" customWidth="1"/>
    <col min="8" max="8" width="15" style="82" customWidth="1"/>
    <col min="9" max="9" width="2.109375" style="82" customWidth="1"/>
    <col min="10" max="10" width="15.77734375" style="82" customWidth="1"/>
    <col min="11" max="11" width="2.109375" style="82" customWidth="1"/>
    <col min="12" max="12" width="13.33203125" style="82" customWidth="1"/>
    <col min="13" max="13" width="2.109375" style="81" customWidth="1"/>
    <col min="14" max="14" width="3" style="81" customWidth="1"/>
    <col min="15" max="15" width="14.21875" style="81" customWidth="1"/>
    <col min="16" max="16" width="2.77734375" style="1177" customWidth="1"/>
    <col min="17" max="17" width="16.109375" style="81" customWidth="1"/>
    <col min="18" max="18" width="3.33203125" style="81" customWidth="1"/>
    <col min="19" max="19" width="16.109375" style="81" customWidth="1"/>
    <col min="20" max="20" width="4.109375" style="81" customWidth="1"/>
    <col min="21" max="21" width="15.33203125" style="81" customWidth="1"/>
    <col min="22" max="22" width="10.21875" style="81" customWidth="1"/>
    <col min="23" max="23" width="19.21875" style="81" customWidth="1"/>
    <col min="24" max="24" width="9" style="81" customWidth="1"/>
    <col min="25" max="25" width="20.33203125" style="81" customWidth="1"/>
    <col min="26" max="26" width="18.5546875" style="81" customWidth="1"/>
    <col min="27" max="27" width="4" style="81" customWidth="1"/>
    <col min="28" max="28" width="13.77734375" style="81" customWidth="1"/>
    <col min="29" max="29" width="10.21875" style="81" customWidth="1"/>
    <col min="30" max="30" width="13.109375" style="81" customWidth="1"/>
    <col min="31" max="31" width="12.77734375" style="81" customWidth="1"/>
    <col min="32" max="32" width="9" style="81" customWidth="1"/>
    <col min="33" max="238" width="9" style="81"/>
    <col min="239" max="239" width="18.77734375" style="81" bestFit="1" customWidth="1"/>
    <col min="240" max="240" width="13" style="81" bestFit="1" customWidth="1"/>
    <col min="241" max="241" width="14.33203125" style="81" customWidth="1"/>
    <col min="242" max="242" width="12" style="81" customWidth="1"/>
    <col min="243" max="243" width="12.109375" style="81" customWidth="1"/>
    <col min="244" max="244" width="8.33203125" style="81" customWidth="1"/>
    <col min="245" max="245" width="8" style="81" customWidth="1"/>
    <col min="246" max="246" width="12.109375" style="81" customWidth="1"/>
    <col min="247" max="248" width="11.109375" style="81" customWidth="1"/>
    <col min="249" max="249" width="9.77734375" style="81" customWidth="1"/>
    <col min="250" max="250" width="10.77734375" style="81" bestFit="1" customWidth="1"/>
    <col min="251" max="251" width="12.109375" style="81" bestFit="1" customWidth="1"/>
    <col min="252" max="252" width="10.109375" style="81" customWidth="1"/>
    <col min="253" max="253" width="10.33203125" style="81" bestFit="1" customWidth="1"/>
    <col min="254" max="494" width="9" style="81"/>
    <col min="495" max="495" width="18.77734375" style="81" bestFit="1" customWidth="1"/>
    <col min="496" max="496" width="13" style="81" bestFit="1" customWidth="1"/>
    <col min="497" max="497" width="14.33203125" style="81" customWidth="1"/>
    <col min="498" max="498" width="12" style="81" customWidth="1"/>
    <col min="499" max="499" width="12.109375" style="81" customWidth="1"/>
    <col min="500" max="500" width="8.33203125" style="81" customWidth="1"/>
    <col min="501" max="501" width="8" style="81" customWidth="1"/>
    <col min="502" max="502" width="12.109375" style="81" customWidth="1"/>
    <col min="503" max="504" width="11.109375" style="81" customWidth="1"/>
    <col min="505" max="505" width="9.77734375" style="81" customWidth="1"/>
    <col min="506" max="506" width="10.77734375" style="81" bestFit="1" customWidth="1"/>
    <col min="507" max="507" width="12.109375" style="81" bestFit="1" customWidth="1"/>
    <col min="508" max="508" width="10.109375" style="81" customWidth="1"/>
    <col min="509" max="509" width="10.33203125" style="81" bestFit="1" customWidth="1"/>
    <col min="510" max="750" width="9" style="81"/>
    <col min="751" max="751" width="18.77734375" style="81" bestFit="1" customWidth="1"/>
    <col min="752" max="752" width="13" style="81" bestFit="1" customWidth="1"/>
    <col min="753" max="753" width="14.33203125" style="81" customWidth="1"/>
    <col min="754" max="754" width="12" style="81" customWidth="1"/>
    <col min="755" max="755" width="12.109375" style="81" customWidth="1"/>
    <col min="756" max="756" width="8.33203125" style="81" customWidth="1"/>
    <col min="757" max="757" width="8" style="81" customWidth="1"/>
    <col min="758" max="758" width="12.109375" style="81" customWidth="1"/>
    <col min="759" max="760" width="11.109375" style="81" customWidth="1"/>
    <col min="761" max="761" width="9.77734375" style="81" customWidth="1"/>
    <col min="762" max="762" width="10.77734375" style="81" bestFit="1" customWidth="1"/>
    <col min="763" max="763" width="12.109375" style="81" bestFit="1" customWidth="1"/>
    <col min="764" max="764" width="10.109375" style="81" customWidth="1"/>
    <col min="765" max="765" width="10.33203125" style="81" bestFit="1" customWidth="1"/>
    <col min="766" max="1006" width="9" style="81"/>
    <col min="1007" max="1007" width="18.77734375" style="81" bestFit="1" customWidth="1"/>
    <col min="1008" max="1008" width="13" style="81" bestFit="1" customWidth="1"/>
    <col min="1009" max="1009" width="14.33203125" style="81" customWidth="1"/>
    <col min="1010" max="1010" width="12" style="81" customWidth="1"/>
    <col min="1011" max="1011" width="12.109375" style="81" customWidth="1"/>
    <col min="1012" max="1012" width="8.33203125" style="81" customWidth="1"/>
    <col min="1013" max="1013" width="8" style="81" customWidth="1"/>
    <col min="1014" max="1014" width="12.109375" style="81" customWidth="1"/>
    <col min="1015" max="1016" width="11.109375" style="81" customWidth="1"/>
    <col min="1017" max="1017" width="9.77734375" style="81" customWidth="1"/>
    <col min="1018" max="1018" width="10.77734375" style="81" bestFit="1" customWidth="1"/>
    <col min="1019" max="1019" width="12.109375" style="81" bestFit="1" customWidth="1"/>
    <col min="1020" max="1020" width="10.109375" style="81" customWidth="1"/>
    <col min="1021" max="1021" width="10.33203125" style="81" bestFit="1" customWidth="1"/>
    <col min="1022" max="1262" width="9" style="81"/>
    <col min="1263" max="1263" width="18.77734375" style="81" bestFit="1" customWidth="1"/>
    <col min="1264" max="1264" width="13" style="81" bestFit="1" customWidth="1"/>
    <col min="1265" max="1265" width="14.33203125" style="81" customWidth="1"/>
    <col min="1266" max="1266" width="12" style="81" customWidth="1"/>
    <col min="1267" max="1267" width="12.109375" style="81" customWidth="1"/>
    <col min="1268" max="1268" width="8.33203125" style="81" customWidth="1"/>
    <col min="1269" max="1269" width="8" style="81" customWidth="1"/>
    <col min="1270" max="1270" width="12.109375" style="81" customWidth="1"/>
    <col min="1271" max="1272" width="11.109375" style="81" customWidth="1"/>
    <col min="1273" max="1273" width="9.77734375" style="81" customWidth="1"/>
    <col min="1274" max="1274" width="10.77734375" style="81" bestFit="1" customWidth="1"/>
    <col min="1275" max="1275" width="12.109375" style="81" bestFit="1" customWidth="1"/>
    <col min="1276" max="1276" width="10.109375" style="81" customWidth="1"/>
    <col min="1277" max="1277" width="10.33203125" style="81" bestFit="1" customWidth="1"/>
    <col min="1278" max="1518" width="9" style="81"/>
    <col min="1519" max="1519" width="18.77734375" style="81" bestFit="1" customWidth="1"/>
    <col min="1520" max="1520" width="13" style="81" bestFit="1" customWidth="1"/>
    <col min="1521" max="1521" width="14.33203125" style="81" customWidth="1"/>
    <col min="1522" max="1522" width="12" style="81" customWidth="1"/>
    <col min="1523" max="1523" width="12.109375" style="81" customWidth="1"/>
    <col min="1524" max="1524" width="8.33203125" style="81" customWidth="1"/>
    <col min="1525" max="1525" width="8" style="81" customWidth="1"/>
    <col min="1526" max="1526" width="12.109375" style="81" customWidth="1"/>
    <col min="1527" max="1528" width="11.109375" style="81" customWidth="1"/>
    <col min="1529" max="1529" width="9.77734375" style="81" customWidth="1"/>
    <col min="1530" max="1530" width="10.77734375" style="81" bestFit="1" customWidth="1"/>
    <col min="1531" max="1531" width="12.109375" style="81" bestFit="1" customWidth="1"/>
    <col min="1532" max="1532" width="10.109375" style="81" customWidth="1"/>
    <col min="1533" max="1533" width="10.33203125" style="81" bestFit="1" customWidth="1"/>
    <col min="1534" max="1774" width="9" style="81"/>
    <col min="1775" max="1775" width="18.77734375" style="81" bestFit="1" customWidth="1"/>
    <col min="1776" max="1776" width="13" style="81" bestFit="1" customWidth="1"/>
    <col min="1777" max="1777" width="14.33203125" style="81" customWidth="1"/>
    <col min="1778" max="1778" width="12" style="81" customWidth="1"/>
    <col min="1779" max="1779" width="12.109375" style="81" customWidth="1"/>
    <col min="1780" max="1780" width="8.33203125" style="81" customWidth="1"/>
    <col min="1781" max="1781" width="8" style="81" customWidth="1"/>
    <col min="1782" max="1782" width="12.109375" style="81" customWidth="1"/>
    <col min="1783" max="1784" width="11.109375" style="81" customWidth="1"/>
    <col min="1785" max="1785" width="9.77734375" style="81" customWidth="1"/>
    <col min="1786" max="1786" width="10.77734375" style="81" bestFit="1" customWidth="1"/>
    <col min="1787" max="1787" width="12.109375" style="81" bestFit="1" customWidth="1"/>
    <col min="1788" max="1788" width="10.109375" style="81" customWidth="1"/>
    <col min="1789" max="1789" width="10.33203125" style="81" bestFit="1" customWidth="1"/>
    <col min="1790" max="2030" width="9" style="81"/>
    <col min="2031" max="2031" width="18.77734375" style="81" bestFit="1" customWidth="1"/>
    <col min="2032" max="2032" width="13" style="81" bestFit="1" customWidth="1"/>
    <col min="2033" max="2033" width="14.33203125" style="81" customWidth="1"/>
    <col min="2034" max="2034" width="12" style="81" customWidth="1"/>
    <col min="2035" max="2035" width="12.109375" style="81" customWidth="1"/>
    <col min="2036" max="2036" width="8.33203125" style="81" customWidth="1"/>
    <col min="2037" max="2037" width="8" style="81" customWidth="1"/>
    <col min="2038" max="2038" width="12.109375" style="81" customWidth="1"/>
    <col min="2039" max="2040" width="11.109375" style="81" customWidth="1"/>
    <col min="2041" max="2041" width="9.77734375" style="81" customWidth="1"/>
    <col min="2042" max="2042" width="10.77734375" style="81" bestFit="1" customWidth="1"/>
    <col min="2043" max="2043" width="12.109375" style="81" bestFit="1" customWidth="1"/>
    <col min="2044" max="2044" width="10.109375" style="81" customWidth="1"/>
    <col min="2045" max="2045" width="10.33203125" style="81" bestFit="1" customWidth="1"/>
    <col min="2046" max="2286" width="9" style="81"/>
    <col min="2287" max="2287" width="18.77734375" style="81" bestFit="1" customWidth="1"/>
    <col min="2288" max="2288" width="13" style="81" bestFit="1" customWidth="1"/>
    <col min="2289" max="2289" width="14.33203125" style="81" customWidth="1"/>
    <col min="2290" max="2290" width="12" style="81" customWidth="1"/>
    <col min="2291" max="2291" width="12.109375" style="81" customWidth="1"/>
    <col min="2292" max="2292" width="8.33203125" style="81" customWidth="1"/>
    <col min="2293" max="2293" width="8" style="81" customWidth="1"/>
    <col min="2294" max="2294" width="12.109375" style="81" customWidth="1"/>
    <col min="2295" max="2296" width="11.109375" style="81" customWidth="1"/>
    <col min="2297" max="2297" width="9.77734375" style="81" customWidth="1"/>
    <col min="2298" max="2298" width="10.77734375" style="81" bestFit="1" customWidth="1"/>
    <col min="2299" max="2299" width="12.109375" style="81" bestFit="1" customWidth="1"/>
    <col min="2300" max="2300" width="10.109375" style="81" customWidth="1"/>
    <col min="2301" max="2301" width="10.33203125" style="81" bestFit="1" customWidth="1"/>
    <col min="2302" max="2542" width="9" style="81"/>
    <col min="2543" max="2543" width="18.77734375" style="81" bestFit="1" customWidth="1"/>
    <col min="2544" max="2544" width="13" style="81" bestFit="1" customWidth="1"/>
    <col min="2545" max="2545" width="14.33203125" style="81" customWidth="1"/>
    <col min="2546" max="2546" width="12" style="81" customWidth="1"/>
    <col min="2547" max="2547" width="12.109375" style="81" customWidth="1"/>
    <col min="2548" max="2548" width="8.33203125" style="81" customWidth="1"/>
    <col min="2549" max="2549" width="8" style="81" customWidth="1"/>
    <col min="2550" max="2550" width="12.109375" style="81" customWidth="1"/>
    <col min="2551" max="2552" width="11.109375" style="81" customWidth="1"/>
    <col min="2553" max="2553" width="9.77734375" style="81" customWidth="1"/>
    <col min="2554" max="2554" width="10.77734375" style="81" bestFit="1" customWidth="1"/>
    <col min="2555" max="2555" width="12.109375" style="81" bestFit="1" customWidth="1"/>
    <col min="2556" max="2556" width="10.109375" style="81" customWidth="1"/>
    <col min="2557" max="2557" width="10.33203125" style="81" bestFit="1" customWidth="1"/>
    <col min="2558" max="2798" width="9" style="81"/>
    <col min="2799" max="2799" width="18.77734375" style="81" bestFit="1" customWidth="1"/>
    <col min="2800" max="2800" width="13" style="81" bestFit="1" customWidth="1"/>
    <col min="2801" max="2801" width="14.33203125" style="81" customWidth="1"/>
    <col min="2802" max="2802" width="12" style="81" customWidth="1"/>
    <col min="2803" max="2803" width="12.109375" style="81" customWidth="1"/>
    <col min="2804" max="2804" width="8.33203125" style="81" customWidth="1"/>
    <col min="2805" max="2805" width="8" style="81" customWidth="1"/>
    <col min="2806" max="2806" width="12.109375" style="81" customWidth="1"/>
    <col min="2807" max="2808" width="11.109375" style="81" customWidth="1"/>
    <col min="2809" max="2809" width="9.77734375" style="81" customWidth="1"/>
    <col min="2810" max="2810" width="10.77734375" style="81" bestFit="1" customWidth="1"/>
    <col min="2811" max="2811" width="12.109375" style="81" bestFit="1" customWidth="1"/>
    <col min="2812" max="2812" width="10.109375" style="81" customWidth="1"/>
    <col min="2813" max="2813" width="10.33203125" style="81" bestFit="1" customWidth="1"/>
    <col min="2814" max="3054" width="9" style="81"/>
    <col min="3055" max="3055" width="18.77734375" style="81" bestFit="1" customWidth="1"/>
    <col min="3056" max="3056" width="13" style="81" bestFit="1" customWidth="1"/>
    <col min="3057" max="3057" width="14.33203125" style="81" customWidth="1"/>
    <col min="3058" max="3058" width="12" style="81" customWidth="1"/>
    <col min="3059" max="3059" width="12.109375" style="81" customWidth="1"/>
    <col min="3060" max="3060" width="8.33203125" style="81" customWidth="1"/>
    <col min="3061" max="3061" width="8" style="81" customWidth="1"/>
    <col min="3062" max="3062" width="12.109375" style="81" customWidth="1"/>
    <col min="3063" max="3064" width="11.109375" style="81" customWidth="1"/>
    <col min="3065" max="3065" width="9.77734375" style="81" customWidth="1"/>
    <col min="3066" max="3066" width="10.77734375" style="81" bestFit="1" customWidth="1"/>
    <col min="3067" max="3067" width="12.109375" style="81" bestFit="1" customWidth="1"/>
    <col min="3068" max="3068" width="10.109375" style="81" customWidth="1"/>
    <col min="3069" max="3069" width="10.33203125" style="81" bestFit="1" customWidth="1"/>
    <col min="3070" max="3310" width="9" style="81"/>
    <col min="3311" max="3311" width="18.77734375" style="81" bestFit="1" customWidth="1"/>
    <col min="3312" max="3312" width="13" style="81" bestFit="1" customWidth="1"/>
    <col min="3313" max="3313" width="14.33203125" style="81" customWidth="1"/>
    <col min="3314" max="3314" width="12" style="81" customWidth="1"/>
    <col min="3315" max="3315" width="12.109375" style="81" customWidth="1"/>
    <col min="3316" max="3316" width="8.33203125" style="81" customWidth="1"/>
    <col min="3317" max="3317" width="8" style="81" customWidth="1"/>
    <col min="3318" max="3318" width="12.109375" style="81" customWidth="1"/>
    <col min="3319" max="3320" width="11.109375" style="81" customWidth="1"/>
    <col min="3321" max="3321" width="9.77734375" style="81" customWidth="1"/>
    <col min="3322" max="3322" width="10.77734375" style="81" bestFit="1" customWidth="1"/>
    <col min="3323" max="3323" width="12.109375" style="81" bestFit="1" customWidth="1"/>
    <col min="3324" max="3324" width="10.109375" style="81" customWidth="1"/>
    <col min="3325" max="3325" width="10.33203125" style="81" bestFit="1" customWidth="1"/>
    <col min="3326" max="3566" width="9" style="81"/>
    <col min="3567" max="3567" width="18.77734375" style="81" bestFit="1" customWidth="1"/>
    <col min="3568" max="3568" width="13" style="81" bestFit="1" customWidth="1"/>
    <col min="3569" max="3569" width="14.33203125" style="81" customWidth="1"/>
    <col min="3570" max="3570" width="12" style="81" customWidth="1"/>
    <col min="3571" max="3571" width="12.109375" style="81" customWidth="1"/>
    <col min="3572" max="3572" width="8.33203125" style="81" customWidth="1"/>
    <col min="3573" max="3573" width="8" style="81" customWidth="1"/>
    <col min="3574" max="3574" width="12.109375" style="81" customWidth="1"/>
    <col min="3575" max="3576" width="11.109375" style="81" customWidth="1"/>
    <col min="3577" max="3577" width="9.77734375" style="81" customWidth="1"/>
    <col min="3578" max="3578" width="10.77734375" style="81" bestFit="1" customWidth="1"/>
    <col min="3579" max="3579" width="12.109375" style="81" bestFit="1" customWidth="1"/>
    <col min="3580" max="3580" width="10.109375" style="81" customWidth="1"/>
    <col min="3581" max="3581" width="10.33203125" style="81" bestFit="1" customWidth="1"/>
    <col min="3582" max="3822" width="9" style="81"/>
    <col min="3823" max="3823" width="18.77734375" style="81" bestFit="1" customWidth="1"/>
    <col min="3824" max="3824" width="13" style="81" bestFit="1" customWidth="1"/>
    <col min="3825" max="3825" width="14.33203125" style="81" customWidth="1"/>
    <col min="3826" max="3826" width="12" style="81" customWidth="1"/>
    <col min="3827" max="3827" width="12.109375" style="81" customWidth="1"/>
    <col min="3828" max="3828" width="8.33203125" style="81" customWidth="1"/>
    <col min="3829" max="3829" width="8" style="81" customWidth="1"/>
    <col min="3830" max="3830" width="12.109375" style="81" customWidth="1"/>
    <col min="3831" max="3832" width="11.109375" style="81" customWidth="1"/>
    <col min="3833" max="3833" width="9.77734375" style="81" customWidth="1"/>
    <col min="3834" max="3834" width="10.77734375" style="81" bestFit="1" customWidth="1"/>
    <col min="3835" max="3835" width="12.109375" style="81" bestFit="1" customWidth="1"/>
    <col min="3836" max="3836" width="10.109375" style="81" customWidth="1"/>
    <col min="3837" max="3837" width="10.33203125" style="81" bestFit="1" customWidth="1"/>
    <col min="3838" max="4078" width="9" style="81"/>
    <col min="4079" max="4079" width="18.77734375" style="81" bestFit="1" customWidth="1"/>
    <col min="4080" max="4080" width="13" style="81" bestFit="1" customWidth="1"/>
    <col min="4081" max="4081" width="14.33203125" style="81" customWidth="1"/>
    <col min="4082" max="4082" width="12" style="81" customWidth="1"/>
    <col min="4083" max="4083" width="12.109375" style="81" customWidth="1"/>
    <col min="4084" max="4084" width="8.33203125" style="81" customWidth="1"/>
    <col min="4085" max="4085" width="8" style="81" customWidth="1"/>
    <col min="4086" max="4086" width="12.109375" style="81" customWidth="1"/>
    <col min="4087" max="4088" width="11.109375" style="81" customWidth="1"/>
    <col min="4089" max="4089" width="9.77734375" style="81" customWidth="1"/>
    <col min="4090" max="4090" width="10.77734375" style="81" bestFit="1" customWidth="1"/>
    <col min="4091" max="4091" width="12.109375" style="81" bestFit="1" customWidth="1"/>
    <col min="4092" max="4092" width="10.109375" style="81" customWidth="1"/>
    <col min="4093" max="4093" width="10.33203125" style="81" bestFit="1" customWidth="1"/>
    <col min="4094" max="4334" width="9" style="81"/>
    <col min="4335" max="4335" width="18.77734375" style="81" bestFit="1" customWidth="1"/>
    <col min="4336" max="4336" width="13" style="81" bestFit="1" customWidth="1"/>
    <col min="4337" max="4337" width="14.33203125" style="81" customWidth="1"/>
    <col min="4338" max="4338" width="12" style="81" customWidth="1"/>
    <col min="4339" max="4339" width="12.109375" style="81" customWidth="1"/>
    <col min="4340" max="4340" width="8.33203125" style="81" customWidth="1"/>
    <col min="4341" max="4341" width="8" style="81" customWidth="1"/>
    <col min="4342" max="4342" width="12.109375" style="81" customWidth="1"/>
    <col min="4343" max="4344" width="11.109375" style="81" customWidth="1"/>
    <col min="4345" max="4345" width="9.77734375" style="81" customWidth="1"/>
    <col min="4346" max="4346" width="10.77734375" style="81" bestFit="1" customWidth="1"/>
    <col min="4347" max="4347" width="12.109375" style="81" bestFit="1" customWidth="1"/>
    <col min="4348" max="4348" width="10.109375" style="81" customWidth="1"/>
    <col min="4349" max="4349" width="10.33203125" style="81" bestFit="1" customWidth="1"/>
    <col min="4350" max="4590" width="9" style="81"/>
    <col min="4591" max="4591" width="18.77734375" style="81" bestFit="1" customWidth="1"/>
    <col min="4592" max="4592" width="13" style="81" bestFit="1" customWidth="1"/>
    <col min="4593" max="4593" width="14.33203125" style="81" customWidth="1"/>
    <col min="4594" max="4594" width="12" style="81" customWidth="1"/>
    <col min="4595" max="4595" width="12.109375" style="81" customWidth="1"/>
    <col min="4596" max="4596" width="8.33203125" style="81" customWidth="1"/>
    <col min="4597" max="4597" width="8" style="81" customWidth="1"/>
    <col min="4598" max="4598" width="12.109375" style="81" customWidth="1"/>
    <col min="4599" max="4600" width="11.109375" style="81" customWidth="1"/>
    <col min="4601" max="4601" width="9.77734375" style="81" customWidth="1"/>
    <col min="4602" max="4602" width="10.77734375" style="81" bestFit="1" customWidth="1"/>
    <col min="4603" max="4603" width="12.109375" style="81" bestFit="1" customWidth="1"/>
    <col min="4604" max="4604" width="10.109375" style="81" customWidth="1"/>
    <col min="4605" max="4605" width="10.33203125" style="81" bestFit="1" customWidth="1"/>
    <col min="4606" max="4846" width="9" style="81"/>
    <col min="4847" max="4847" width="18.77734375" style="81" bestFit="1" customWidth="1"/>
    <col min="4848" max="4848" width="13" style="81" bestFit="1" customWidth="1"/>
    <col min="4849" max="4849" width="14.33203125" style="81" customWidth="1"/>
    <col min="4850" max="4850" width="12" style="81" customWidth="1"/>
    <col min="4851" max="4851" width="12.109375" style="81" customWidth="1"/>
    <col min="4852" max="4852" width="8.33203125" style="81" customWidth="1"/>
    <col min="4853" max="4853" width="8" style="81" customWidth="1"/>
    <col min="4854" max="4854" width="12.109375" style="81" customWidth="1"/>
    <col min="4855" max="4856" width="11.109375" style="81" customWidth="1"/>
    <col min="4857" max="4857" width="9.77734375" style="81" customWidth="1"/>
    <col min="4858" max="4858" width="10.77734375" style="81" bestFit="1" customWidth="1"/>
    <col min="4859" max="4859" width="12.109375" style="81" bestFit="1" customWidth="1"/>
    <col min="4860" max="4860" width="10.109375" style="81" customWidth="1"/>
    <col min="4861" max="4861" width="10.33203125" style="81" bestFit="1" customWidth="1"/>
    <col min="4862" max="5102" width="9" style="81"/>
    <col min="5103" max="5103" width="18.77734375" style="81" bestFit="1" customWidth="1"/>
    <col min="5104" max="5104" width="13" style="81" bestFit="1" customWidth="1"/>
    <col min="5105" max="5105" width="14.33203125" style="81" customWidth="1"/>
    <col min="5106" max="5106" width="12" style="81" customWidth="1"/>
    <col min="5107" max="5107" width="12.109375" style="81" customWidth="1"/>
    <col min="5108" max="5108" width="8.33203125" style="81" customWidth="1"/>
    <col min="5109" max="5109" width="8" style="81" customWidth="1"/>
    <col min="5110" max="5110" width="12.109375" style="81" customWidth="1"/>
    <col min="5111" max="5112" width="11.109375" style="81" customWidth="1"/>
    <col min="5113" max="5113" width="9.77734375" style="81" customWidth="1"/>
    <col min="5114" max="5114" width="10.77734375" style="81" bestFit="1" customWidth="1"/>
    <col min="5115" max="5115" width="12.109375" style="81" bestFit="1" customWidth="1"/>
    <col min="5116" max="5116" width="10.109375" style="81" customWidth="1"/>
    <col min="5117" max="5117" width="10.33203125" style="81" bestFit="1" customWidth="1"/>
    <col min="5118" max="5358" width="9" style="81"/>
    <col min="5359" max="5359" width="18.77734375" style="81" bestFit="1" customWidth="1"/>
    <col min="5360" max="5360" width="13" style="81" bestFit="1" customWidth="1"/>
    <col min="5361" max="5361" width="14.33203125" style="81" customWidth="1"/>
    <col min="5362" max="5362" width="12" style="81" customWidth="1"/>
    <col min="5363" max="5363" width="12.109375" style="81" customWidth="1"/>
    <col min="5364" max="5364" width="8.33203125" style="81" customWidth="1"/>
    <col min="5365" max="5365" width="8" style="81" customWidth="1"/>
    <col min="5366" max="5366" width="12.109375" style="81" customWidth="1"/>
    <col min="5367" max="5368" width="11.109375" style="81" customWidth="1"/>
    <col min="5369" max="5369" width="9.77734375" style="81" customWidth="1"/>
    <col min="5370" max="5370" width="10.77734375" style="81" bestFit="1" customWidth="1"/>
    <col min="5371" max="5371" width="12.109375" style="81" bestFit="1" customWidth="1"/>
    <col min="5372" max="5372" width="10.109375" style="81" customWidth="1"/>
    <col min="5373" max="5373" width="10.33203125" style="81" bestFit="1" customWidth="1"/>
    <col min="5374" max="5614" width="9" style="81"/>
    <col min="5615" max="5615" width="18.77734375" style="81" bestFit="1" customWidth="1"/>
    <col min="5616" max="5616" width="13" style="81" bestFit="1" customWidth="1"/>
    <col min="5617" max="5617" width="14.33203125" style="81" customWidth="1"/>
    <col min="5618" max="5618" width="12" style="81" customWidth="1"/>
    <col min="5619" max="5619" width="12.109375" style="81" customWidth="1"/>
    <col min="5620" max="5620" width="8.33203125" style="81" customWidth="1"/>
    <col min="5621" max="5621" width="8" style="81" customWidth="1"/>
    <col min="5622" max="5622" width="12.109375" style="81" customWidth="1"/>
    <col min="5623" max="5624" width="11.109375" style="81" customWidth="1"/>
    <col min="5625" max="5625" width="9.77734375" style="81" customWidth="1"/>
    <col min="5626" max="5626" width="10.77734375" style="81" bestFit="1" customWidth="1"/>
    <col min="5627" max="5627" width="12.109375" style="81" bestFit="1" customWidth="1"/>
    <col min="5628" max="5628" width="10.109375" style="81" customWidth="1"/>
    <col min="5629" max="5629" width="10.33203125" style="81" bestFit="1" customWidth="1"/>
    <col min="5630" max="5870" width="9" style="81"/>
    <col min="5871" max="5871" width="18.77734375" style="81" bestFit="1" customWidth="1"/>
    <col min="5872" max="5872" width="13" style="81" bestFit="1" customWidth="1"/>
    <col min="5873" max="5873" width="14.33203125" style="81" customWidth="1"/>
    <col min="5874" max="5874" width="12" style="81" customWidth="1"/>
    <col min="5875" max="5875" width="12.109375" style="81" customWidth="1"/>
    <col min="5876" max="5876" width="8.33203125" style="81" customWidth="1"/>
    <col min="5877" max="5877" width="8" style="81" customWidth="1"/>
    <col min="5878" max="5878" width="12.109375" style="81" customWidth="1"/>
    <col min="5879" max="5880" width="11.109375" style="81" customWidth="1"/>
    <col min="5881" max="5881" width="9.77734375" style="81" customWidth="1"/>
    <col min="5882" max="5882" width="10.77734375" style="81" bestFit="1" customWidth="1"/>
    <col min="5883" max="5883" width="12.109375" style="81" bestFit="1" customWidth="1"/>
    <col min="5884" max="5884" width="10.109375" style="81" customWidth="1"/>
    <col min="5885" max="5885" width="10.33203125" style="81" bestFit="1" customWidth="1"/>
    <col min="5886" max="6126" width="9" style="81"/>
    <col min="6127" max="6127" width="18.77734375" style="81" bestFit="1" customWidth="1"/>
    <col min="6128" max="6128" width="13" style="81" bestFit="1" customWidth="1"/>
    <col min="6129" max="6129" width="14.33203125" style="81" customWidth="1"/>
    <col min="6130" max="6130" width="12" style="81" customWidth="1"/>
    <col min="6131" max="6131" width="12.109375" style="81" customWidth="1"/>
    <col min="6132" max="6132" width="8.33203125" style="81" customWidth="1"/>
    <col min="6133" max="6133" width="8" style="81" customWidth="1"/>
    <col min="6134" max="6134" width="12.109375" style="81" customWidth="1"/>
    <col min="6135" max="6136" width="11.109375" style="81" customWidth="1"/>
    <col min="6137" max="6137" width="9.77734375" style="81" customWidth="1"/>
    <col min="6138" max="6138" width="10.77734375" style="81" bestFit="1" customWidth="1"/>
    <col min="6139" max="6139" width="12.109375" style="81" bestFit="1" customWidth="1"/>
    <col min="6140" max="6140" width="10.109375" style="81" customWidth="1"/>
    <col min="6141" max="6141" width="10.33203125" style="81" bestFit="1" customWidth="1"/>
    <col min="6142" max="6382" width="9" style="81"/>
    <col min="6383" max="6383" width="18.77734375" style="81" bestFit="1" customWidth="1"/>
    <col min="6384" max="6384" width="13" style="81" bestFit="1" customWidth="1"/>
    <col min="6385" max="6385" width="14.33203125" style="81" customWidth="1"/>
    <col min="6386" max="6386" width="12" style="81" customWidth="1"/>
    <col min="6387" max="6387" width="12.109375" style="81" customWidth="1"/>
    <col min="6388" max="6388" width="8.33203125" style="81" customWidth="1"/>
    <col min="6389" max="6389" width="8" style="81" customWidth="1"/>
    <col min="6390" max="6390" width="12.109375" style="81" customWidth="1"/>
    <col min="6391" max="6392" width="11.109375" style="81" customWidth="1"/>
    <col min="6393" max="6393" width="9.77734375" style="81" customWidth="1"/>
    <col min="6394" max="6394" width="10.77734375" style="81" bestFit="1" customWidth="1"/>
    <col min="6395" max="6395" width="12.109375" style="81" bestFit="1" customWidth="1"/>
    <col min="6396" max="6396" width="10.109375" style="81" customWidth="1"/>
    <col min="6397" max="6397" width="10.33203125" style="81" bestFit="1" customWidth="1"/>
    <col min="6398" max="6638" width="9" style="81"/>
    <col min="6639" max="6639" width="18.77734375" style="81" bestFit="1" customWidth="1"/>
    <col min="6640" max="6640" width="13" style="81" bestFit="1" customWidth="1"/>
    <col min="6641" max="6641" width="14.33203125" style="81" customWidth="1"/>
    <col min="6642" max="6642" width="12" style="81" customWidth="1"/>
    <col min="6643" max="6643" width="12.109375" style="81" customWidth="1"/>
    <col min="6644" max="6644" width="8.33203125" style="81" customWidth="1"/>
    <col min="6645" max="6645" width="8" style="81" customWidth="1"/>
    <col min="6646" max="6646" width="12.109375" style="81" customWidth="1"/>
    <col min="6647" max="6648" width="11.109375" style="81" customWidth="1"/>
    <col min="6649" max="6649" width="9.77734375" style="81" customWidth="1"/>
    <col min="6650" max="6650" width="10.77734375" style="81" bestFit="1" customWidth="1"/>
    <col min="6651" max="6651" width="12.109375" style="81" bestFit="1" customWidth="1"/>
    <col min="6652" max="6652" width="10.109375" style="81" customWidth="1"/>
    <col min="6653" max="6653" width="10.33203125" style="81" bestFit="1" customWidth="1"/>
    <col min="6654" max="6894" width="9" style="81"/>
    <col min="6895" max="6895" width="18.77734375" style="81" bestFit="1" customWidth="1"/>
    <col min="6896" max="6896" width="13" style="81" bestFit="1" customWidth="1"/>
    <col min="6897" max="6897" width="14.33203125" style="81" customWidth="1"/>
    <col min="6898" max="6898" width="12" style="81" customWidth="1"/>
    <col min="6899" max="6899" width="12.109375" style="81" customWidth="1"/>
    <col min="6900" max="6900" width="8.33203125" style="81" customWidth="1"/>
    <col min="6901" max="6901" width="8" style="81" customWidth="1"/>
    <col min="6902" max="6902" width="12.109375" style="81" customWidth="1"/>
    <col min="6903" max="6904" width="11.109375" style="81" customWidth="1"/>
    <col min="6905" max="6905" width="9.77734375" style="81" customWidth="1"/>
    <col min="6906" max="6906" width="10.77734375" style="81" bestFit="1" customWidth="1"/>
    <col min="6907" max="6907" width="12.109375" style="81" bestFit="1" customWidth="1"/>
    <col min="6908" max="6908" width="10.109375" style="81" customWidth="1"/>
    <col min="6909" max="6909" width="10.33203125" style="81" bestFit="1" customWidth="1"/>
    <col min="6910" max="7150" width="9" style="81"/>
    <col min="7151" max="7151" width="18.77734375" style="81" bestFit="1" customWidth="1"/>
    <col min="7152" max="7152" width="13" style="81" bestFit="1" customWidth="1"/>
    <col min="7153" max="7153" width="14.33203125" style="81" customWidth="1"/>
    <col min="7154" max="7154" width="12" style="81" customWidth="1"/>
    <col min="7155" max="7155" width="12.109375" style="81" customWidth="1"/>
    <col min="7156" max="7156" width="8.33203125" style="81" customWidth="1"/>
    <col min="7157" max="7157" width="8" style="81" customWidth="1"/>
    <col min="7158" max="7158" width="12.109375" style="81" customWidth="1"/>
    <col min="7159" max="7160" width="11.109375" style="81" customWidth="1"/>
    <col min="7161" max="7161" width="9.77734375" style="81" customWidth="1"/>
    <col min="7162" max="7162" width="10.77734375" style="81" bestFit="1" customWidth="1"/>
    <col min="7163" max="7163" width="12.109375" style="81" bestFit="1" customWidth="1"/>
    <col min="7164" max="7164" width="10.109375" style="81" customWidth="1"/>
    <col min="7165" max="7165" width="10.33203125" style="81" bestFit="1" customWidth="1"/>
    <col min="7166" max="7406" width="9" style="81"/>
    <col min="7407" max="7407" width="18.77734375" style="81" bestFit="1" customWidth="1"/>
    <col min="7408" max="7408" width="13" style="81" bestFit="1" customWidth="1"/>
    <col min="7409" max="7409" width="14.33203125" style="81" customWidth="1"/>
    <col min="7410" max="7410" width="12" style="81" customWidth="1"/>
    <col min="7411" max="7411" width="12.109375" style="81" customWidth="1"/>
    <col min="7412" max="7412" width="8.33203125" style="81" customWidth="1"/>
    <col min="7413" max="7413" width="8" style="81" customWidth="1"/>
    <col min="7414" max="7414" width="12.109375" style="81" customWidth="1"/>
    <col min="7415" max="7416" width="11.109375" style="81" customWidth="1"/>
    <col min="7417" max="7417" width="9.77734375" style="81" customWidth="1"/>
    <col min="7418" max="7418" width="10.77734375" style="81" bestFit="1" customWidth="1"/>
    <col min="7419" max="7419" width="12.109375" style="81" bestFit="1" customWidth="1"/>
    <col min="7420" max="7420" width="10.109375" style="81" customWidth="1"/>
    <col min="7421" max="7421" width="10.33203125" style="81" bestFit="1" customWidth="1"/>
    <col min="7422" max="7662" width="9" style="81"/>
    <col min="7663" max="7663" width="18.77734375" style="81" bestFit="1" customWidth="1"/>
    <col min="7664" max="7664" width="13" style="81" bestFit="1" customWidth="1"/>
    <col min="7665" max="7665" width="14.33203125" style="81" customWidth="1"/>
    <col min="7666" max="7666" width="12" style="81" customWidth="1"/>
    <col min="7667" max="7667" width="12.109375" style="81" customWidth="1"/>
    <col min="7668" max="7668" width="8.33203125" style="81" customWidth="1"/>
    <col min="7669" max="7669" width="8" style="81" customWidth="1"/>
    <col min="7670" max="7670" width="12.109375" style="81" customWidth="1"/>
    <col min="7671" max="7672" width="11.109375" style="81" customWidth="1"/>
    <col min="7673" max="7673" width="9.77734375" style="81" customWidth="1"/>
    <col min="7674" max="7674" width="10.77734375" style="81" bestFit="1" customWidth="1"/>
    <col min="7675" max="7675" width="12.109375" style="81" bestFit="1" customWidth="1"/>
    <col min="7676" max="7676" width="10.109375" style="81" customWidth="1"/>
    <col min="7677" max="7677" width="10.33203125" style="81" bestFit="1" customWidth="1"/>
    <col min="7678" max="7918" width="9" style="81"/>
    <col min="7919" max="7919" width="18.77734375" style="81" bestFit="1" customWidth="1"/>
    <col min="7920" max="7920" width="13" style="81" bestFit="1" customWidth="1"/>
    <col min="7921" max="7921" width="14.33203125" style="81" customWidth="1"/>
    <col min="7922" max="7922" width="12" style="81" customWidth="1"/>
    <col min="7923" max="7923" width="12.109375" style="81" customWidth="1"/>
    <col min="7924" max="7924" width="8.33203125" style="81" customWidth="1"/>
    <col min="7925" max="7925" width="8" style="81" customWidth="1"/>
    <col min="7926" max="7926" width="12.109375" style="81" customWidth="1"/>
    <col min="7927" max="7928" width="11.109375" style="81" customWidth="1"/>
    <col min="7929" max="7929" width="9.77734375" style="81" customWidth="1"/>
    <col min="7930" max="7930" width="10.77734375" style="81" bestFit="1" customWidth="1"/>
    <col min="7931" max="7931" width="12.109375" style="81" bestFit="1" customWidth="1"/>
    <col min="7932" max="7932" width="10.109375" style="81" customWidth="1"/>
    <col min="7933" max="7933" width="10.33203125" style="81" bestFit="1" customWidth="1"/>
    <col min="7934" max="8174" width="9" style="81"/>
    <col min="8175" max="8175" width="18.77734375" style="81" bestFit="1" customWidth="1"/>
    <col min="8176" max="8176" width="13" style="81" bestFit="1" customWidth="1"/>
    <col min="8177" max="8177" width="14.33203125" style="81" customWidth="1"/>
    <col min="8178" max="8178" width="12" style="81" customWidth="1"/>
    <col min="8179" max="8179" width="12.109375" style="81" customWidth="1"/>
    <col min="8180" max="8180" width="8.33203125" style="81" customWidth="1"/>
    <col min="8181" max="8181" width="8" style="81" customWidth="1"/>
    <col min="8182" max="8182" width="12.109375" style="81" customWidth="1"/>
    <col min="8183" max="8184" width="11.109375" style="81" customWidth="1"/>
    <col min="8185" max="8185" width="9.77734375" style="81" customWidth="1"/>
    <col min="8186" max="8186" width="10.77734375" style="81" bestFit="1" customWidth="1"/>
    <col min="8187" max="8187" width="12.109375" style="81" bestFit="1" customWidth="1"/>
    <col min="8188" max="8188" width="10.109375" style="81" customWidth="1"/>
    <col min="8189" max="8189" width="10.33203125" style="81" bestFit="1" customWidth="1"/>
    <col min="8190" max="8430" width="9" style="81"/>
    <col min="8431" max="8431" width="18.77734375" style="81" bestFit="1" customWidth="1"/>
    <col min="8432" max="8432" width="13" style="81" bestFit="1" customWidth="1"/>
    <col min="8433" max="8433" width="14.33203125" style="81" customWidth="1"/>
    <col min="8434" max="8434" width="12" style="81" customWidth="1"/>
    <col min="8435" max="8435" width="12.109375" style="81" customWidth="1"/>
    <col min="8436" max="8436" width="8.33203125" style="81" customWidth="1"/>
    <col min="8437" max="8437" width="8" style="81" customWidth="1"/>
    <col min="8438" max="8438" width="12.109375" style="81" customWidth="1"/>
    <col min="8439" max="8440" width="11.109375" style="81" customWidth="1"/>
    <col min="8441" max="8441" width="9.77734375" style="81" customWidth="1"/>
    <col min="8442" max="8442" width="10.77734375" style="81" bestFit="1" customWidth="1"/>
    <col min="8443" max="8443" width="12.109375" style="81" bestFit="1" customWidth="1"/>
    <col min="8444" max="8444" width="10.109375" style="81" customWidth="1"/>
    <col min="8445" max="8445" width="10.33203125" style="81" bestFit="1" customWidth="1"/>
    <col min="8446" max="8686" width="9" style="81"/>
    <col min="8687" max="8687" width="18.77734375" style="81" bestFit="1" customWidth="1"/>
    <col min="8688" max="8688" width="13" style="81" bestFit="1" customWidth="1"/>
    <col min="8689" max="8689" width="14.33203125" style="81" customWidth="1"/>
    <col min="8690" max="8690" width="12" style="81" customWidth="1"/>
    <col min="8691" max="8691" width="12.109375" style="81" customWidth="1"/>
    <col min="8692" max="8692" width="8.33203125" style="81" customWidth="1"/>
    <col min="8693" max="8693" width="8" style="81" customWidth="1"/>
    <col min="8694" max="8694" width="12.109375" style="81" customWidth="1"/>
    <col min="8695" max="8696" width="11.109375" style="81" customWidth="1"/>
    <col min="8697" max="8697" width="9.77734375" style="81" customWidth="1"/>
    <col min="8698" max="8698" width="10.77734375" style="81" bestFit="1" customWidth="1"/>
    <col min="8699" max="8699" width="12.109375" style="81" bestFit="1" customWidth="1"/>
    <col min="8700" max="8700" width="10.109375" style="81" customWidth="1"/>
    <col min="8701" max="8701" width="10.33203125" style="81" bestFit="1" customWidth="1"/>
    <col min="8702" max="8942" width="9" style="81"/>
    <col min="8943" max="8943" width="18.77734375" style="81" bestFit="1" customWidth="1"/>
    <col min="8944" max="8944" width="13" style="81" bestFit="1" customWidth="1"/>
    <col min="8945" max="8945" width="14.33203125" style="81" customWidth="1"/>
    <col min="8946" max="8946" width="12" style="81" customWidth="1"/>
    <col min="8947" max="8947" width="12.109375" style="81" customWidth="1"/>
    <col min="8948" max="8948" width="8.33203125" style="81" customWidth="1"/>
    <col min="8949" max="8949" width="8" style="81" customWidth="1"/>
    <col min="8950" max="8950" width="12.109375" style="81" customWidth="1"/>
    <col min="8951" max="8952" width="11.109375" style="81" customWidth="1"/>
    <col min="8953" max="8953" width="9.77734375" style="81" customWidth="1"/>
    <col min="8954" max="8954" width="10.77734375" style="81" bestFit="1" customWidth="1"/>
    <col min="8955" max="8955" width="12.109375" style="81" bestFit="1" customWidth="1"/>
    <col min="8956" max="8956" width="10.109375" style="81" customWidth="1"/>
    <col min="8957" max="8957" width="10.33203125" style="81" bestFit="1" customWidth="1"/>
    <col min="8958" max="9198" width="9" style="81"/>
    <col min="9199" max="9199" width="18.77734375" style="81" bestFit="1" customWidth="1"/>
    <col min="9200" max="9200" width="13" style="81" bestFit="1" customWidth="1"/>
    <col min="9201" max="9201" width="14.33203125" style="81" customWidth="1"/>
    <col min="9202" max="9202" width="12" style="81" customWidth="1"/>
    <col min="9203" max="9203" width="12.109375" style="81" customWidth="1"/>
    <col min="9204" max="9204" width="8.33203125" style="81" customWidth="1"/>
    <col min="9205" max="9205" width="8" style="81" customWidth="1"/>
    <col min="9206" max="9206" width="12.109375" style="81" customWidth="1"/>
    <col min="9207" max="9208" width="11.109375" style="81" customWidth="1"/>
    <col min="9209" max="9209" width="9.77734375" style="81" customWidth="1"/>
    <col min="9210" max="9210" width="10.77734375" style="81" bestFit="1" customWidth="1"/>
    <col min="9211" max="9211" width="12.109375" style="81" bestFit="1" customWidth="1"/>
    <col min="9212" max="9212" width="10.109375" style="81" customWidth="1"/>
    <col min="9213" max="9213" width="10.33203125" style="81" bestFit="1" customWidth="1"/>
    <col min="9214" max="9454" width="9" style="81"/>
    <col min="9455" max="9455" width="18.77734375" style="81" bestFit="1" customWidth="1"/>
    <col min="9456" max="9456" width="13" style="81" bestFit="1" customWidth="1"/>
    <col min="9457" max="9457" width="14.33203125" style="81" customWidth="1"/>
    <col min="9458" max="9458" width="12" style="81" customWidth="1"/>
    <col min="9459" max="9459" width="12.109375" style="81" customWidth="1"/>
    <col min="9460" max="9460" width="8.33203125" style="81" customWidth="1"/>
    <col min="9461" max="9461" width="8" style="81" customWidth="1"/>
    <col min="9462" max="9462" width="12.109375" style="81" customWidth="1"/>
    <col min="9463" max="9464" width="11.109375" style="81" customWidth="1"/>
    <col min="9465" max="9465" width="9.77734375" style="81" customWidth="1"/>
    <col min="9466" max="9466" width="10.77734375" style="81" bestFit="1" customWidth="1"/>
    <col min="9467" max="9467" width="12.109375" style="81" bestFit="1" customWidth="1"/>
    <col min="9468" max="9468" width="10.109375" style="81" customWidth="1"/>
    <col min="9469" max="9469" width="10.33203125" style="81" bestFit="1" customWidth="1"/>
    <col min="9470" max="9710" width="9" style="81"/>
    <col min="9711" max="9711" width="18.77734375" style="81" bestFit="1" customWidth="1"/>
    <col min="9712" max="9712" width="13" style="81" bestFit="1" customWidth="1"/>
    <col min="9713" max="9713" width="14.33203125" style="81" customWidth="1"/>
    <col min="9714" max="9714" width="12" style="81" customWidth="1"/>
    <col min="9715" max="9715" width="12.109375" style="81" customWidth="1"/>
    <col min="9716" max="9716" width="8.33203125" style="81" customWidth="1"/>
    <col min="9717" max="9717" width="8" style="81" customWidth="1"/>
    <col min="9718" max="9718" width="12.109375" style="81" customWidth="1"/>
    <col min="9719" max="9720" width="11.109375" style="81" customWidth="1"/>
    <col min="9721" max="9721" width="9.77734375" style="81" customWidth="1"/>
    <col min="9722" max="9722" width="10.77734375" style="81" bestFit="1" customWidth="1"/>
    <col min="9723" max="9723" width="12.109375" style="81" bestFit="1" customWidth="1"/>
    <col min="9724" max="9724" width="10.109375" style="81" customWidth="1"/>
    <col min="9725" max="9725" width="10.33203125" style="81" bestFit="1" customWidth="1"/>
    <col min="9726" max="9966" width="9" style="81"/>
    <col min="9967" max="9967" width="18.77734375" style="81" bestFit="1" customWidth="1"/>
    <col min="9968" max="9968" width="13" style="81" bestFit="1" customWidth="1"/>
    <col min="9969" max="9969" width="14.33203125" style="81" customWidth="1"/>
    <col min="9970" max="9970" width="12" style="81" customWidth="1"/>
    <col min="9971" max="9971" width="12.109375" style="81" customWidth="1"/>
    <col min="9972" max="9972" width="8.33203125" style="81" customWidth="1"/>
    <col min="9973" max="9973" width="8" style="81" customWidth="1"/>
    <col min="9974" max="9974" width="12.109375" style="81" customWidth="1"/>
    <col min="9975" max="9976" width="11.109375" style="81" customWidth="1"/>
    <col min="9977" max="9977" width="9.77734375" style="81" customWidth="1"/>
    <col min="9978" max="9978" width="10.77734375" style="81" bestFit="1" customWidth="1"/>
    <col min="9979" max="9979" width="12.109375" style="81" bestFit="1" customWidth="1"/>
    <col min="9980" max="9980" width="10.109375" style="81" customWidth="1"/>
    <col min="9981" max="9981" width="10.33203125" style="81" bestFit="1" customWidth="1"/>
    <col min="9982" max="10222" width="9" style="81"/>
    <col min="10223" max="10223" width="18.77734375" style="81" bestFit="1" customWidth="1"/>
    <col min="10224" max="10224" width="13" style="81" bestFit="1" customWidth="1"/>
    <col min="10225" max="10225" width="14.33203125" style="81" customWidth="1"/>
    <col min="10226" max="10226" width="12" style="81" customWidth="1"/>
    <col min="10227" max="10227" width="12.109375" style="81" customWidth="1"/>
    <col min="10228" max="10228" width="8.33203125" style="81" customWidth="1"/>
    <col min="10229" max="10229" width="8" style="81" customWidth="1"/>
    <col min="10230" max="10230" width="12.109375" style="81" customWidth="1"/>
    <col min="10231" max="10232" width="11.109375" style="81" customWidth="1"/>
    <col min="10233" max="10233" width="9.77734375" style="81" customWidth="1"/>
    <col min="10234" max="10234" width="10.77734375" style="81" bestFit="1" customWidth="1"/>
    <col min="10235" max="10235" width="12.109375" style="81" bestFit="1" customWidth="1"/>
    <col min="10236" max="10236" width="10.109375" style="81" customWidth="1"/>
    <col min="10237" max="10237" width="10.33203125" style="81" bestFit="1" customWidth="1"/>
    <col min="10238" max="10478" width="9" style="81"/>
    <col min="10479" max="10479" width="18.77734375" style="81" bestFit="1" customWidth="1"/>
    <col min="10480" max="10480" width="13" style="81" bestFit="1" customWidth="1"/>
    <col min="10481" max="10481" width="14.33203125" style="81" customWidth="1"/>
    <col min="10482" max="10482" width="12" style="81" customWidth="1"/>
    <col min="10483" max="10483" width="12.109375" style="81" customWidth="1"/>
    <col min="10484" max="10484" width="8.33203125" style="81" customWidth="1"/>
    <col min="10485" max="10485" width="8" style="81" customWidth="1"/>
    <col min="10486" max="10486" width="12.109375" style="81" customWidth="1"/>
    <col min="10487" max="10488" width="11.109375" style="81" customWidth="1"/>
    <col min="10489" max="10489" width="9.77734375" style="81" customWidth="1"/>
    <col min="10490" max="10490" width="10.77734375" style="81" bestFit="1" customWidth="1"/>
    <col min="10491" max="10491" width="12.109375" style="81" bestFit="1" customWidth="1"/>
    <col min="10492" max="10492" width="10.109375" style="81" customWidth="1"/>
    <col min="10493" max="10493" width="10.33203125" style="81" bestFit="1" customWidth="1"/>
    <col min="10494" max="10734" width="9" style="81"/>
    <col min="10735" max="10735" width="18.77734375" style="81" bestFit="1" customWidth="1"/>
    <col min="10736" max="10736" width="13" style="81" bestFit="1" customWidth="1"/>
    <col min="10737" max="10737" width="14.33203125" style="81" customWidth="1"/>
    <col min="10738" max="10738" width="12" style="81" customWidth="1"/>
    <col min="10739" max="10739" width="12.109375" style="81" customWidth="1"/>
    <col min="10740" max="10740" width="8.33203125" style="81" customWidth="1"/>
    <col min="10741" max="10741" width="8" style="81" customWidth="1"/>
    <col min="10742" max="10742" width="12.109375" style="81" customWidth="1"/>
    <col min="10743" max="10744" width="11.109375" style="81" customWidth="1"/>
    <col min="10745" max="10745" width="9.77734375" style="81" customWidth="1"/>
    <col min="10746" max="10746" width="10.77734375" style="81" bestFit="1" customWidth="1"/>
    <col min="10747" max="10747" width="12.109375" style="81" bestFit="1" customWidth="1"/>
    <col min="10748" max="10748" width="10.109375" style="81" customWidth="1"/>
    <col min="10749" max="10749" width="10.33203125" style="81" bestFit="1" customWidth="1"/>
    <col min="10750" max="10990" width="9" style="81"/>
    <col min="10991" max="10991" width="18.77734375" style="81" bestFit="1" customWidth="1"/>
    <col min="10992" max="10992" width="13" style="81" bestFit="1" customWidth="1"/>
    <col min="10993" max="10993" width="14.33203125" style="81" customWidth="1"/>
    <col min="10994" max="10994" width="12" style="81" customWidth="1"/>
    <col min="10995" max="10995" width="12.109375" style="81" customWidth="1"/>
    <col min="10996" max="10996" width="8.33203125" style="81" customWidth="1"/>
    <col min="10997" max="10997" width="8" style="81" customWidth="1"/>
    <col min="10998" max="10998" width="12.109375" style="81" customWidth="1"/>
    <col min="10999" max="11000" width="11.109375" style="81" customWidth="1"/>
    <col min="11001" max="11001" width="9.77734375" style="81" customWidth="1"/>
    <col min="11002" max="11002" width="10.77734375" style="81" bestFit="1" customWidth="1"/>
    <col min="11003" max="11003" width="12.109375" style="81" bestFit="1" customWidth="1"/>
    <col min="11004" max="11004" width="10.109375" style="81" customWidth="1"/>
    <col min="11005" max="11005" width="10.33203125" style="81" bestFit="1" customWidth="1"/>
    <col min="11006" max="11246" width="9" style="81"/>
    <col min="11247" max="11247" width="18.77734375" style="81" bestFit="1" customWidth="1"/>
    <col min="11248" max="11248" width="13" style="81" bestFit="1" customWidth="1"/>
    <col min="11249" max="11249" width="14.33203125" style="81" customWidth="1"/>
    <col min="11250" max="11250" width="12" style="81" customWidth="1"/>
    <col min="11251" max="11251" width="12.109375" style="81" customWidth="1"/>
    <col min="11252" max="11252" width="8.33203125" style="81" customWidth="1"/>
    <col min="11253" max="11253" width="8" style="81" customWidth="1"/>
    <col min="11254" max="11254" width="12.109375" style="81" customWidth="1"/>
    <col min="11255" max="11256" width="11.109375" style="81" customWidth="1"/>
    <col min="11257" max="11257" width="9.77734375" style="81" customWidth="1"/>
    <col min="11258" max="11258" width="10.77734375" style="81" bestFit="1" customWidth="1"/>
    <col min="11259" max="11259" width="12.109375" style="81" bestFit="1" customWidth="1"/>
    <col min="11260" max="11260" width="10.109375" style="81" customWidth="1"/>
    <col min="11261" max="11261" width="10.33203125" style="81" bestFit="1" customWidth="1"/>
    <col min="11262" max="11502" width="9" style="81"/>
    <col min="11503" max="11503" width="18.77734375" style="81" bestFit="1" customWidth="1"/>
    <col min="11504" max="11504" width="13" style="81" bestFit="1" customWidth="1"/>
    <col min="11505" max="11505" width="14.33203125" style="81" customWidth="1"/>
    <col min="11506" max="11506" width="12" style="81" customWidth="1"/>
    <col min="11507" max="11507" width="12.109375" style="81" customWidth="1"/>
    <col min="11508" max="11508" width="8.33203125" style="81" customWidth="1"/>
    <col min="11509" max="11509" width="8" style="81" customWidth="1"/>
    <col min="11510" max="11510" width="12.109375" style="81" customWidth="1"/>
    <col min="11511" max="11512" width="11.109375" style="81" customWidth="1"/>
    <col min="11513" max="11513" width="9.77734375" style="81" customWidth="1"/>
    <col min="11514" max="11514" width="10.77734375" style="81" bestFit="1" customWidth="1"/>
    <col min="11515" max="11515" width="12.109375" style="81" bestFit="1" customWidth="1"/>
    <col min="11516" max="11516" width="10.109375" style="81" customWidth="1"/>
    <col min="11517" max="11517" width="10.33203125" style="81" bestFit="1" customWidth="1"/>
    <col min="11518" max="11758" width="9" style="81"/>
    <col min="11759" max="11759" width="18.77734375" style="81" bestFit="1" customWidth="1"/>
    <col min="11760" max="11760" width="13" style="81" bestFit="1" customWidth="1"/>
    <col min="11761" max="11761" width="14.33203125" style="81" customWidth="1"/>
    <col min="11762" max="11762" width="12" style="81" customWidth="1"/>
    <col min="11763" max="11763" width="12.109375" style="81" customWidth="1"/>
    <col min="11764" max="11764" width="8.33203125" style="81" customWidth="1"/>
    <col min="11765" max="11765" width="8" style="81" customWidth="1"/>
    <col min="11766" max="11766" width="12.109375" style="81" customWidth="1"/>
    <col min="11767" max="11768" width="11.109375" style="81" customWidth="1"/>
    <col min="11769" max="11769" width="9.77734375" style="81" customWidth="1"/>
    <col min="11770" max="11770" width="10.77734375" style="81" bestFit="1" customWidth="1"/>
    <col min="11771" max="11771" width="12.109375" style="81" bestFit="1" customWidth="1"/>
    <col min="11772" max="11772" width="10.109375" style="81" customWidth="1"/>
    <col min="11773" max="11773" width="10.33203125" style="81" bestFit="1" customWidth="1"/>
    <col min="11774" max="12014" width="9" style="81"/>
    <col min="12015" max="12015" width="18.77734375" style="81" bestFit="1" customWidth="1"/>
    <col min="12016" max="12016" width="13" style="81" bestFit="1" customWidth="1"/>
    <col min="12017" max="12017" width="14.33203125" style="81" customWidth="1"/>
    <col min="12018" max="12018" width="12" style="81" customWidth="1"/>
    <col min="12019" max="12019" width="12.109375" style="81" customWidth="1"/>
    <col min="12020" max="12020" width="8.33203125" style="81" customWidth="1"/>
    <col min="12021" max="12021" width="8" style="81" customWidth="1"/>
    <col min="12022" max="12022" width="12.109375" style="81" customWidth="1"/>
    <col min="12023" max="12024" width="11.109375" style="81" customWidth="1"/>
    <col min="12025" max="12025" width="9.77734375" style="81" customWidth="1"/>
    <col min="12026" max="12026" width="10.77734375" style="81" bestFit="1" customWidth="1"/>
    <col min="12027" max="12027" width="12.109375" style="81" bestFit="1" customWidth="1"/>
    <col min="12028" max="12028" width="10.109375" style="81" customWidth="1"/>
    <col min="12029" max="12029" width="10.33203125" style="81" bestFit="1" customWidth="1"/>
    <col min="12030" max="12270" width="9" style="81"/>
    <col min="12271" max="12271" width="18.77734375" style="81" bestFit="1" customWidth="1"/>
    <col min="12272" max="12272" width="13" style="81" bestFit="1" customWidth="1"/>
    <col min="12273" max="12273" width="14.33203125" style="81" customWidth="1"/>
    <col min="12274" max="12274" width="12" style="81" customWidth="1"/>
    <col min="12275" max="12275" width="12.109375" style="81" customWidth="1"/>
    <col min="12276" max="12276" width="8.33203125" style="81" customWidth="1"/>
    <col min="12277" max="12277" width="8" style="81" customWidth="1"/>
    <col min="12278" max="12278" width="12.109375" style="81" customWidth="1"/>
    <col min="12279" max="12280" width="11.109375" style="81" customWidth="1"/>
    <col min="12281" max="12281" width="9.77734375" style="81" customWidth="1"/>
    <col min="12282" max="12282" width="10.77734375" style="81" bestFit="1" customWidth="1"/>
    <col min="12283" max="12283" width="12.109375" style="81" bestFit="1" customWidth="1"/>
    <col min="12284" max="12284" width="10.109375" style="81" customWidth="1"/>
    <col min="12285" max="12285" width="10.33203125" style="81" bestFit="1" customWidth="1"/>
    <col min="12286" max="12526" width="9" style="81"/>
    <col min="12527" max="12527" width="18.77734375" style="81" bestFit="1" customWidth="1"/>
    <col min="12528" max="12528" width="13" style="81" bestFit="1" customWidth="1"/>
    <col min="12529" max="12529" width="14.33203125" style="81" customWidth="1"/>
    <col min="12530" max="12530" width="12" style="81" customWidth="1"/>
    <col min="12531" max="12531" width="12.109375" style="81" customWidth="1"/>
    <col min="12532" max="12532" width="8.33203125" style="81" customWidth="1"/>
    <col min="12533" max="12533" width="8" style="81" customWidth="1"/>
    <col min="12534" max="12534" width="12.109375" style="81" customWidth="1"/>
    <col min="12535" max="12536" width="11.109375" style="81" customWidth="1"/>
    <col min="12537" max="12537" width="9.77734375" style="81" customWidth="1"/>
    <col min="12538" max="12538" width="10.77734375" style="81" bestFit="1" customWidth="1"/>
    <col min="12539" max="12539" width="12.109375" style="81" bestFit="1" customWidth="1"/>
    <col min="12540" max="12540" width="10.109375" style="81" customWidth="1"/>
    <col min="12541" max="12541" width="10.33203125" style="81" bestFit="1" customWidth="1"/>
    <col min="12542" max="12782" width="9" style="81"/>
    <col min="12783" max="12783" width="18.77734375" style="81" bestFit="1" customWidth="1"/>
    <col min="12784" max="12784" width="13" style="81" bestFit="1" customWidth="1"/>
    <col min="12785" max="12785" width="14.33203125" style="81" customWidth="1"/>
    <col min="12786" max="12786" width="12" style="81" customWidth="1"/>
    <col min="12787" max="12787" width="12.109375" style="81" customWidth="1"/>
    <col min="12788" max="12788" width="8.33203125" style="81" customWidth="1"/>
    <col min="12789" max="12789" width="8" style="81" customWidth="1"/>
    <col min="12790" max="12790" width="12.109375" style="81" customWidth="1"/>
    <col min="12791" max="12792" width="11.109375" style="81" customWidth="1"/>
    <col min="12793" max="12793" width="9.77734375" style="81" customWidth="1"/>
    <col min="12794" max="12794" width="10.77734375" style="81" bestFit="1" customWidth="1"/>
    <col min="12795" max="12795" width="12.109375" style="81" bestFit="1" customWidth="1"/>
    <col min="12796" max="12796" width="10.109375" style="81" customWidth="1"/>
    <col min="12797" max="12797" width="10.33203125" style="81" bestFit="1" customWidth="1"/>
    <col min="12798" max="13038" width="9" style="81"/>
    <col min="13039" max="13039" width="18.77734375" style="81" bestFit="1" customWidth="1"/>
    <col min="13040" max="13040" width="13" style="81" bestFit="1" customWidth="1"/>
    <col min="13041" max="13041" width="14.33203125" style="81" customWidth="1"/>
    <col min="13042" max="13042" width="12" style="81" customWidth="1"/>
    <col min="13043" max="13043" width="12.109375" style="81" customWidth="1"/>
    <col min="13044" max="13044" width="8.33203125" style="81" customWidth="1"/>
    <col min="13045" max="13045" width="8" style="81" customWidth="1"/>
    <col min="13046" max="13046" width="12.109375" style="81" customWidth="1"/>
    <col min="13047" max="13048" width="11.109375" style="81" customWidth="1"/>
    <col min="13049" max="13049" width="9.77734375" style="81" customWidth="1"/>
    <col min="13050" max="13050" width="10.77734375" style="81" bestFit="1" customWidth="1"/>
    <col min="13051" max="13051" width="12.109375" style="81" bestFit="1" customWidth="1"/>
    <col min="13052" max="13052" width="10.109375" style="81" customWidth="1"/>
    <col min="13053" max="13053" width="10.33203125" style="81" bestFit="1" customWidth="1"/>
    <col min="13054" max="13294" width="9" style="81"/>
    <col min="13295" max="13295" width="18.77734375" style="81" bestFit="1" customWidth="1"/>
    <col min="13296" max="13296" width="13" style="81" bestFit="1" customWidth="1"/>
    <col min="13297" max="13297" width="14.33203125" style="81" customWidth="1"/>
    <col min="13298" max="13298" width="12" style="81" customWidth="1"/>
    <col min="13299" max="13299" width="12.109375" style="81" customWidth="1"/>
    <col min="13300" max="13300" width="8.33203125" style="81" customWidth="1"/>
    <col min="13301" max="13301" width="8" style="81" customWidth="1"/>
    <col min="13302" max="13302" width="12.109375" style="81" customWidth="1"/>
    <col min="13303" max="13304" width="11.109375" style="81" customWidth="1"/>
    <col min="13305" max="13305" width="9.77734375" style="81" customWidth="1"/>
    <col min="13306" max="13306" width="10.77734375" style="81" bestFit="1" customWidth="1"/>
    <col min="13307" max="13307" width="12.109375" style="81" bestFit="1" customWidth="1"/>
    <col min="13308" max="13308" width="10.109375" style="81" customWidth="1"/>
    <col min="13309" max="13309" width="10.33203125" style="81" bestFit="1" customWidth="1"/>
    <col min="13310" max="13550" width="9" style="81"/>
    <col min="13551" max="13551" width="18.77734375" style="81" bestFit="1" customWidth="1"/>
    <col min="13552" max="13552" width="13" style="81" bestFit="1" customWidth="1"/>
    <col min="13553" max="13553" width="14.33203125" style="81" customWidth="1"/>
    <col min="13554" max="13554" width="12" style="81" customWidth="1"/>
    <col min="13555" max="13555" width="12.109375" style="81" customWidth="1"/>
    <col min="13556" max="13556" width="8.33203125" style="81" customWidth="1"/>
    <col min="13557" max="13557" width="8" style="81" customWidth="1"/>
    <col min="13558" max="13558" width="12.109375" style="81" customWidth="1"/>
    <col min="13559" max="13560" width="11.109375" style="81" customWidth="1"/>
    <col min="13561" max="13561" width="9.77734375" style="81" customWidth="1"/>
    <col min="13562" max="13562" width="10.77734375" style="81" bestFit="1" customWidth="1"/>
    <col min="13563" max="13563" width="12.109375" style="81" bestFit="1" customWidth="1"/>
    <col min="13564" max="13564" width="10.109375" style="81" customWidth="1"/>
    <col min="13565" max="13565" width="10.33203125" style="81" bestFit="1" customWidth="1"/>
    <col min="13566" max="13806" width="9" style="81"/>
    <col min="13807" max="13807" width="18.77734375" style="81" bestFit="1" customWidth="1"/>
    <col min="13808" max="13808" width="13" style="81" bestFit="1" customWidth="1"/>
    <col min="13809" max="13809" width="14.33203125" style="81" customWidth="1"/>
    <col min="13810" max="13810" width="12" style="81" customWidth="1"/>
    <col min="13811" max="13811" width="12.109375" style="81" customWidth="1"/>
    <col min="13812" max="13812" width="8.33203125" style="81" customWidth="1"/>
    <col min="13813" max="13813" width="8" style="81" customWidth="1"/>
    <col min="13814" max="13814" width="12.109375" style="81" customWidth="1"/>
    <col min="13815" max="13816" width="11.109375" style="81" customWidth="1"/>
    <col min="13817" max="13817" width="9.77734375" style="81" customWidth="1"/>
    <col min="13818" max="13818" width="10.77734375" style="81" bestFit="1" customWidth="1"/>
    <col min="13819" max="13819" width="12.109375" style="81" bestFit="1" customWidth="1"/>
    <col min="13820" max="13820" width="10.109375" style="81" customWidth="1"/>
    <col min="13821" max="13821" width="10.33203125" style="81" bestFit="1" customWidth="1"/>
    <col min="13822" max="14062" width="9" style="81"/>
    <col min="14063" max="14063" width="18.77734375" style="81" bestFit="1" customWidth="1"/>
    <col min="14064" max="14064" width="13" style="81" bestFit="1" customWidth="1"/>
    <col min="14065" max="14065" width="14.33203125" style="81" customWidth="1"/>
    <col min="14066" max="14066" width="12" style="81" customWidth="1"/>
    <col min="14067" max="14067" width="12.109375" style="81" customWidth="1"/>
    <col min="14068" max="14068" width="8.33203125" style="81" customWidth="1"/>
    <col min="14069" max="14069" width="8" style="81" customWidth="1"/>
    <col min="14070" max="14070" width="12.109375" style="81" customWidth="1"/>
    <col min="14071" max="14072" width="11.109375" style="81" customWidth="1"/>
    <col min="14073" max="14073" width="9.77734375" style="81" customWidth="1"/>
    <col min="14074" max="14074" width="10.77734375" style="81" bestFit="1" customWidth="1"/>
    <col min="14075" max="14075" width="12.109375" style="81" bestFit="1" customWidth="1"/>
    <col min="14076" max="14076" width="10.109375" style="81" customWidth="1"/>
    <col min="14077" max="14077" width="10.33203125" style="81" bestFit="1" customWidth="1"/>
    <col min="14078" max="14318" width="9" style="81"/>
    <col min="14319" max="14319" width="18.77734375" style="81" bestFit="1" customWidth="1"/>
    <col min="14320" max="14320" width="13" style="81" bestFit="1" customWidth="1"/>
    <col min="14321" max="14321" width="14.33203125" style="81" customWidth="1"/>
    <col min="14322" max="14322" width="12" style="81" customWidth="1"/>
    <col min="14323" max="14323" width="12.109375" style="81" customWidth="1"/>
    <col min="14324" max="14324" width="8.33203125" style="81" customWidth="1"/>
    <col min="14325" max="14325" width="8" style="81" customWidth="1"/>
    <col min="14326" max="14326" width="12.109375" style="81" customWidth="1"/>
    <col min="14327" max="14328" width="11.109375" style="81" customWidth="1"/>
    <col min="14329" max="14329" width="9.77734375" style="81" customWidth="1"/>
    <col min="14330" max="14330" width="10.77734375" style="81" bestFit="1" customWidth="1"/>
    <col min="14331" max="14331" width="12.109375" style="81" bestFit="1" customWidth="1"/>
    <col min="14332" max="14332" width="10.109375" style="81" customWidth="1"/>
    <col min="14333" max="14333" width="10.33203125" style="81" bestFit="1" customWidth="1"/>
    <col min="14334" max="14574" width="9" style="81"/>
    <col min="14575" max="14575" width="18.77734375" style="81" bestFit="1" customWidth="1"/>
    <col min="14576" max="14576" width="13" style="81" bestFit="1" customWidth="1"/>
    <col min="14577" max="14577" width="14.33203125" style="81" customWidth="1"/>
    <col min="14578" max="14578" width="12" style="81" customWidth="1"/>
    <col min="14579" max="14579" width="12.109375" style="81" customWidth="1"/>
    <col min="14580" max="14580" width="8.33203125" style="81" customWidth="1"/>
    <col min="14581" max="14581" width="8" style="81" customWidth="1"/>
    <col min="14582" max="14582" width="12.109375" style="81" customWidth="1"/>
    <col min="14583" max="14584" width="11.109375" style="81" customWidth="1"/>
    <col min="14585" max="14585" width="9.77734375" style="81" customWidth="1"/>
    <col min="14586" max="14586" width="10.77734375" style="81" bestFit="1" customWidth="1"/>
    <col min="14587" max="14587" width="12.109375" style="81" bestFit="1" customWidth="1"/>
    <col min="14588" max="14588" width="10.109375" style="81" customWidth="1"/>
    <col min="14589" max="14589" width="10.33203125" style="81" bestFit="1" customWidth="1"/>
    <col min="14590" max="14830" width="9" style="81"/>
    <col min="14831" max="14831" width="18.77734375" style="81" bestFit="1" customWidth="1"/>
    <col min="14832" max="14832" width="13" style="81" bestFit="1" customWidth="1"/>
    <col min="14833" max="14833" width="14.33203125" style="81" customWidth="1"/>
    <col min="14834" max="14834" width="12" style="81" customWidth="1"/>
    <col min="14835" max="14835" width="12.109375" style="81" customWidth="1"/>
    <col min="14836" max="14836" width="8.33203125" style="81" customWidth="1"/>
    <col min="14837" max="14837" width="8" style="81" customWidth="1"/>
    <col min="14838" max="14838" width="12.109375" style="81" customWidth="1"/>
    <col min="14839" max="14840" width="11.109375" style="81" customWidth="1"/>
    <col min="14841" max="14841" width="9.77734375" style="81" customWidth="1"/>
    <col min="14842" max="14842" width="10.77734375" style="81" bestFit="1" customWidth="1"/>
    <col min="14843" max="14843" width="12.109375" style="81" bestFit="1" customWidth="1"/>
    <col min="14844" max="14844" width="10.109375" style="81" customWidth="1"/>
    <col min="14845" max="14845" width="10.33203125" style="81" bestFit="1" customWidth="1"/>
    <col min="14846" max="15086" width="9" style="81"/>
    <col min="15087" max="15087" width="18.77734375" style="81" bestFit="1" customWidth="1"/>
    <col min="15088" max="15088" width="13" style="81" bestFit="1" customWidth="1"/>
    <col min="15089" max="15089" width="14.33203125" style="81" customWidth="1"/>
    <col min="15090" max="15090" width="12" style="81" customWidth="1"/>
    <col min="15091" max="15091" width="12.109375" style="81" customWidth="1"/>
    <col min="15092" max="15092" width="8.33203125" style="81" customWidth="1"/>
    <col min="15093" max="15093" width="8" style="81" customWidth="1"/>
    <col min="15094" max="15094" width="12.109375" style="81" customWidth="1"/>
    <col min="15095" max="15096" width="11.109375" style="81" customWidth="1"/>
    <col min="15097" max="15097" width="9.77734375" style="81" customWidth="1"/>
    <col min="15098" max="15098" width="10.77734375" style="81" bestFit="1" customWidth="1"/>
    <col min="15099" max="15099" width="12.109375" style="81" bestFit="1" customWidth="1"/>
    <col min="15100" max="15100" width="10.109375" style="81" customWidth="1"/>
    <col min="15101" max="15101" width="10.33203125" style="81" bestFit="1" customWidth="1"/>
    <col min="15102" max="15342" width="9" style="81"/>
    <col min="15343" max="15343" width="18.77734375" style="81" bestFit="1" customWidth="1"/>
    <col min="15344" max="15344" width="13" style="81" bestFit="1" customWidth="1"/>
    <col min="15345" max="15345" width="14.33203125" style="81" customWidth="1"/>
    <col min="15346" max="15346" width="12" style="81" customWidth="1"/>
    <col min="15347" max="15347" width="12.109375" style="81" customWidth="1"/>
    <col min="15348" max="15348" width="8.33203125" style="81" customWidth="1"/>
    <col min="15349" max="15349" width="8" style="81" customWidth="1"/>
    <col min="15350" max="15350" width="12.109375" style="81" customWidth="1"/>
    <col min="15351" max="15352" width="11.109375" style="81" customWidth="1"/>
    <col min="15353" max="15353" width="9.77734375" style="81" customWidth="1"/>
    <col min="15354" max="15354" width="10.77734375" style="81" bestFit="1" customWidth="1"/>
    <col min="15355" max="15355" width="12.109375" style="81" bestFit="1" customWidth="1"/>
    <col min="15356" max="15356" width="10.109375" style="81" customWidth="1"/>
    <col min="15357" max="15357" width="10.33203125" style="81" bestFit="1" customWidth="1"/>
    <col min="15358" max="15598" width="9" style="81"/>
    <col min="15599" max="15599" width="18.77734375" style="81" bestFit="1" customWidth="1"/>
    <col min="15600" max="15600" width="13" style="81" bestFit="1" customWidth="1"/>
    <col min="15601" max="15601" width="14.33203125" style="81" customWidth="1"/>
    <col min="15602" max="15602" width="12" style="81" customWidth="1"/>
    <col min="15603" max="15603" width="12.109375" style="81" customWidth="1"/>
    <col min="15604" max="15604" width="8.33203125" style="81" customWidth="1"/>
    <col min="15605" max="15605" width="8" style="81" customWidth="1"/>
    <col min="15606" max="15606" width="12.109375" style="81" customWidth="1"/>
    <col min="15607" max="15608" width="11.109375" style="81" customWidth="1"/>
    <col min="15609" max="15609" width="9.77734375" style="81" customWidth="1"/>
    <col min="15610" max="15610" width="10.77734375" style="81" bestFit="1" customWidth="1"/>
    <col min="15611" max="15611" width="12.109375" style="81" bestFit="1" customWidth="1"/>
    <col min="15612" max="15612" width="10.109375" style="81" customWidth="1"/>
    <col min="15613" max="15613" width="10.33203125" style="81" bestFit="1" customWidth="1"/>
    <col min="15614" max="15854" width="9" style="81"/>
    <col min="15855" max="15855" width="18.77734375" style="81" bestFit="1" customWidth="1"/>
    <col min="15856" max="15856" width="13" style="81" bestFit="1" customWidth="1"/>
    <col min="15857" max="15857" width="14.33203125" style="81" customWidth="1"/>
    <col min="15858" max="15858" width="12" style="81" customWidth="1"/>
    <col min="15859" max="15859" width="12.109375" style="81" customWidth="1"/>
    <col min="15860" max="15860" width="8.33203125" style="81" customWidth="1"/>
    <col min="15861" max="15861" width="8" style="81" customWidth="1"/>
    <col min="15862" max="15862" width="12.109375" style="81" customWidth="1"/>
    <col min="15863" max="15864" width="11.109375" style="81" customWidth="1"/>
    <col min="15865" max="15865" width="9.77734375" style="81" customWidth="1"/>
    <col min="15866" max="15866" width="10.77734375" style="81" bestFit="1" customWidth="1"/>
    <col min="15867" max="15867" width="12.109375" style="81" bestFit="1" customWidth="1"/>
    <col min="15868" max="15868" width="10.109375" style="81" customWidth="1"/>
    <col min="15869" max="15869" width="10.33203125" style="81" bestFit="1" customWidth="1"/>
    <col min="15870" max="16110" width="9" style="81"/>
    <col min="16111" max="16111" width="18.77734375" style="81" bestFit="1" customWidth="1"/>
    <col min="16112" max="16112" width="13" style="81" bestFit="1" customWidth="1"/>
    <col min="16113" max="16113" width="14.33203125" style="81" customWidth="1"/>
    <col min="16114" max="16114" width="12" style="81" customWidth="1"/>
    <col min="16115" max="16115" width="12.109375" style="81" customWidth="1"/>
    <col min="16116" max="16116" width="8.33203125" style="81" customWidth="1"/>
    <col min="16117" max="16117" width="8" style="81" customWidth="1"/>
    <col min="16118" max="16118" width="12.109375" style="81" customWidth="1"/>
    <col min="16119" max="16120" width="11.109375" style="81" customWidth="1"/>
    <col min="16121" max="16121" width="9.77734375" style="81" customWidth="1"/>
    <col min="16122" max="16122" width="10.77734375" style="81" bestFit="1" customWidth="1"/>
    <col min="16123" max="16123" width="12.109375" style="81" bestFit="1" customWidth="1"/>
    <col min="16124" max="16124" width="10.109375" style="81" customWidth="1"/>
    <col min="16125" max="16125" width="10.33203125" style="81" bestFit="1" customWidth="1"/>
    <col min="16126" max="16384" width="9" style="81"/>
  </cols>
  <sheetData>
    <row r="1" spans="1:408" s="71" customFormat="1" ht="15.6">
      <c r="A1" s="70"/>
      <c r="P1" s="343"/>
    </row>
    <row r="2" spans="1:408" s="73" customFormat="1" ht="15">
      <c r="C2" s="71"/>
      <c r="D2" s="71"/>
      <c r="F2" s="71"/>
      <c r="G2" s="71"/>
      <c r="H2" s="71"/>
      <c r="I2" s="71"/>
      <c r="J2" s="71"/>
      <c r="K2" s="71"/>
      <c r="L2" s="71"/>
      <c r="P2" s="1177"/>
    </row>
    <row r="3" spans="1:408" s="73" customFormat="1" ht="15.6">
      <c r="A3" s="1469" t="s">
        <v>20</v>
      </c>
      <c r="B3" s="1469"/>
      <c r="C3" s="1469"/>
      <c r="D3" s="1469"/>
      <c r="E3" s="1469"/>
      <c r="F3" s="1469"/>
      <c r="G3" s="1469"/>
      <c r="H3" s="1469"/>
      <c r="I3" s="1469"/>
      <c r="J3" s="1469"/>
      <c r="K3" s="1469"/>
      <c r="L3" s="1469"/>
      <c r="M3" s="70"/>
      <c r="N3" s="70"/>
      <c r="O3" s="70"/>
      <c r="P3" s="1178"/>
      <c r="Q3" s="70"/>
      <c r="R3" s="70"/>
    </row>
    <row r="4" spans="1:408" s="73" customFormat="1" ht="15.6">
      <c r="A4" s="1469" t="s">
        <v>1</v>
      </c>
      <c r="B4" s="1469"/>
      <c r="C4" s="1469"/>
      <c r="D4" s="1469"/>
      <c r="E4" s="1469"/>
      <c r="F4" s="1469"/>
      <c r="G4" s="1469"/>
      <c r="H4" s="1469"/>
      <c r="I4" s="1469"/>
      <c r="J4" s="1469"/>
      <c r="K4" s="1469"/>
      <c r="L4" s="1469"/>
      <c r="M4" s="70"/>
      <c r="N4" s="70"/>
      <c r="O4" s="70"/>
      <c r="P4" s="1178"/>
      <c r="Q4" s="70"/>
      <c r="R4" s="70"/>
    </row>
    <row r="5" spans="1:408" s="73" customFormat="1" ht="15.6">
      <c r="A5" s="1461" t="str">
        <f>SUMMARY!A7</f>
        <v>YEAR ENDING DECEMBER 31, 2022</v>
      </c>
      <c r="B5" s="1461"/>
      <c r="C5" s="1461"/>
      <c r="D5" s="1461"/>
      <c r="E5" s="1461"/>
      <c r="F5" s="1461"/>
      <c r="G5" s="1461"/>
      <c r="H5" s="1461"/>
      <c r="I5" s="1461"/>
      <c r="J5" s="1461"/>
      <c r="K5" s="1461"/>
      <c r="L5" s="1461"/>
      <c r="P5" s="1177"/>
    </row>
    <row r="6" spans="1:408" s="73" customFormat="1" ht="15.6">
      <c r="M6" s="70"/>
      <c r="N6" s="70"/>
      <c r="O6" s="70"/>
      <c r="P6" s="1178"/>
      <c r="Q6" s="70"/>
      <c r="R6" s="70"/>
    </row>
    <row r="7" spans="1:408" s="13" customFormat="1" ht="15.6">
      <c r="A7" s="1469" t="s">
        <v>1832</v>
      </c>
      <c r="B7" s="1469"/>
      <c r="C7" s="1469"/>
      <c r="D7" s="1469"/>
      <c r="E7" s="1469"/>
      <c r="F7" s="1469"/>
      <c r="G7" s="1469"/>
      <c r="H7" s="1469"/>
      <c r="I7" s="1469"/>
      <c r="J7" s="1469"/>
      <c r="K7" s="1469"/>
      <c r="L7" s="1469"/>
      <c r="M7" s="70"/>
      <c r="N7" s="70"/>
      <c r="O7"/>
      <c r="P7"/>
      <c r="Q7"/>
      <c r="R7"/>
      <c r="S7"/>
      <c r="T7"/>
      <c r="U7"/>
      <c r="V7"/>
      <c r="W7"/>
      <c r="X7"/>
      <c r="Y7"/>
      <c r="Z7"/>
      <c r="AA7"/>
      <c r="AB7"/>
      <c r="AC7"/>
      <c r="AD7"/>
      <c r="AE7"/>
      <c r="AF7"/>
    </row>
    <row r="8" spans="1:408" s="13" customFormat="1" ht="15.6">
      <c r="A8" s="1469" t="s">
        <v>96</v>
      </c>
      <c r="B8" s="1469"/>
      <c r="C8" s="1469"/>
      <c r="D8" s="1469"/>
      <c r="E8" s="1469"/>
      <c r="F8" s="1469"/>
      <c r="G8" s="1469"/>
      <c r="H8" s="1469"/>
      <c r="I8" s="1469"/>
      <c r="J8" s="1469"/>
      <c r="K8" s="1469"/>
      <c r="L8" s="1469"/>
      <c r="M8" s="74"/>
      <c r="N8" s="74"/>
      <c r="O8"/>
      <c r="P8"/>
      <c r="Q8"/>
      <c r="R8"/>
      <c r="S8"/>
      <c r="T8"/>
      <c r="U8"/>
      <c r="V8"/>
      <c r="W8"/>
      <c r="X8"/>
      <c r="Y8"/>
      <c r="Z8"/>
      <c r="AA8"/>
      <c r="AB8"/>
      <c r="AC8"/>
      <c r="AD8"/>
      <c r="AE8"/>
      <c r="AF8"/>
    </row>
    <row r="9" spans="1:408" s="77" customFormat="1" ht="13.8">
      <c r="A9" s="13"/>
      <c r="B9" s="75"/>
      <c r="C9" s="74"/>
      <c r="D9" s="74"/>
      <c r="E9" s="76"/>
      <c r="F9" s="74"/>
      <c r="G9" s="74"/>
      <c r="H9" s="74"/>
      <c r="I9" s="74"/>
      <c r="J9" s="74"/>
      <c r="K9" s="74"/>
      <c r="L9" s="74"/>
      <c r="O9"/>
      <c r="P9"/>
      <c r="Q9"/>
      <c r="R9"/>
      <c r="S9"/>
      <c r="T9"/>
      <c r="U9"/>
      <c r="V9"/>
      <c r="W9"/>
      <c r="X9"/>
      <c r="Y9"/>
      <c r="Z9"/>
      <c r="AA9"/>
      <c r="AB9"/>
      <c r="AC9"/>
      <c r="AD9"/>
      <c r="AE9"/>
      <c r="AF9"/>
    </row>
    <row r="10" spans="1:408">
      <c r="A10" s="77"/>
      <c r="B10" s="78" t="s">
        <v>8</v>
      </c>
      <c r="C10" s="79"/>
      <c r="D10" s="78" t="s">
        <v>9</v>
      </c>
      <c r="E10" s="80"/>
      <c r="F10" s="78" t="s">
        <v>359</v>
      </c>
      <c r="G10" s="78"/>
      <c r="H10" s="78" t="s">
        <v>360</v>
      </c>
      <c r="I10" s="80"/>
      <c r="J10" s="78" t="s">
        <v>162</v>
      </c>
      <c r="K10" s="80"/>
      <c r="L10" s="78" t="s">
        <v>163</v>
      </c>
      <c r="O10"/>
      <c r="P10"/>
      <c r="Q10"/>
      <c r="R10"/>
      <c r="S10"/>
      <c r="T10"/>
      <c r="U10"/>
      <c r="V10"/>
      <c r="W10"/>
      <c r="X10"/>
      <c r="Y10"/>
      <c r="Z10"/>
      <c r="AA10"/>
      <c r="AB10"/>
      <c r="AC10"/>
      <c r="AD10"/>
      <c r="AE10"/>
      <c r="AF10"/>
    </row>
    <row r="11" spans="1:408" s="14" customFormat="1" ht="15">
      <c r="A11" s="81"/>
      <c r="B11" s="81"/>
      <c r="C11" s="81"/>
      <c r="D11" s="82"/>
      <c r="E11" s="82"/>
      <c r="F11" s="82"/>
      <c r="G11" s="82"/>
      <c r="H11" s="82"/>
      <c r="I11" s="82"/>
      <c r="J11" s="82"/>
      <c r="K11" s="82"/>
      <c r="L11" s="82"/>
      <c r="M11" s="83"/>
      <c r="N11" s="83"/>
      <c r="O11"/>
      <c r="P11"/>
      <c r="Q11"/>
      <c r="R11"/>
      <c r="S11"/>
      <c r="T11"/>
      <c r="U11"/>
      <c r="V11"/>
      <c r="W11"/>
      <c r="X11"/>
      <c r="Y11"/>
      <c r="Z11"/>
      <c r="AA11"/>
      <c r="AB11"/>
      <c r="AC11"/>
      <c r="AD11"/>
      <c r="AE11"/>
      <c r="AF11"/>
    </row>
    <row r="12" spans="1:408" s="87" customFormat="1" ht="21" customHeight="1">
      <c r="A12" s="14"/>
      <c r="B12" s="84" t="s">
        <v>1713</v>
      </c>
      <c r="C12" s="84"/>
      <c r="D12" s="85"/>
      <c r="E12" s="85"/>
      <c r="F12" s="85" t="s">
        <v>1833</v>
      </c>
      <c r="G12" s="85"/>
      <c r="H12" s="85" t="s">
        <v>1834</v>
      </c>
      <c r="I12" s="85"/>
      <c r="J12" s="85" t="s">
        <v>1835</v>
      </c>
      <c r="K12" s="85"/>
      <c r="L12" s="86" t="s">
        <v>576</v>
      </c>
      <c r="O12"/>
      <c r="P12"/>
      <c r="Q12"/>
      <c r="R12"/>
      <c r="S12"/>
      <c r="T12"/>
      <c r="U12"/>
      <c r="V12"/>
      <c r="W12"/>
      <c r="X12"/>
      <c r="Y12"/>
      <c r="Z12"/>
      <c r="AA12"/>
      <c r="AB12"/>
      <c r="AC12"/>
      <c r="AD12"/>
      <c r="AE12"/>
      <c r="AF12"/>
    </row>
    <row r="13" spans="1:408" s="87" customFormat="1" ht="21" customHeight="1" thickBot="1">
      <c r="B13" s="88" t="s">
        <v>1836</v>
      </c>
      <c r="C13" s="84"/>
      <c r="D13" s="88" t="s">
        <v>1097</v>
      </c>
      <c r="E13" s="85"/>
      <c r="F13" s="88" t="s">
        <v>668</v>
      </c>
      <c r="G13" s="85"/>
      <c r="H13" s="88" t="s">
        <v>668</v>
      </c>
      <c r="I13" s="85"/>
      <c r="J13" s="88" t="s">
        <v>668</v>
      </c>
      <c r="K13" s="85"/>
      <c r="L13" s="89" t="s">
        <v>5</v>
      </c>
      <c r="M13" s="71"/>
      <c r="N13" s="71"/>
      <c r="O13"/>
      <c r="P13"/>
      <c r="Q13"/>
      <c r="R13"/>
      <c r="S13"/>
      <c r="T13"/>
      <c r="U13"/>
      <c r="V13"/>
      <c r="W13"/>
      <c r="X13"/>
      <c r="Y13"/>
      <c r="Z13"/>
      <c r="AA13"/>
      <c r="AB13"/>
      <c r="AC13"/>
      <c r="AD13"/>
      <c r="AE13"/>
      <c r="AF13"/>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71"/>
      <c r="IU13" s="71"/>
      <c r="IV13" s="71"/>
      <c r="IW13" s="71"/>
      <c r="IX13" s="71"/>
      <c r="IY13" s="71"/>
      <c r="IZ13" s="71"/>
      <c r="JA13" s="71"/>
      <c r="JB13" s="71"/>
      <c r="JC13" s="71"/>
      <c r="JD13" s="71"/>
      <c r="JE13" s="71"/>
      <c r="JF13" s="71"/>
      <c r="JG13" s="71"/>
      <c r="JH13" s="71"/>
      <c r="JI13" s="71"/>
      <c r="JJ13" s="71"/>
      <c r="JK13" s="71"/>
      <c r="JL13" s="71"/>
      <c r="JM13" s="71"/>
      <c r="JN13" s="71"/>
      <c r="JO13" s="71"/>
      <c r="JP13" s="71"/>
      <c r="JQ13" s="71"/>
      <c r="JR13" s="71"/>
      <c r="JS13" s="71"/>
      <c r="JT13" s="71"/>
      <c r="JU13" s="71"/>
      <c r="JV13" s="71"/>
      <c r="JW13" s="71"/>
      <c r="JX13" s="71"/>
      <c r="JY13" s="71"/>
      <c r="JZ13" s="71"/>
      <c r="KA13" s="71"/>
      <c r="KB13" s="71"/>
      <c r="KC13" s="71"/>
      <c r="KD13" s="71"/>
      <c r="KE13" s="71"/>
      <c r="KF13" s="71"/>
      <c r="KG13" s="71"/>
      <c r="KH13" s="71"/>
      <c r="KI13" s="71"/>
      <c r="KJ13" s="71"/>
      <c r="KK13" s="71"/>
      <c r="KL13" s="71"/>
      <c r="KM13" s="71"/>
      <c r="KN13" s="71"/>
      <c r="KO13" s="71"/>
      <c r="KP13" s="71"/>
      <c r="KQ13" s="71"/>
      <c r="KR13" s="71"/>
      <c r="KS13" s="71"/>
      <c r="KT13" s="71"/>
      <c r="KU13" s="71"/>
      <c r="KV13" s="71"/>
      <c r="KW13" s="71"/>
      <c r="KX13" s="71"/>
      <c r="KY13" s="71"/>
      <c r="KZ13" s="71"/>
      <c r="LA13" s="71"/>
      <c r="LB13" s="71"/>
      <c r="LC13" s="71"/>
      <c r="LD13" s="71"/>
      <c r="LE13" s="71"/>
      <c r="LF13" s="71"/>
      <c r="LG13" s="71"/>
      <c r="LH13" s="71"/>
      <c r="LI13" s="71"/>
      <c r="LJ13" s="71"/>
      <c r="LK13" s="71"/>
      <c r="LL13" s="71"/>
      <c r="LM13" s="71"/>
      <c r="LN13" s="71"/>
      <c r="LO13" s="71"/>
      <c r="LP13" s="71"/>
      <c r="LQ13" s="71"/>
      <c r="LR13" s="71"/>
      <c r="LS13" s="71"/>
      <c r="LT13" s="71"/>
      <c r="LU13" s="71"/>
      <c r="LV13" s="71"/>
      <c r="LW13" s="71"/>
      <c r="LX13" s="71"/>
      <c r="LY13" s="71"/>
      <c r="LZ13" s="71"/>
      <c r="MA13" s="71"/>
      <c r="MB13" s="71"/>
      <c r="MC13" s="71"/>
      <c r="MD13" s="71"/>
      <c r="ME13" s="71"/>
      <c r="MF13" s="71"/>
      <c r="MG13" s="71"/>
      <c r="MH13" s="71"/>
      <c r="MI13" s="71"/>
      <c r="MJ13" s="71"/>
      <c r="MK13" s="71"/>
      <c r="ML13" s="71"/>
      <c r="MM13" s="71"/>
      <c r="MN13" s="71"/>
      <c r="MO13" s="71"/>
      <c r="MP13" s="71"/>
      <c r="MQ13" s="71"/>
      <c r="MR13" s="71"/>
      <c r="MS13" s="71"/>
      <c r="MT13" s="71"/>
      <c r="MU13" s="71"/>
      <c r="MV13" s="71"/>
      <c r="MW13" s="71"/>
      <c r="MX13" s="71"/>
      <c r="MY13" s="71"/>
      <c r="MZ13" s="71"/>
      <c r="NA13" s="71"/>
      <c r="NB13" s="71"/>
      <c r="NC13" s="71"/>
      <c r="ND13" s="71"/>
      <c r="NE13" s="71"/>
      <c r="NF13" s="71"/>
      <c r="NG13" s="71"/>
      <c r="NH13" s="71"/>
      <c r="NI13" s="71"/>
      <c r="NJ13" s="71"/>
      <c r="NK13" s="71"/>
      <c r="NL13" s="71"/>
      <c r="NM13" s="71"/>
      <c r="NN13" s="71"/>
      <c r="NO13" s="71"/>
      <c r="NP13" s="71"/>
      <c r="NQ13" s="71"/>
      <c r="NR13" s="71"/>
      <c r="NS13" s="71"/>
      <c r="NT13" s="71"/>
      <c r="NU13" s="71"/>
      <c r="NV13" s="71"/>
      <c r="NW13" s="71"/>
      <c r="NX13" s="71"/>
      <c r="NY13" s="71"/>
      <c r="NZ13" s="71"/>
      <c r="OA13" s="71"/>
      <c r="OB13" s="71"/>
      <c r="OC13" s="71"/>
      <c r="OD13" s="71"/>
      <c r="OE13" s="71"/>
      <c r="OF13" s="71"/>
      <c r="OG13" s="71"/>
      <c r="OH13" s="71"/>
      <c r="OI13" s="71"/>
      <c r="OJ13" s="71"/>
      <c r="OK13" s="71"/>
      <c r="OL13" s="71"/>
      <c r="OM13" s="71"/>
      <c r="ON13" s="71"/>
      <c r="OO13" s="71"/>
      <c r="OP13" s="71"/>
      <c r="OQ13" s="71"/>
      <c r="OR13" s="71"/>
    </row>
    <row r="14" spans="1:408" s="87" customFormat="1" ht="15.6">
      <c r="A14" s="87" t="s">
        <v>167</v>
      </c>
      <c r="B14" s="90" t="s">
        <v>1837</v>
      </c>
      <c r="C14" s="84"/>
      <c r="D14" s="91" t="s">
        <v>421</v>
      </c>
      <c r="E14" s="85"/>
      <c r="F14" s="1183">
        <v>8.8077701354803209E-2</v>
      </c>
      <c r="G14" s="1184"/>
      <c r="H14" s="1183">
        <v>4.4614610138987806E-2</v>
      </c>
      <c r="I14" s="1184"/>
      <c r="J14" s="1183">
        <v>4.4700034428569846E-2</v>
      </c>
      <c r="K14" s="85"/>
      <c r="L14" s="1208">
        <f>IF(F$36=0,0,F14/3)+IF(H$36=0,0,H14/3)+IF(J$36=0,0,J14/3)</f>
        <v>5.9130781974120285E-2</v>
      </c>
      <c r="M14" s="71"/>
      <c r="N14" s="793"/>
      <c r="O14"/>
      <c r="P14"/>
      <c r="Q14"/>
      <c r="R14"/>
      <c r="S14"/>
      <c r="T14"/>
      <c r="U14"/>
      <c r="V14"/>
      <c r="W14"/>
      <c r="X14"/>
      <c r="Y14"/>
      <c r="Z14"/>
      <c r="AA14"/>
      <c r="AB14"/>
      <c r="AC14"/>
      <c r="AD14"/>
      <c r="AE14"/>
      <c r="AF14"/>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71"/>
      <c r="IG14" s="71"/>
      <c r="IH14" s="71"/>
      <c r="II14" s="71"/>
      <c r="IJ14" s="71"/>
      <c r="IK14" s="71"/>
      <c r="IL14" s="71"/>
      <c r="IM14" s="71"/>
      <c r="IN14" s="71"/>
      <c r="IO14" s="71"/>
      <c r="IP14" s="71"/>
      <c r="IQ14" s="71"/>
      <c r="IR14" s="71"/>
      <c r="IS14" s="71"/>
      <c r="IT14" s="71"/>
      <c r="IU14" s="71"/>
      <c r="IV14" s="71"/>
      <c r="IW14" s="71"/>
      <c r="IX14" s="71"/>
      <c r="IY14" s="71"/>
      <c r="IZ14" s="71"/>
      <c r="JA14" s="71"/>
      <c r="JB14" s="71"/>
      <c r="JC14" s="71"/>
      <c r="JD14" s="71"/>
      <c r="JE14" s="71"/>
      <c r="JF14" s="71"/>
      <c r="JG14" s="71"/>
      <c r="JH14" s="71"/>
      <c r="JI14" s="71"/>
      <c r="JJ14" s="71"/>
      <c r="JK14" s="71"/>
      <c r="JL14" s="71"/>
      <c r="JM14" s="71"/>
      <c r="JN14" s="71"/>
      <c r="JO14" s="71"/>
      <c r="JP14" s="71"/>
      <c r="JQ14" s="71"/>
      <c r="JR14" s="71"/>
      <c r="JS14" s="71"/>
      <c r="JT14" s="71"/>
      <c r="JU14" s="71"/>
      <c r="JV14" s="71"/>
      <c r="JW14" s="71"/>
      <c r="JX14" s="71"/>
      <c r="JY14" s="71"/>
      <c r="JZ14" s="71"/>
      <c r="KA14" s="71"/>
      <c r="KB14" s="71"/>
      <c r="KC14" s="71"/>
      <c r="KD14" s="71"/>
      <c r="KE14" s="71"/>
      <c r="KF14" s="71"/>
      <c r="KG14" s="71"/>
      <c r="KH14" s="71"/>
      <c r="KI14" s="71"/>
      <c r="KJ14" s="71"/>
      <c r="KK14" s="71"/>
      <c r="KL14" s="71"/>
      <c r="KM14" s="71"/>
      <c r="KN14" s="71"/>
      <c r="KO14" s="71"/>
      <c r="KP14" s="71"/>
      <c r="KQ14" s="71"/>
      <c r="KR14" s="71"/>
      <c r="KS14" s="71"/>
      <c r="KT14" s="71"/>
      <c r="KU14" s="71"/>
      <c r="KV14" s="71"/>
      <c r="KW14" s="71"/>
      <c r="KX14" s="71"/>
      <c r="KY14" s="71"/>
      <c r="KZ14" s="71"/>
      <c r="LA14" s="71"/>
      <c r="LB14" s="71"/>
      <c r="LC14" s="71"/>
      <c r="LD14" s="71"/>
      <c r="LE14" s="71"/>
      <c r="LF14" s="71"/>
      <c r="LG14" s="71"/>
      <c r="LH14" s="71"/>
      <c r="LI14" s="71"/>
      <c r="LJ14" s="71"/>
      <c r="LK14" s="71"/>
      <c r="LL14" s="71"/>
      <c r="LM14" s="71"/>
      <c r="LN14" s="71"/>
      <c r="LO14" s="71"/>
      <c r="LP14" s="71"/>
      <c r="LQ14" s="71"/>
      <c r="LR14" s="71"/>
      <c r="LS14" s="71"/>
      <c r="LT14" s="71"/>
      <c r="LU14" s="71"/>
      <c r="LV14" s="71"/>
      <c r="LW14" s="71"/>
      <c r="LX14" s="71"/>
      <c r="LY14" s="71"/>
      <c r="LZ14" s="71"/>
      <c r="MA14" s="71"/>
      <c r="MB14" s="71"/>
      <c r="MC14" s="71"/>
      <c r="MD14" s="71"/>
      <c r="ME14" s="71"/>
      <c r="MF14" s="71"/>
      <c r="MG14" s="71"/>
      <c r="MH14" s="71"/>
      <c r="MI14" s="71"/>
      <c r="MJ14" s="71"/>
      <c r="MK14" s="71"/>
      <c r="ML14" s="71"/>
      <c r="MM14" s="71"/>
      <c r="MN14" s="71"/>
      <c r="MO14" s="71"/>
      <c r="MP14" s="71"/>
      <c r="MQ14" s="71"/>
      <c r="MR14" s="71"/>
      <c r="MS14" s="71"/>
      <c r="MT14" s="71"/>
      <c r="MU14" s="71"/>
      <c r="MV14" s="71"/>
      <c r="MW14" s="71"/>
      <c r="MX14" s="71"/>
      <c r="MY14" s="71"/>
      <c r="MZ14" s="71"/>
      <c r="NA14" s="71"/>
      <c r="NB14" s="71"/>
      <c r="NC14" s="71"/>
      <c r="ND14" s="71"/>
      <c r="NE14" s="71"/>
      <c r="NF14" s="71"/>
      <c r="NG14" s="71"/>
      <c r="NH14" s="71"/>
      <c r="NI14" s="71"/>
      <c r="NJ14" s="71"/>
      <c r="NK14" s="71"/>
      <c r="NL14" s="71"/>
      <c r="NM14" s="71"/>
      <c r="NN14" s="71"/>
      <c r="NO14" s="71"/>
      <c r="NP14" s="71"/>
      <c r="NQ14" s="71"/>
      <c r="NR14" s="71"/>
      <c r="NS14" s="71"/>
      <c r="NT14" s="71"/>
      <c r="NU14" s="71"/>
      <c r="NV14" s="71"/>
      <c r="NW14" s="71"/>
      <c r="NX14" s="71"/>
      <c r="NY14" s="71"/>
      <c r="NZ14" s="71"/>
      <c r="OA14" s="71"/>
      <c r="OB14" s="71"/>
      <c r="OC14" s="71"/>
      <c r="OD14" s="71"/>
      <c r="OE14" s="71"/>
      <c r="OF14" s="71"/>
      <c r="OG14" s="71"/>
      <c r="OH14" s="71"/>
      <c r="OI14" s="71"/>
      <c r="OJ14" s="71"/>
      <c r="OK14" s="71"/>
      <c r="OL14" s="71"/>
      <c r="OM14" s="71"/>
      <c r="ON14" s="71"/>
      <c r="OO14" s="71"/>
      <c r="OP14" s="71"/>
      <c r="OQ14" s="71"/>
      <c r="OR14" s="71"/>
    </row>
    <row r="15" spans="1:408" s="87" customFormat="1" ht="15.6">
      <c r="A15" s="87" t="s">
        <v>171</v>
      </c>
      <c r="B15" s="90" t="s">
        <v>1838</v>
      </c>
      <c r="C15" s="90"/>
      <c r="D15" s="91" t="s">
        <v>950</v>
      </c>
      <c r="E15" s="85"/>
      <c r="F15" s="1183">
        <v>0.13957807465666866</v>
      </c>
      <c r="G15" s="1182"/>
      <c r="H15" s="1183">
        <v>0.13957807465666866</v>
      </c>
      <c r="I15" s="1182"/>
      <c r="J15" s="1183">
        <v>0.13957807465666866</v>
      </c>
      <c r="K15" s="92"/>
      <c r="L15" s="1208">
        <f>IF(F$36=0,0,F15/3)+IF(H$36=0,0,H15/3)+IF(J$36=0,0,J15/3)</f>
        <v>0.13957807465666866</v>
      </c>
      <c r="M15" s="71"/>
      <c r="N15" s="71"/>
      <c r="O15"/>
      <c r="P15"/>
      <c r="Q15"/>
      <c r="R15"/>
      <c r="S15"/>
      <c r="T15"/>
      <c r="U15"/>
      <c r="V15"/>
      <c r="W15"/>
      <c r="X15"/>
      <c r="Y15"/>
      <c r="Z15"/>
      <c r="AA15"/>
      <c r="AB15"/>
      <c r="AC15"/>
      <c r="AD15"/>
      <c r="AE15"/>
      <c r="AF15"/>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71"/>
      <c r="IG15" s="71"/>
      <c r="IH15" s="71"/>
      <c r="II15" s="71"/>
      <c r="IJ15" s="71"/>
      <c r="IK15" s="71"/>
      <c r="IL15" s="71"/>
      <c r="IM15" s="71"/>
      <c r="IN15" s="71"/>
      <c r="IO15" s="71"/>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71"/>
      <c r="MX15" s="71"/>
      <c r="MY15" s="71"/>
      <c r="MZ15" s="71"/>
      <c r="NA15" s="71"/>
      <c r="NB15" s="71"/>
      <c r="NC15" s="71"/>
      <c r="ND15" s="71"/>
      <c r="NE15" s="71"/>
      <c r="NF15" s="71"/>
      <c r="NG15" s="71"/>
      <c r="NH15" s="71"/>
      <c r="NI15" s="71"/>
      <c r="NJ15" s="71"/>
      <c r="NK15" s="71"/>
      <c r="NL15" s="71"/>
      <c r="NM15" s="71"/>
      <c r="NN15" s="71"/>
      <c r="NO15" s="71"/>
      <c r="NP15" s="71"/>
      <c r="NQ15" s="71"/>
      <c r="NR15" s="71"/>
      <c r="NS15" s="71"/>
      <c r="NT15" s="71"/>
      <c r="NU15" s="71"/>
      <c r="NV15" s="71"/>
      <c r="NW15" s="71"/>
      <c r="NX15" s="71"/>
      <c r="NY15" s="71"/>
      <c r="NZ15" s="71"/>
      <c r="OA15" s="71"/>
      <c r="OB15" s="71"/>
      <c r="OC15" s="71"/>
      <c r="OD15" s="71"/>
      <c r="OE15" s="71"/>
      <c r="OF15" s="71"/>
      <c r="OG15" s="71"/>
      <c r="OH15" s="71"/>
      <c r="OI15" s="71"/>
      <c r="OJ15" s="71"/>
      <c r="OK15" s="71"/>
      <c r="OL15" s="71"/>
      <c r="OM15" s="71"/>
      <c r="ON15" s="71"/>
      <c r="OO15" s="71"/>
      <c r="OP15" s="71"/>
      <c r="OQ15" s="71"/>
      <c r="OR15" s="71"/>
    </row>
    <row r="16" spans="1:408" s="87" customFormat="1" ht="15.6">
      <c r="A16" s="87" t="s">
        <v>174</v>
      </c>
      <c r="B16" s="90" t="s">
        <v>1839</v>
      </c>
      <c r="C16" s="90"/>
      <c r="D16" s="91" t="s">
        <v>420</v>
      </c>
      <c r="E16" s="93"/>
      <c r="F16" s="1183">
        <v>0.25210994339324605</v>
      </c>
      <c r="G16" s="1182"/>
      <c r="H16" s="1183">
        <v>0.25210994339324605</v>
      </c>
      <c r="I16" s="1182"/>
      <c r="J16" s="1183">
        <v>0.25210994339324605</v>
      </c>
      <c r="K16" s="92"/>
      <c r="L16" s="1208">
        <f t="shared" ref="L16:L34" si="0">IF(F$36=0,0,F16/3)+IF(H$36=0,0,H16/3)+IF(J$36=0,0,J16/3)</f>
        <v>0.25210994339324605</v>
      </c>
      <c r="M16" s="71"/>
      <c r="N16" s="71"/>
      <c r="O16"/>
      <c r="P16"/>
      <c r="Q16"/>
      <c r="R16"/>
      <c r="S16"/>
      <c r="T16"/>
      <c r="U16"/>
      <c r="V16"/>
      <c r="W16"/>
      <c r="X16"/>
      <c r="Y16"/>
      <c r="Z16"/>
      <c r="AA16"/>
      <c r="AB16"/>
      <c r="AC16"/>
      <c r="AD16"/>
      <c r="AE16"/>
      <c r="AF16"/>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1"/>
      <c r="GD16" s="71"/>
      <c r="GE16" s="71"/>
      <c r="GF16" s="71"/>
      <c r="GG16" s="71"/>
      <c r="GH16" s="71"/>
      <c r="GI16" s="71"/>
      <c r="GJ16" s="71"/>
      <c r="GK16" s="71"/>
      <c r="GL16" s="71"/>
      <c r="GM16" s="71"/>
      <c r="GN16" s="71"/>
      <c r="GO16" s="71"/>
      <c r="GP16" s="71"/>
      <c r="GQ16" s="71"/>
      <c r="GR16" s="71"/>
      <c r="GS16" s="71"/>
      <c r="GT16" s="71"/>
      <c r="GU16" s="71"/>
      <c r="GV16" s="71"/>
      <c r="GW16" s="71"/>
      <c r="GX16" s="71"/>
      <c r="GY16" s="71"/>
      <c r="GZ16" s="71"/>
      <c r="HA16" s="71"/>
      <c r="HB16" s="71"/>
      <c r="HC16" s="71"/>
      <c r="HD16" s="71"/>
      <c r="HE16" s="71"/>
      <c r="HF16" s="71"/>
      <c r="HG16" s="71"/>
      <c r="HH16" s="71"/>
      <c r="HI16" s="71"/>
      <c r="HJ16" s="71"/>
      <c r="HK16" s="71"/>
      <c r="HL16" s="71"/>
      <c r="HM16" s="71"/>
      <c r="HN16" s="71"/>
      <c r="HO16" s="71"/>
      <c r="HP16" s="71"/>
      <c r="HQ16" s="71"/>
      <c r="HR16" s="71"/>
      <c r="HS16" s="71"/>
      <c r="HT16" s="71"/>
      <c r="HU16" s="71"/>
      <c r="HV16" s="71"/>
      <c r="HW16" s="71"/>
      <c r="HX16" s="71"/>
      <c r="HY16" s="71"/>
      <c r="HZ16" s="71"/>
      <c r="IA16" s="71"/>
      <c r="IB16" s="71"/>
      <c r="IC16" s="71"/>
      <c r="ID16" s="71"/>
      <c r="IE16" s="71"/>
      <c r="IF16" s="71"/>
      <c r="IG16" s="71"/>
      <c r="IH16" s="71"/>
      <c r="II16" s="71"/>
      <c r="IJ16" s="71"/>
      <c r="IK16" s="71"/>
      <c r="IL16" s="71"/>
      <c r="IM16" s="71"/>
      <c r="IN16" s="71"/>
      <c r="IO16" s="71"/>
      <c r="IP16" s="71"/>
      <c r="IQ16" s="71"/>
      <c r="IR16" s="71"/>
      <c r="IS16" s="71"/>
      <c r="IT16" s="71"/>
      <c r="IU16" s="71"/>
      <c r="IV16" s="71"/>
      <c r="IW16" s="71"/>
      <c r="IX16" s="71"/>
      <c r="IY16" s="71"/>
      <c r="IZ16" s="71"/>
      <c r="JA16" s="71"/>
      <c r="JB16" s="71"/>
      <c r="JC16" s="71"/>
      <c r="JD16" s="71"/>
      <c r="JE16" s="71"/>
      <c r="JF16" s="71"/>
      <c r="JG16" s="71"/>
      <c r="JH16" s="71"/>
      <c r="JI16" s="71"/>
      <c r="JJ16" s="71"/>
      <c r="JK16" s="71"/>
      <c r="JL16" s="71"/>
      <c r="JM16" s="71"/>
      <c r="JN16" s="71"/>
      <c r="JO16" s="71"/>
      <c r="JP16" s="71"/>
      <c r="JQ16" s="71"/>
      <c r="JR16" s="71"/>
      <c r="JS16" s="71"/>
      <c r="JT16" s="71"/>
      <c r="JU16" s="71"/>
      <c r="JV16" s="71"/>
      <c r="JW16" s="71"/>
      <c r="JX16" s="71"/>
      <c r="JY16" s="71"/>
      <c r="JZ16" s="71"/>
      <c r="KA16" s="71"/>
      <c r="KB16" s="71"/>
      <c r="KC16" s="71"/>
      <c r="KD16" s="71"/>
      <c r="KE16" s="71"/>
      <c r="KF16" s="71"/>
      <c r="KG16" s="71"/>
      <c r="KH16" s="71"/>
      <c r="KI16" s="71"/>
      <c r="KJ16" s="71"/>
      <c r="KK16" s="71"/>
      <c r="KL16" s="71"/>
      <c r="KM16" s="71"/>
      <c r="KN16" s="71"/>
      <c r="KO16" s="71"/>
      <c r="KP16" s="71"/>
      <c r="KQ16" s="71"/>
      <c r="KR16" s="71"/>
      <c r="KS16" s="71"/>
      <c r="KT16" s="71"/>
      <c r="KU16" s="71"/>
      <c r="KV16" s="71"/>
      <c r="KW16" s="71"/>
      <c r="KX16" s="71"/>
      <c r="KY16" s="71"/>
      <c r="KZ16" s="71"/>
      <c r="LA16" s="71"/>
      <c r="LB16" s="71"/>
      <c r="LC16" s="71"/>
      <c r="LD16" s="71"/>
      <c r="LE16" s="71"/>
      <c r="LF16" s="71"/>
      <c r="LG16" s="71"/>
      <c r="LH16" s="71"/>
      <c r="LI16" s="71"/>
      <c r="LJ16" s="71"/>
      <c r="LK16" s="71"/>
      <c r="LL16" s="71"/>
      <c r="LM16" s="71"/>
      <c r="LN16" s="71"/>
      <c r="LO16" s="71"/>
      <c r="LP16" s="71"/>
      <c r="LQ16" s="71"/>
      <c r="LR16" s="71"/>
      <c r="LS16" s="71"/>
      <c r="LT16" s="71"/>
      <c r="LU16" s="71"/>
      <c r="LV16" s="71"/>
      <c r="LW16" s="71"/>
      <c r="LX16" s="71"/>
      <c r="LY16" s="71"/>
      <c r="LZ16" s="71"/>
      <c r="MA16" s="71"/>
      <c r="MB16" s="71"/>
      <c r="MC16" s="71"/>
      <c r="MD16" s="71"/>
      <c r="ME16" s="71"/>
      <c r="MF16" s="71"/>
      <c r="MG16" s="71"/>
      <c r="MH16" s="71"/>
      <c r="MI16" s="71"/>
      <c r="MJ16" s="71"/>
      <c r="MK16" s="71"/>
      <c r="ML16" s="71"/>
      <c r="MM16" s="71"/>
      <c r="MN16" s="71"/>
      <c r="MO16" s="71"/>
      <c r="MP16" s="71"/>
      <c r="MQ16" s="71"/>
      <c r="MR16" s="71"/>
      <c r="MS16" s="71"/>
      <c r="MT16" s="71"/>
      <c r="MU16" s="71"/>
      <c r="MV16" s="71"/>
      <c r="MW16" s="71"/>
      <c r="MX16" s="71"/>
      <c r="MY16" s="71"/>
      <c r="MZ16" s="71"/>
      <c r="NA16" s="71"/>
      <c r="NB16" s="71"/>
      <c r="NC16" s="71"/>
      <c r="ND16" s="71"/>
      <c r="NE16" s="71"/>
      <c r="NF16" s="71"/>
      <c r="NG16" s="71"/>
      <c r="NH16" s="71"/>
      <c r="NI16" s="71"/>
      <c r="NJ16" s="71"/>
      <c r="NK16" s="71"/>
      <c r="NL16" s="71"/>
      <c r="NM16" s="71"/>
      <c r="NN16" s="71"/>
      <c r="NO16" s="71"/>
      <c r="NP16" s="71"/>
      <c r="NQ16" s="71"/>
      <c r="NR16" s="71"/>
      <c r="NS16" s="71"/>
      <c r="NT16" s="71"/>
      <c r="NU16" s="71"/>
      <c r="NV16" s="71"/>
      <c r="NW16" s="71"/>
      <c r="NX16" s="71"/>
      <c r="NY16" s="71"/>
      <c r="NZ16" s="71"/>
      <c r="OA16" s="71"/>
      <c r="OB16" s="71"/>
      <c r="OC16" s="71"/>
      <c r="OD16" s="71"/>
      <c r="OE16" s="71"/>
      <c r="OF16" s="71"/>
      <c r="OG16" s="71"/>
      <c r="OH16" s="71"/>
      <c r="OI16" s="71"/>
      <c r="OJ16" s="71"/>
      <c r="OK16" s="71"/>
      <c r="OL16" s="71"/>
      <c r="OM16" s="71"/>
      <c r="ON16" s="71"/>
      <c r="OO16" s="71"/>
      <c r="OP16" s="71"/>
      <c r="OQ16" s="71"/>
      <c r="OR16" s="71"/>
    </row>
    <row r="17" spans="1:74" s="87" customFormat="1" ht="15.6">
      <c r="A17" s="87" t="s">
        <v>177</v>
      </c>
      <c r="B17" s="90" t="s">
        <v>1840</v>
      </c>
      <c r="C17" s="90"/>
      <c r="D17" s="91" t="s">
        <v>951</v>
      </c>
      <c r="E17" s="93"/>
      <c r="F17" s="1183"/>
      <c r="G17" s="1182"/>
      <c r="H17" s="1183"/>
      <c r="I17" s="1182"/>
      <c r="J17" s="1183"/>
      <c r="K17" s="92"/>
      <c r="L17" s="1208">
        <f t="shared" si="0"/>
        <v>0</v>
      </c>
      <c r="M17" s="71"/>
      <c r="N17" s="793"/>
      <c r="O17"/>
      <c r="P17"/>
      <c r="Q17"/>
      <c r="R17"/>
      <c r="S17"/>
      <c r="T17"/>
      <c r="U17"/>
      <c r="V17"/>
      <c r="W17"/>
      <c r="X17"/>
      <c r="Y17"/>
      <c r="Z17"/>
      <c r="AA17"/>
      <c r="AB17"/>
      <c r="AC17"/>
      <c r="AD17"/>
      <c r="AE17"/>
      <c r="AF17"/>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row>
    <row r="18" spans="1:74" s="87" customFormat="1" ht="15.6">
      <c r="A18" s="87" t="s">
        <v>237</v>
      </c>
      <c r="B18" s="90" t="s">
        <v>1841</v>
      </c>
      <c r="C18" s="90"/>
      <c r="D18" s="91" t="s">
        <v>953</v>
      </c>
      <c r="E18" s="93"/>
      <c r="F18" s="1183">
        <v>2.5636757306827414E-2</v>
      </c>
      <c r="G18" s="1182"/>
      <c r="H18" s="1183">
        <v>2.201408053481025E-2</v>
      </c>
      <c r="I18" s="1182"/>
      <c r="J18" s="1183">
        <v>4.6034430088196417E-2</v>
      </c>
      <c r="K18" s="92"/>
      <c r="L18" s="1208">
        <f t="shared" si="0"/>
        <v>3.1228422643278027E-2</v>
      </c>
      <c r="M18" s="71"/>
      <c r="N18" s="793"/>
      <c r="O18"/>
      <c r="P18"/>
      <c r="Q18"/>
      <c r="R18"/>
      <c r="S18"/>
      <c r="T18"/>
      <c r="U18"/>
      <c r="V18"/>
      <c r="W18"/>
      <c r="X18"/>
      <c r="Y18"/>
      <c r="Z18"/>
      <c r="AA18"/>
      <c r="AB18"/>
      <c r="AC18"/>
      <c r="AD18"/>
      <c r="AE18"/>
      <c r="AF18"/>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row>
    <row r="19" spans="1:74" s="87" customFormat="1" ht="15.6">
      <c r="A19" s="87" t="s">
        <v>241</v>
      </c>
      <c r="B19" s="90"/>
      <c r="C19" s="90"/>
      <c r="D19" s="91"/>
      <c r="E19" s="93"/>
      <c r="F19" s="1183"/>
      <c r="G19" s="1182"/>
      <c r="H19" s="1183"/>
      <c r="I19" s="1182"/>
      <c r="J19" s="1183"/>
      <c r="K19" s="92"/>
      <c r="L19" s="1208"/>
      <c r="M19" s="71"/>
      <c r="N19" s="71"/>
      <c r="O19"/>
      <c r="P19"/>
      <c r="Q19"/>
      <c r="R19"/>
      <c r="S19"/>
      <c r="T19"/>
      <c r="U19"/>
      <c r="V19"/>
      <c r="W19"/>
      <c r="X19"/>
      <c r="Y19"/>
      <c r="Z19"/>
      <c r="AA19"/>
      <c r="AB19"/>
      <c r="AC19"/>
      <c r="AD19"/>
      <c r="AE19"/>
      <c r="AF19"/>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row>
    <row r="20" spans="1:74" s="87" customFormat="1" ht="15.6">
      <c r="A20" s="87" t="s">
        <v>246</v>
      </c>
      <c r="B20" s="90">
        <v>122</v>
      </c>
      <c r="C20" s="90"/>
      <c r="D20" s="91" t="s">
        <v>1842</v>
      </c>
      <c r="E20" s="93"/>
      <c r="F20" s="1183">
        <v>3.2084452745321916E-3</v>
      </c>
      <c r="G20" s="1182"/>
      <c r="H20" s="1183">
        <v>6.1560898496324727E-4</v>
      </c>
      <c r="I20" s="1182"/>
      <c r="J20" s="1183">
        <v>0</v>
      </c>
      <c r="K20" s="92"/>
      <c r="L20" s="1208">
        <f t="shared" si="0"/>
        <v>1.2746847531651462E-3</v>
      </c>
      <c r="M20" s="71"/>
      <c r="N20" s="793"/>
      <c r="O20"/>
      <c r="P20"/>
      <c r="Q20"/>
      <c r="R20"/>
      <c r="S20"/>
      <c r="T20"/>
      <c r="U20"/>
      <c r="V20"/>
      <c r="W20"/>
      <c r="X20"/>
      <c r="Y20"/>
      <c r="Z20"/>
      <c r="AA20"/>
      <c r="AB20"/>
      <c r="AC20"/>
      <c r="AD20"/>
      <c r="AE20"/>
      <c r="AF20"/>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row>
    <row r="21" spans="1:74" s="87" customFormat="1" ht="15.6">
      <c r="A21" s="87" t="s">
        <v>249</v>
      </c>
      <c r="B21" s="90"/>
      <c r="C21" s="94"/>
      <c r="D21" s="91"/>
      <c r="E21" s="93"/>
      <c r="F21" s="1183"/>
      <c r="G21" s="1182"/>
      <c r="H21" s="1183"/>
      <c r="I21" s="1182"/>
      <c r="J21" s="1183"/>
      <c r="K21" s="92"/>
      <c r="L21" s="1208"/>
      <c r="M21" s="71"/>
      <c r="N21" s="71"/>
      <c r="O21"/>
      <c r="P21"/>
      <c r="Q21"/>
      <c r="R21"/>
      <c r="S21"/>
      <c r="T21"/>
      <c r="U21"/>
      <c r="V21"/>
      <c r="W21"/>
      <c r="X21"/>
      <c r="Y21"/>
      <c r="Z21"/>
      <c r="AA21"/>
      <c r="AB21"/>
      <c r="AC21"/>
      <c r="AD21"/>
      <c r="AE21"/>
      <c r="AF2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row>
    <row r="22" spans="1:74" s="87" customFormat="1" ht="15.6">
      <c r="A22" s="87" t="s">
        <v>253</v>
      </c>
      <c r="B22" s="90" t="s">
        <v>1843</v>
      </c>
      <c r="D22" s="91" t="s">
        <v>1844</v>
      </c>
      <c r="F22" s="1183">
        <v>2.0709162416270192E-2</v>
      </c>
      <c r="G22" s="1182"/>
      <c r="H22" s="1183">
        <v>2.4563539276521083E-2</v>
      </c>
      <c r="I22" s="1182"/>
      <c r="J22" s="1183">
        <v>1.1399767014323683E-2</v>
      </c>
      <c r="K22" s="92"/>
      <c r="L22" s="1208">
        <f t="shared" si="0"/>
        <v>1.8890822902371651E-2</v>
      </c>
      <c r="N22" s="793"/>
      <c r="O22"/>
      <c r="P22"/>
      <c r="Q22"/>
      <c r="R22"/>
      <c r="S22"/>
      <c r="T22"/>
      <c r="U22"/>
      <c r="V22"/>
      <c r="W22"/>
      <c r="X22"/>
      <c r="Y22"/>
      <c r="Z22"/>
      <c r="AA22"/>
      <c r="AB22"/>
      <c r="AC22"/>
      <c r="AD22"/>
      <c r="AE22"/>
      <c r="AF22"/>
    </row>
    <row r="23" spans="1:74" s="87" customFormat="1" ht="15.6">
      <c r="A23" s="87" t="s">
        <v>257</v>
      </c>
      <c r="B23" s="90"/>
      <c r="C23" s="94"/>
      <c r="D23" s="91"/>
      <c r="E23" s="95"/>
      <c r="F23" s="1183"/>
      <c r="G23" s="1182"/>
      <c r="H23" s="1183"/>
      <c r="I23" s="1182"/>
      <c r="J23" s="1183"/>
      <c r="K23" s="92"/>
      <c r="L23" s="1208"/>
      <c r="O23"/>
      <c r="P23"/>
      <c r="Q23"/>
      <c r="R23"/>
      <c r="S23"/>
      <c r="T23"/>
      <c r="U23"/>
      <c r="V23"/>
      <c r="W23"/>
      <c r="X23"/>
      <c r="Y23"/>
      <c r="Z23"/>
      <c r="AA23"/>
      <c r="AB23"/>
      <c r="AC23"/>
      <c r="AD23"/>
      <c r="AE23"/>
      <c r="AF23"/>
    </row>
    <row r="24" spans="1:74" s="87" customFormat="1" ht="15.6">
      <c r="A24" s="87" t="s">
        <v>261</v>
      </c>
      <c r="B24" s="90" t="s">
        <v>1845</v>
      </c>
      <c r="D24" s="91" t="s">
        <v>1846</v>
      </c>
      <c r="F24" s="1185">
        <v>1.8280890853786116E-2</v>
      </c>
      <c r="G24" s="1182"/>
      <c r="H24" s="1185">
        <v>5.2135089646078277E-2</v>
      </c>
      <c r="I24" s="1182"/>
      <c r="J24" s="1185">
        <v>5.9090905807202061E-2</v>
      </c>
      <c r="K24" s="92"/>
      <c r="L24" s="1208">
        <f t="shared" si="0"/>
        <v>4.3168962102355483E-2</v>
      </c>
      <c r="N24" s="793"/>
      <c r="O24"/>
      <c r="P24"/>
      <c r="Q24"/>
      <c r="R24"/>
      <c r="S24"/>
      <c r="T24"/>
      <c r="U24"/>
      <c r="V24"/>
      <c r="W24"/>
      <c r="X24"/>
      <c r="Y24"/>
      <c r="Z24"/>
      <c r="AA24"/>
      <c r="AB24"/>
      <c r="AC24"/>
      <c r="AD24"/>
      <c r="AE24"/>
      <c r="AF24"/>
    </row>
    <row r="25" spans="1:74" s="87" customFormat="1" ht="15.6">
      <c r="A25" s="87" t="s">
        <v>265</v>
      </c>
      <c r="B25" s="90"/>
      <c r="C25" s="90"/>
      <c r="D25" s="91"/>
      <c r="F25" s="1185"/>
      <c r="G25" s="1182"/>
      <c r="H25" s="1185"/>
      <c r="I25" s="1182"/>
      <c r="J25" s="1185"/>
      <c r="K25" s="92"/>
      <c r="L25" s="1208"/>
      <c r="O25"/>
      <c r="P25"/>
      <c r="Q25"/>
      <c r="R25"/>
      <c r="S25"/>
      <c r="T25"/>
      <c r="U25"/>
      <c r="V25"/>
      <c r="W25"/>
      <c r="X25"/>
      <c r="Y25"/>
      <c r="Z25"/>
      <c r="AA25"/>
      <c r="AB25"/>
      <c r="AC25"/>
      <c r="AD25"/>
      <c r="AE25"/>
      <c r="AF25"/>
    </row>
    <row r="26" spans="1:74" s="87" customFormat="1" ht="15.6">
      <c r="A26" s="87" t="s">
        <v>273</v>
      </c>
      <c r="B26" s="90" t="s">
        <v>1847</v>
      </c>
      <c r="C26" s="90"/>
      <c r="D26" s="91" t="s">
        <v>966</v>
      </c>
      <c r="E26" s="93"/>
      <c r="F26" s="1185">
        <v>6.5983581560443427E-2</v>
      </c>
      <c r="G26" s="1182"/>
      <c r="H26" s="1185">
        <v>6.6826005307792799E-2</v>
      </c>
      <c r="I26" s="1182"/>
      <c r="J26" s="1185">
        <v>8.2601721182086307E-2</v>
      </c>
      <c r="K26" s="92"/>
      <c r="L26" s="1208">
        <f t="shared" si="0"/>
        <v>7.1803769350107516E-2</v>
      </c>
      <c r="N26" s="793"/>
      <c r="O26"/>
      <c r="P26"/>
      <c r="Q26"/>
      <c r="R26"/>
      <c r="S26"/>
      <c r="T26"/>
      <c r="U26"/>
      <c r="V26"/>
      <c r="W26"/>
      <c r="X26"/>
      <c r="Y26"/>
      <c r="Z26"/>
      <c r="AA26"/>
      <c r="AB26"/>
      <c r="AC26"/>
      <c r="AD26"/>
      <c r="AE26"/>
      <c r="AF26"/>
    </row>
    <row r="27" spans="1:74" s="87" customFormat="1" ht="16.2" thickBot="1">
      <c r="A27" s="87" t="s">
        <v>270</v>
      </c>
      <c r="B27" s="90"/>
      <c r="C27" s="90"/>
      <c r="D27" s="91"/>
      <c r="E27" s="93"/>
      <c r="F27" s="1183"/>
      <c r="G27" s="1182"/>
      <c r="H27" s="1183"/>
      <c r="I27" s="1182"/>
      <c r="J27" s="1183"/>
      <c r="K27" s="92"/>
      <c r="L27" s="1208"/>
      <c r="O27"/>
      <c r="P27"/>
      <c r="Q27"/>
      <c r="R27"/>
      <c r="S27"/>
      <c r="T27"/>
      <c r="U27"/>
      <c r="V27"/>
      <c r="W27"/>
      <c r="X27"/>
      <c r="Y27"/>
      <c r="Z27"/>
      <c r="AA27"/>
      <c r="AB27"/>
      <c r="AC27"/>
      <c r="AD27"/>
      <c r="AE27"/>
      <c r="AF27"/>
    </row>
    <row r="28" spans="1:74" s="87" customFormat="1" ht="16.2" thickBot="1">
      <c r="A28" s="87" t="s">
        <v>640</v>
      </c>
      <c r="B28" s="96" t="s">
        <v>1848</v>
      </c>
      <c r="D28" s="91" t="s">
        <v>1849</v>
      </c>
      <c r="F28" s="1183">
        <v>0.35100126577993779</v>
      </c>
      <c r="G28" s="793"/>
      <c r="H28" s="1183">
        <v>0.39754304806093183</v>
      </c>
      <c r="I28" s="793"/>
      <c r="J28" s="1183">
        <v>0.34960422749134884</v>
      </c>
      <c r="K28" s="97"/>
      <c r="L28" s="1209">
        <f t="shared" si="0"/>
        <v>0.36604951377740613</v>
      </c>
      <c r="N28" s="793"/>
      <c r="O28"/>
      <c r="P28"/>
      <c r="Q28"/>
      <c r="R28"/>
      <c r="S28"/>
      <c r="T28"/>
      <c r="U28"/>
      <c r="V28"/>
      <c r="W28"/>
      <c r="X28"/>
      <c r="Y28"/>
      <c r="Z28"/>
      <c r="AA28"/>
      <c r="AB28"/>
      <c r="AC28"/>
      <c r="AD28"/>
      <c r="AE28"/>
      <c r="AF28"/>
    </row>
    <row r="29" spans="1:74" s="87" customFormat="1" ht="15.6">
      <c r="A29" s="87" t="s">
        <v>1006</v>
      </c>
      <c r="B29" s="96"/>
      <c r="D29" s="91"/>
      <c r="F29" s="1183"/>
      <c r="G29" s="793"/>
      <c r="H29" s="1183"/>
      <c r="I29" s="793"/>
      <c r="J29" s="1183"/>
      <c r="K29" s="97"/>
      <c r="L29" s="1210"/>
      <c r="O29"/>
      <c r="P29"/>
      <c r="Q29"/>
      <c r="R29"/>
      <c r="S29"/>
      <c r="T29"/>
      <c r="U29"/>
      <c r="V29"/>
      <c r="W29"/>
      <c r="X29"/>
      <c r="Y29"/>
      <c r="Z29"/>
      <c r="AA29"/>
      <c r="AB29"/>
      <c r="AC29"/>
      <c r="AD29"/>
      <c r="AE29"/>
      <c r="AF29"/>
    </row>
    <row r="30" spans="1:74" s="87" customFormat="1" ht="15.6">
      <c r="A30" s="87" t="s">
        <v>1008</v>
      </c>
      <c r="B30" s="96">
        <v>321</v>
      </c>
      <c r="D30" s="91" t="s">
        <v>1850</v>
      </c>
      <c r="F30" s="1183">
        <v>1.2556404928810137E-2</v>
      </c>
      <c r="G30" s="793"/>
      <c r="H30" s="1183">
        <v>0</v>
      </c>
      <c r="I30" s="793"/>
      <c r="J30" s="1183">
        <v>2.3253347859659951E-3</v>
      </c>
      <c r="K30" s="97"/>
      <c r="L30" s="1208">
        <f t="shared" si="0"/>
        <v>4.9605799049253774E-3</v>
      </c>
      <c r="N30" s="793"/>
      <c r="O30"/>
      <c r="P30"/>
      <c r="Q30"/>
      <c r="R30"/>
      <c r="S30"/>
      <c r="T30"/>
      <c r="U30"/>
      <c r="V30"/>
      <c r="W30"/>
      <c r="X30"/>
      <c r="Y30"/>
      <c r="Z30"/>
      <c r="AA30"/>
      <c r="AB30"/>
      <c r="AC30"/>
      <c r="AD30"/>
      <c r="AE30"/>
      <c r="AF30"/>
    </row>
    <row r="31" spans="1:74" s="87" customFormat="1" ht="15.6">
      <c r="A31" s="87" t="s">
        <v>1010</v>
      </c>
      <c r="D31" s="91"/>
      <c r="F31" s="1183"/>
      <c r="G31" s="793"/>
      <c r="H31" s="1183"/>
      <c r="I31" s="793"/>
      <c r="J31" s="1183"/>
      <c r="K31" s="97"/>
      <c r="L31" s="1210"/>
      <c r="O31"/>
      <c r="P31"/>
      <c r="Q31"/>
      <c r="R31"/>
      <c r="S31"/>
      <c r="T31"/>
      <c r="U31"/>
      <c r="V31"/>
      <c r="W31"/>
      <c r="X31"/>
      <c r="Y31"/>
      <c r="Z31"/>
      <c r="AA31"/>
      <c r="AB31"/>
      <c r="AC31"/>
      <c r="AD31"/>
      <c r="AE31"/>
      <c r="AF31"/>
    </row>
    <row r="32" spans="1:74" s="87" customFormat="1" ht="15.6">
      <c r="A32" s="87" t="s">
        <v>1012</v>
      </c>
      <c r="B32" s="96">
        <v>600</v>
      </c>
      <c r="D32" s="91" t="s">
        <v>981</v>
      </c>
      <c r="F32" s="1183">
        <v>2.2857772474674742E-2</v>
      </c>
      <c r="G32" s="793"/>
      <c r="H32" s="1183">
        <v>0</v>
      </c>
      <c r="I32" s="793"/>
      <c r="J32" s="1183">
        <v>1.2555561152391818E-2</v>
      </c>
      <c r="K32" s="97"/>
      <c r="L32" s="1208">
        <f t="shared" si="0"/>
        <v>1.1804444542355519E-2</v>
      </c>
      <c r="N32" s="793"/>
      <c r="O32"/>
      <c r="P32"/>
      <c r="Q32"/>
      <c r="R32"/>
      <c r="S32"/>
      <c r="T32"/>
      <c r="U32"/>
      <c r="V32"/>
      <c r="W32"/>
      <c r="X32"/>
      <c r="Y32"/>
      <c r="Z32"/>
      <c r="AA32"/>
      <c r="AB32"/>
      <c r="AC32"/>
      <c r="AD32"/>
      <c r="AE32"/>
      <c r="AF32"/>
    </row>
    <row r="33" spans="1:32" s="87" customFormat="1" ht="15.6">
      <c r="B33" s="90"/>
      <c r="C33" s="90"/>
      <c r="D33" s="91"/>
      <c r="F33" s="1185"/>
      <c r="G33" s="793"/>
      <c r="H33" s="1185"/>
      <c r="I33" s="793"/>
      <c r="J33" s="1185"/>
      <c r="K33" s="97"/>
      <c r="L33" s="1211"/>
      <c r="O33"/>
      <c r="P33"/>
      <c r="Q33"/>
      <c r="R33"/>
      <c r="S33"/>
      <c r="T33"/>
      <c r="U33"/>
      <c r="V33"/>
      <c r="W33"/>
      <c r="X33"/>
      <c r="Y33"/>
      <c r="Z33"/>
      <c r="AA33"/>
      <c r="AB33"/>
      <c r="AC33"/>
      <c r="AD33"/>
      <c r="AE33"/>
      <c r="AF33"/>
    </row>
    <row r="34" spans="1:32" s="87" customFormat="1" ht="16.2" thickBot="1">
      <c r="A34" s="98" t="s">
        <v>146</v>
      </c>
      <c r="B34" s="99" t="s">
        <v>768</v>
      </c>
      <c r="C34" s="90"/>
      <c r="D34" s="100" t="s">
        <v>768</v>
      </c>
      <c r="F34" s="1186">
        <v>0</v>
      </c>
      <c r="G34" s="793"/>
      <c r="H34" s="1186">
        <v>0</v>
      </c>
      <c r="I34" s="793"/>
      <c r="J34" s="1186">
        <v>0</v>
      </c>
      <c r="K34" s="97"/>
      <c r="L34" s="1212">
        <f t="shared" si="0"/>
        <v>0</v>
      </c>
      <c r="N34" s="793"/>
      <c r="O34"/>
      <c r="P34"/>
      <c r="Q34"/>
      <c r="R34"/>
      <c r="S34"/>
      <c r="T34"/>
      <c r="U34"/>
      <c r="V34"/>
      <c r="W34"/>
      <c r="X34"/>
      <c r="Y34"/>
      <c r="Z34"/>
      <c r="AA34"/>
      <c r="AB34"/>
      <c r="AC34"/>
      <c r="AD34"/>
      <c r="AE34"/>
      <c r="AF34"/>
    </row>
    <row r="35" spans="1:32" s="87" customFormat="1" ht="15.6">
      <c r="D35" s="91"/>
      <c r="F35" s="101"/>
      <c r="G35" s="101"/>
      <c r="H35" s="101"/>
      <c r="I35" s="97"/>
      <c r="J35" s="101"/>
      <c r="K35" s="97"/>
      <c r="L35" s="322"/>
      <c r="O35"/>
      <c r="P35"/>
      <c r="Q35"/>
      <c r="R35"/>
      <c r="S35"/>
      <c r="T35"/>
      <c r="U35"/>
      <c r="V35"/>
      <c r="W35"/>
      <c r="X35"/>
      <c r="Y35"/>
      <c r="Z35"/>
      <c r="AA35"/>
      <c r="AB35"/>
      <c r="AC35"/>
      <c r="AD35"/>
      <c r="AE35"/>
      <c r="AF35"/>
    </row>
    <row r="36" spans="1:32" s="87" customFormat="1" ht="15.6">
      <c r="D36" s="1187" t="s">
        <v>1851</v>
      </c>
      <c r="E36" s="91"/>
      <c r="F36" s="1182">
        <f>SUM(F14:F34)</f>
        <v>1</v>
      </c>
      <c r="G36" s="101"/>
      <c r="H36" s="1182">
        <f>SUM(H14:H34)</f>
        <v>1</v>
      </c>
      <c r="I36" s="92"/>
      <c r="J36" s="1182">
        <f>SUM(J14:J34)</f>
        <v>0.99999999999999967</v>
      </c>
      <c r="K36" s="92"/>
      <c r="L36" s="1182">
        <f>SUM(L14:L34)</f>
        <v>0.99999999999999978</v>
      </c>
      <c r="N36" s="323"/>
      <c r="O36"/>
      <c r="P36"/>
      <c r="Q36"/>
      <c r="R36"/>
      <c r="S36"/>
      <c r="T36"/>
      <c r="U36"/>
      <c r="V36"/>
      <c r="W36"/>
      <c r="X36"/>
      <c r="Y36"/>
      <c r="Z36"/>
      <c r="AA36"/>
      <c r="AB36"/>
      <c r="AC36"/>
      <c r="AD36"/>
      <c r="AE36"/>
      <c r="AF36"/>
    </row>
    <row r="37" spans="1:32" s="87" customFormat="1" ht="9.75" customHeight="1">
      <c r="F37" s="102"/>
      <c r="G37" s="102"/>
      <c r="H37" s="102"/>
      <c r="J37" s="102"/>
      <c r="O37"/>
      <c r="P37"/>
      <c r="Q37"/>
      <c r="R37"/>
      <c r="S37"/>
      <c r="T37"/>
      <c r="U37"/>
      <c r="V37"/>
      <c r="W37"/>
      <c r="X37"/>
      <c r="Y37"/>
      <c r="Z37"/>
      <c r="AA37"/>
      <c r="AB37"/>
      <c r="AC37"/>
      <c r="AD37"/>
      <c r="AE37"/>
      <c r="AF37"/>
    </row>
    <row r="38" spans="1:32" s="103" customFormat="1" ht="15.6">
      <c r="A38" s="87"/>
      <c r="B38" s="87"/>
      <c r="C38" s="87"/>
      <c r="D38" s="1187" t="s">
        <v>1852</v>
      </c>
      <c r="E38" s="87"/>
      <c r="F38" s="793">
        <f>F36-F28</f>
        <v>0.64899873422006227</v>
      </c>
      <c r="G38" s="102"/>
      <c r="H38" s="793">
        <f>H36-H28</f>
        <v>0.60245695193906812</v>
      </c>
      <c r="I38" s="97"/>
      <c r="J38" s="793">
        <f>J36-J28</f>
        <v>0.65039577250865088</v>
      </c>
      <c r="K38" s="92"/>
      <c r="L38" s="793">
        <f>IF(F$36=0,0,F38/$F$36)/3+IF(H$36=0,0,H38/$H$36)/3+IF(J$36=0,0,J38/$J$36)/3</f>
        <v>0.63395048622259376</v>
      </c>
      <c r="O38"/>
      <c r="P38"/>
      <c r="Q38"/>
      <c r="R38"/>
      <c r="S38"/>
      <c r="T38"/>
      <c r="U38"/>
      <c r="V38"/>
      <c r="W38"/>
      <c r="X38"/>
      <c r="Y38"/>
      <c r="Z38"/>
      <c r="AA38"/>
      <c r="AB38"/>
      <c r="AC38"/>
      <c r="AD38"/>
      <c r="AE38"/>
      <c r="AF38"/>
    </row>
    <row r="39" spans="1:32">
      <c r="A39" s="103"/>
      <c r="B39" s="103"/>
      <c r="C39" s="103"/>
      <c r="D39" s="103"/>
      <c r="E39" s="103"/>
      <c r="F39" s="104"/>
      <c r="G39" s="104"/>
      <c r="H39" s="104"/>
      <c r="I39" s="103"/>
      <c r="J39" s="104"/>
      <c r="K39" s="103"/>
      <c r="L39" s="103"/>
      <c r="O39"/>
      <c r="P39"/>
      <c r="Q39"/>
      <c r="R39"/>
      <c r="S39"/>
      <c r="T39"/>
      <c r="U39"/>
      <c r="V39"/>
      <c r="W39"/>
      <c r="X39"/>
      <c r="Y39"/>
      <c r="Z39"/>
      <c r="AA39"/>
      <c r="AB39"/>
      <c r="AC39"/>
      <c r="AD39"/>
      <c r="AE39"/>
      <c r="AF39"/>
    </row>
    <row r="40" spans="1:32">
      <c r="F40" s="104"/>
      <c r="G40" s="104"/>
      <c r="H40" s="104"/>
      <c r="J40" s="104"/>
      <c r="O40"/>
      <c r="P40"/>
      <c r="Q40"/>
      <c r="R40"/>
      <c r="S40"/>
      <c r="T40"/>
      <c r="U40"/>
      <c r="V40"/>
      <c r="W40"/>
      <c r="X40"/>
      <c r="Y40"/>
      <c r="Z40"/>
      <c r="AA40"/>
      <c r="AB40"/>
      <c r="AC40"/>
      <c r="AD40"/>
      <c r="AE40"/>
      <c r="AF40"/>
    </row>
    <row r="41" spans="1:32">
      <c r="O41"/>
      <c r="P41"/>
      <c r="Q41"/>
      <c r="R41"/>
      <c r="S41"/>
      <c r="T41"/>
      <c r="U41"/>
      <c r="V41"/>
      <c r="W41"/>
      <c r="X41"/>
      <c r="Y41"/>
      <c r="Z41"/>
      <c r="AA41"/>
      <c r="AB41"/>
      <c r="AC41"/>
      <c r="AD41"/>
      <c r="AE41"/>
      <c r="AF41"/>
    </row>
    <row r="42" spans="1:32">
      <c r="O42"/>
      <c r="P42"/>
      <c r="Q42"/>
      <c r="R42"/>
      <c r="S42"/>
      <c r="T42"/>
      <c r="U42"/>
      <c r="V42"/>
      <c r="W42"/>
      <c r="X42"/>
      <c r="Y42"/>
      <c r="Z42"/>
      <c r="AA42"/>
      <c r="AB42"/>
      <c r="AC42"/>
      <c r="AD42"/>
      <c r="AE42"/>
      <c r="AF42"/>
    </row>
    <row r="43" spans="1:32">
      <c r="O43"/>
      <c r="P43"/>
      <c r="Q43"/>
      <c r="R43"/>
      <c r="S43"/>
      <c r="T43"/>
      <c r="U43"/>
      <c r="V43"/>
      <c r="W43"/>
      <c r="X43"/>
      <c r="Y43"/>
      <c r="Z43"/>
      <c r="AA43"/>
      <c r="AB43"/>
      <c r="AC43"/>
      <c r="AD43"/>
      <c r="AE43"/>
      <c r="AF43"/>
    </row>
    <row r="44" spans="1:32">
      <c r="W44"/>
    </row>
    <row r="45" spans="1:32">
      <c r="W45"/>
    </row>
    <row r="46" spans="1:32">
      <c r="W46"/>
    </row>
    <row r="47" spans="1:32">
      <c r="S47" s="1422"/>
      <c r="V47" s="1424"/>
      <c r="W47"/>
    </row>
    <row r="48" spans="1:32">
      <c r="W48"/>
    </row>
    <row r="49" spans="8:23">
      <c r="U49" s="1423"/>
      <c r="W49"/>
    </row>
    <row r="52" spans="8:23">
      <c r="S52" s="1422"/>
    </row>
    <row r="53" spans="8:23">
      <c r="H53" s="1425"/>
    </row>
    <row r="54" spans="8:23">
      <c r="H54" s="1425"/>
    </row>
  </sheetData>
  <customSheetViews>
    <customSheetView guid="{343BF296-013A-41F5-BDAB-AD6220EA7F78}" showPageBreaks="1" fitToPage="1" printArea="1" view="pageBreakPreview" topLeftCell="A9">
      <selection activeCell="D33" sqref="D33"/>
      <pageMargins left="0" right="0" top="0" bottom="0" header="0" footer="0"/>
      <printOptions horizontalCentered="1"/>
      <pageSetup scale="91" orientation="landscape" r:id="rId1"/>
    </customSheetView>
    <customSheetView guid="{B321D76C-CDE5-48BB-9CDE-80FF97D58FCF}" showPageBreaks="1" fitToPage="1" printArea="1" view="pageBreakPreview" topLeftCell="A9">
      <selection activeCell="D33" sqref="D33"/>
      <pageMargins left="0" right="0" top="0" bottom="0" header="0" footer="0"/>
      <printOptions horizontalCentered="1"/>
      <pageSetup scale="92" orientation="landscape" r:id="rId2"/>
    </customSheetView>
  </customSheetViews>
  <mergeCells count="5">
    <mergeCell ref="A5:L5"/>
    <mergeCell ref="A3:L3"/>
    <mergeCell ref="A4:L4"/>
    <mergeCell ref="A7:L7"/>
    <mergeCell ref="A8:L8"/>
  </mergeCells>
  <printOptions horizontalCentered="1"/>
  <pageMargins left="0.2" right="0.2" top="0.25" bottom="0.25" header="0.3" footer="0.3"/>
  <pageSetup scale="92" orientation="landscape" r:id="rId3"/>
  <drawing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tabColor rgb="FFFF66FF"/>
    <pageSetUpPr fitToPage="1"/>
  </sheetPr>
  <dimension ref="A1:L64"/>
  <sheetViews>
    <sheetView view="pageBreakPreview" zoomScale="90" zoomScaleNormal="90" zoomScaleSheetLayoutView="90" workbookViewId="0">
      <selection activeCell="E2" sqref="E2"/>
    </sheetView>
  </sheetViews>
  <sheetFormatPr defaultColWidth="9" defaultRowHeight="12"/>
  <cols>
    <col min="1" max="1" width="8.77734375" style="216" customWidth="1"/>
    <col min="2" max="2" width="3.109375" style="216" customWidth="1"/>
    <col min="3" max="3" width="3.77734375" style="216" customWidth="1"/>
    <col min="4" max="4" width="7" style="216" customWidth="1"/>
    <col min="5" max="5" width="35" style="216" customWidth="1"/>
    <col min="6" max="6" width="9.77734375" style="216" customWidth="1"/>
    <col min="7" max="8" width="13.109375" style="216" customWidth="1"/>
    <col min="9" max="9" width="2.77734375" style="216" customWidth="1"/>
    <col min="10" max="10" width="5" style="216" customWidth="1"/>
    <col min="11" max="11" width="29.109375" style="216" customWidth="1"/>
    <col min="12" max="16384" width="9" style="216"/>
  </cols>
  <sheetData>
    <row r="1" spans="1:12" s="214" customFormat="1" ht="15.6">
      <c r="A1" s="70"/>
      <c r="C1" s="71"/>
      <c r="D1" s="293"/>
      <c r="E1" s="71"/>
      <c r="F1" s="71"/>
      <c r="G1" s="71"/>
      <c r="J1" s="294"/>
    </row>
    <row r="2" spans="1:12" ht="17.399999999999999">
      <c r="B2" s="221"/>
      <c r="C2" s="218"/>
      <c r="D2" s="219"/>
      <c r="E2" s="218"/>
      <c r="F2" s="218"/>
      <c r="G2" s="218"/>
      <c r="H2" s="218"/>
      <c r="I2" s="218"/>
      <c r="J2" s="1264"/>
    </row>
    <row r="3" spans="1:12" ht="17.399999999999999">
      <c r="A3" s="1463" t="s">
        <v>0</v>
      </c>
      <c r="B3" s="1463"/>
      <c r="C3" s="1463"/>
      <c r="D3" s="1463"/>
      <c r="E3" s="1463"/>
      <c r="F3" s="1463"/>
      <c r="G3" s="1463"/>
      <c r="H3" s="1463"/>
      <c r="I3" s="1463"/>
      <c r="J3" s="1463"/>
    </row>
    <row r="4" spans="1:12" ht="17.399999999999999">
      <c r="A4" s="1463" t="s">
        <v>1</v>
      </c>
      <c r="B4" s="1463"/>
      <c r="C4" s="1463"/>
      <c r="D4" s="1463"/>
      <c r="E4" s="1463"/>
      <c r="F4" s="1463"/>
      <c r="G4" s="1463"/>
      <c r="H4" s="1463"/>
      <c r="I4" s="1463"/>
      <c r="J4" s="1463"/>
    </row>
    <row r="5" spans="1:12" ht="17.399999999999999">
      <c r="A5" s="1464" t="str">
        <f>SUMMARY!A7</f>
        <v>YEAR ENDING DECEMBER 31, 2022</v>
      </c>
      <c r="B5" s="1464"/>
      <c r="C5" s="1464"/>
      <c r="D5" s="1464"/>
      <c r="E5" s="1464"/>
      <c r="F5" s="1464"/>
      <c r="G5" s="1464"/>
      <c r="H5" s="1464"/>
      <c r="I5" s="1464"/>
      <c r="J5" s="1464"/>
    </row>
    <row r="6" spans="1:12" ht="17.399999999999999">
      <c r="A6" s="218"/>
      <c r="C6" s="218"/>
      <c r="D6" s="223"/>
      <c r="E6" s="218"/>
      <c r="F6" s="218"/>
      <c r="G6" s="218"/>
      <c r="H6" s="218"/>
      <c r="I6" s="218"/>
      <c r="J6" s="218"/>
    </row>
    <row r="7" spans="1:12" ht="17.399999999999999">
      <c r="A7" s="1463" t="s">
        <v>1853</v>
      </c>
      <c r="B7" s="1463"/>
      <c r="C7" s="1463"/>
      <c r="D7" s="1463"/>
      <c r="E7" s="1463"/>
      <c r="F7" s="1463"/>
      <c r="G7" s="1463"/>
      <c r="H7" s="1463"/>
      <c r="I7" s="1463"/>
      <c r="J7" s="1463"/>
    </row>
    <row r="8" spans="1:12" ht="17.100000000000001" customHeight="1">
      <c r="A8" s="1527" t="s">
        <v>1854</v>
      </c>
      <c r="B8" s="1527"/>
      <c r="C8" s="1527"/>
      <c r="D8" s="1527"/>
      <c r="E8" s="1527"/>
      <c r="F8" s="1527"/>
      <c r="G8" s="1527"/>
      <c r="H8" s="1527"/>
      <c r="I8" s="1527"/>
      <c r="J8" s="1527"/>
    </row>
    <row r="9" spans="1:12" s="295" customFormat="1" ht="15.6">
      <c r="A9" s="1528" t="s">
        <v>1855</v>
      </c>
      <c r="B9" s="1528"/>
      <c r="C9" s="1528"/>
      <c r="D9" s="1528"/>
      <c r="E9" s="1528"/>
      <c r="F9" s="1528"/>
      <c r="G9" s="1528"/>
      <c r="H9" s="1528"/>
      <c r="I9" s="1528"/>
      <c r="J9" s="1528"/>
    </row>
    <row r="10" spans="1:12" s="295" customFormat="1" ht="15.6">
      <c r="B10" s="296"/>
      <c r="D10" s="297"/>
      <c r="E10" s="298"/>
      <c r="F10" s="298"/>
      <c r="H10" s="299"/>
    </row>
    <row r="11" spans="1:12" s="295" customFormat="1" ht="13.35" customHeight="1">
      <c r="D11" s="297"/>
      <c r="E11" s="78"/>
      <c r="F11" s="298"/>
      <c r="G11" s="78"/>
      <c r="H11" s="78"/>
    </row>
    <row r="12" spans="1:12" s="295" customFormat="1" ht="15.6">
      <c r="B12" s="300"/>
      <c r="C12" s="246"/>
      <c r="D12" s="1281"/>
      <c r="E12" s="301"/>
      <c r="F12" s="301"/>
      <c r="G12" s="1266" t="s">
        <v>691</v>
      </c>
      <c r="H12" s="1266" t="s">
        <v>691</v>
      </c>
    </row>
    <row r="13" spans="1:12" s="295" customFormat="1" ht="15.6">
      <c r="B13" s="1526" t="s">
        <v>22</v>
      </c>
      <c r="C13" s="1526"/>
      <c r="D13" s="1526"/>
      <c r="E13" s="1526"/>
      <c r="F13" s="246"/>
      <c r="G13" s="302" t="s">
        <v>1330</v>
      </c>
      <c r="H13" s="302" t="s">
        <v>1238</v>
      </c>
    </row>
    <row r="14" spans="1:12" s="295" customFormat="1" ht="13.35" customHeight="1">
      <c r="B14" s="1524" t="s">
        <v>8</v>
      </c>
      <c r="C14" s="1525"/>
      <c r="D14" s="1525"/>
      <c r="E14" s="1525"/>
      <c r="F14" s="303"/>
      <c r="G14" s="304" t="s">
        <v>9</v>
      </c>
      <c r="H14" s="304" t="s">
        <v>359</v>
      </c>
      <c r="K14" s="305"/>
      <c r="L14" s="305"/>
    </row>
    <row r="15" spans="1:12" s="73" customFormat="1" ht="13.2"/>
    <row r="16" spans="1:12" s="73" customFormat="1" ht="13.2">
      <c r="A16" s="261">
        <v>1</v>
      </c>
      <c r="C16" s="306" t="s">
        <v>1856</v>
      </c>
    </row>
    <row r="17" spans="1:8" s="73" customFormat="1" ht="13.2">
      <c r="A17" s="307" t="s">
        <v>167</v>
      </c>
      <c r="D17" s="73" t="s">
        <v>1857</v>
      </c>
      <c r="G17" s="308">
        <v>2660</v>
      </c>
      <c r="H17" s="308">
        <v>1697</v>
      </c>
    </row>
    <row r="18" spans="1:8" s="73" customFormat="1" ht="13.2">
      <c r="A18" s="307" t="s">
        <v>171</v>
      </c>
      <c r="D18" s="73" t="s">
        <v>1858</v>
      </c>
      <c r="G18" s="308">
        <v>594</v>
      </c>
      <c r="H18" s="308">
        <v>328</v>
      </c>
    </row>
    <row r="19" spans="1:8" s="73" customFormat="1" ht="13.2">
      <c r="A19" s="307" t="s">
        <v>174</v>
      </c>
      <c r="D19" s="73" t="s">
        <v>1859</v>
      </c>
      <c r="G19" s="308">
        <v>719</v>
      </c>
      <c r="H19" s="308">
        <v>688</v>
      </c>
    </row>
    <row r="20" spans="1:8" s="73" customFormat="1" ht="13.2">
      <c r="A20" s="307" t="s">
        <v>177</v>
      </c>
      <c r="D20" s="73" t="s">
        <v>1758</v>
      </c>
      <c r="G20" s="308">
        <v>34</v>
      </c>
      <c r="H20" s="308">
        <v>28</v>
      </c>
    </row>
    <row r="21" spans="1:8" s="73" customFormat="1" ht="13.2">
      <c r="A21" s="1171" t="s">
        <v>146</v>
      </c>
      <c r="D21" s="309" t="s">
        <v>768</v>
      </c>
      <c r="E21" s="310"/>
      <c r="G21" s="308">
        <v>0</v>
      </c>
      <c r="H21" s="308">
        <v>0</v>
      </c>
    </row>
    <row r="22" spans="1:8" s="73" customFormat="1" ht="13.2">
      <c r="A22" s="261">
        <v>2</v>
      </c>
      <c r="C22" s="306" t="s">
        <v>1860</v>
      </c>
      <c r="G22" s="311">
        <f>SUM(G17:G21)</f>
        <v>4007</v>
      </c>
      <c r="H22" s="311">
        <f>SUM(H17:H21)</f>
        <v>2741</v>
      </c>
    </row>
    <row r="23" spans="1:8" s="73" customFormat="1" ht="13.2">
      <c r="G23" s="312"/>
      <c r="H23" s="312"/>
    </row>
    <row r="24" spans="1:8" s="73" customFormat="1" ht="13.2">
      <c r="A24" s="261">
        <v>3</v>
      </c>
      <c r="C24" s="306" t="s">
        <v>1861</v>
      </c>
      <c r="G24" s="313"/>
      <c r="H24" s="313"/>
    </row>
    <row r="25" spans="1:8" s="73" customFormat="1" ht="13.2">
      <c r="A25" s="73" t="s">
        <v>183</v>
      </c>
      <c r="D25" s="73" t="s">
        <v>1862</v>
      </c>
      <c r="G25" s="308">
        <v>839</v>
      </c>
      <c r="H25" s="308">
        <v>539</v>
      </c>
    </row>
    <row r="26" spans="1:8" s="73" customFormat="1" ht="13.2">
      <c r="A26" s="73" t="s">
        <v>185</v>
      </c>
      <c r="D26" s="73" t="s">
        <v>1863</v>
      </c>
      <c r="G26" s="308">
        <v>470</v>
      </c>
      <c r="H26" s="308">
        <v>190</v>
      </c>
    </row>
    <row r="27" spans="1:8" s="73" customFormat="1" ht="13.2">
      <c r="A27" s="73" t="s">
        <v>188</v>
      </c>
      <c r="D27" s="73" t="s">
        <v>1864</v>
      </c>
      <c r="G27" s="308">
        <v>1304</v>
      </c>
      <c r="H27" s="308">
        <v>849</v>
      </c>
    </row>
    <row r="28" spans="1:8" s="73" customFormat="1" ht="13.2">
      <c r="A28" s="73" t="s">
        <v>191</v>
      </c>
      <c r="D28" s="73" t="s">
        <v>835</v>
      </c>
      <c r="G28" s="308">
        <v>599</v>
      </c>
      <c r="H28" s="308">
        <v>572</v>
      </c>
    </row>
    <row r="29" spans="1:8" s="73" customFormat="1" ht="13.2">
      <c r="A29" s="73" t="s">
        <v>194</v>
      </c>
      <c r="D29" s="73" t="s">
        <v>860</v>
      </c>
      <c r="G29" s="308">
        <v>157</v>
      </c>
      <c r="H29" s="308">
        <v>171</v>
      </c>
    </row>
    <row r="30" spans="1:8" s="73" customFormat="1" ht="13.2">
      <c r="A30" s="73" t="s">
        <v>197</v>
      </c>
      <c r="D30" s="73" t="s">
        <v>305</v>
      </c>
      <c r="G30" s="308">
        <v>411</v>
      </c>
      <c r="H30" s="308">
        <v>281</v>
      </c>
    </row>
    <row r="31" spans="1:8" s="73" customFormat="1" ht="13.2">
      <c r="A31" s="73" t="s">
        <v>322</v>
      </c>
      <c r="D31" s="1172" t="s">
        <v>1865</v>
      </c>
      <c r="G31" s="308">
        <v>0</v>
      </c>
      <c r="H31" s="308">
        <v>0</v>
      </c>
    </row>
    <row r="32" spans="1:8" s="73" customFormat="1" ht="13.2">
      <c r="A32" s="1171" t="s">
        <v>146</v>
      </c>
      <c r="D32" s="309" t="s">
        <v>768</v>
      </c>
      <c r="E32" s="310"/>
      <c r="G32" s="308">
        <v>0</v>
      </c>
      <c r="H32" s="308">
        <v>0</v>
      </c>
    </row>
    <row r="33" spans="1:8" s="73" customFormat="1" ht="13.2">
      <c r="A33" s="261">
        <v>4</v>
      </c>
      <c r="C33" s="306" t="s">
        <v>1866</v>
      </c>
      <c r="G33" s="311">
        <f>SUM(G25:G32)</f>
        <v>3780</v>
      </c>
      <c r="H33" s="311">
        <f>SUM(H25:H32)</f>
        <v>2602</v>
      </c>
    </row>
    <row r="34" spans="1:8" s="73" customFormat="1" ht="13.2">
      <c r="G34" s="312"/>
      <c r="H34" s="312"/>
    </row>
    <row r="35" spans="1:8" s="73" customFormat="1" ht="16.2" thickBot="1">
      <c r="A35" s="261">
        <v>5</v>
      </c>
      <c r="C35" s="70" t="s">
        <v>1867</v>
      </c>
      <c r="D35" s="306"/>
      <c r="E35" s="306"/>
      <c r="F35" s="306"/>
      <c r="G35" s="314">
        <f>G22-G33</f>
        <v>227</v>
      </c>
      <c r="H35" s="314">
        <f>H22-H33</f>
        <v>139</v>
      </c>
    </row>
    <row r="36" spans="1:8" s="73" customFormat="1" ht="13.8" thickTop="1">
      <c r="G36" s="312"/>
      <c r="H36" s="312"/>
    </row>
    <row r="37" spans="1:8" s="73" customFormat="1" ht="13.2">
      <c r="A37" s="261">
        <v>6</v>
      </c>
      <c r="C37" s="306" t="s">
        <v>1868</v>
      </c>
      <c r="G37" s="312"/>
      <c r="H37" s="312"/>
    </row>
    <row r="38" spans="1:8" s="73" customFormat="1" ht="13.2">
      <c r="A38" s="73" t="s">
        <v>124</v>
      </c>
      <c r="D38" s="73" t="s">
        <v>1869</v>
      </c>
      <c r="G38" s="308">
        <v>10</v>
      </c>
      <c r="H38" s="308">
        <v>12</v>
      </c>
    </row>
    <row r="39" spans="1:8" s="73" customFormat="1" ht="13.2">
      <c r="A39" s="73" t="s">
        <v>207</v>
      </c>
      <c r="D39" s="73" t="s">
        <v>1758</v>
      </c>
      <c r="G39" s="308">
        <v>-21</v>
      </c>
      <c r="H39" s="308">
        <v>5</v>
      </c>
    </row>
    <row r="40" spans="1:8" s="73" customFormat="1" ht="13.2">
      <c r="A40" s="307" t="s">
        <v>146</v>
      </c>
      <c r="D40" s="309" t="s">
        <v>768</v>
      </c>
      <c r="E40" s="310"/>
      <c r="G40" s="308">
        <v>0</v>
      </c>
      <c r="H40" s="308">
        <v>0</v>
      </c>
    </row>
    <row r="41" spans="1:8" s="73" customFormat="1" ht="13.2">
      <c r="A41" s="261">
        <v>7</v>
      </c>
      <c r="D41" s="306" t="s">
        <v>1870</v>
      </c>
      <c r="G41" s="311">
        <f>SUM(G38:G40)</f>
        <v>-11</v>
      </c>
      <c r="H41" s="311">
        <f>SUM(H38:H40)</f>
        <v>17</v>
      </c>
    </row>
    <row r="42" spans="1:8" s="73" customFormat="1" ht="13.2">
      <c r="A42" s="307"/>
      <c r="G42" s="312"/>
      <c r="H42" s="312"/>
    </row>
    <row r="43" spans="1:8" s="73" customFormat="1" ht="13.2">
      <c r="A43" s="261">
        <v>8</v>
      </c>
      <c r="C43" s="306" t="s">
        <v>1871</v>
      </c>
      <c r="G43" s="312"/>
      <c r="H43" s="312"/>
    </row>
    <row r="44" spans="1:8" s="73" customFormat="1" ht="13.2">
      <c r="A44" s="307" t="s">
        <v>1257</v>
      </c>
      <c r="D44" s="73" t="s">
        <v>796</v>
      </c>
      <c r="G44" s="315">
        <v>0</v>
      </c>
      <c r="H44" s="315">
        <v>0</v>
      </c>
    </row>
    <row r="45" spans="1:8" s="73" customFormat="1" ht="13.2">
      <c r="A45" s="307" t="s">
        <v>1258</v>
      </c>
      <c r="D45" s="73" t="s">
        <v>1872</v>
      </c>
      <c r="G45" s="315">
        <v>89</v>
      </c>
      <c r="H45" s="315">
        <v>52</v>
      </c>
    </row>
    <row r="46" spans="1:8" s="73" customFormat="1" ht="13.2">
      <c r="A46" s="307" t="s">
        <v>1259</v>
      </c>
      <c r="D46" s="73" t="s">
        <v>1873</v>
      </c>
      <c r="G46" s="315">
        <v>53</v>
      </c>
      <c r="H46" s="315">
        <v>59</v>
      </c>
    </row>
    <row r="47" spans="1:8" s="73" customFormat="1" ht="13.2">
      <c r="A47" s="307" t="s">
        <v>1260</v>
      </c>
      <c r="D47" s="73" t="s">
        <v>1874</v>
      </c>
      <c r="G47" s="315">
        <v>-54</v>
      </c>
      <c r="H47" s="315">
        <v>-26</v>
      </c>
    </row>
    <row r="48" spans="1:8" s="73" customFormat="1" ht="13.2">
      <c r="A48" s="307" t="s">
        <v>1261</v>
      </c>
      <c r="D48" s="73" t="s">
        <v>1875</v>
      </c>
      <c r="G48" s="315">
        <v>-2</v>
      </c>
      <c r="H48" s="315">
        <v>-1</v>
      </c>
    </row>
    <row r="49" spans="1:9" s="73" customFormat="1" ht="13.2">
      <c r="A49" s="307" t="s">
        <v>1392</v>
      </c>
      <c r="D49" s="73" t="s">
        <v>1876</v>
      </c>
      <c r="G49" s="315">
        <v>0</v>
      </c>
      <c r="H49" s="315">
        <v>0</v>
      </c>
    </row>
    <row r="50" spans="1:9" s="73" customFormat="1" ht="13.2">
      <c r="A50" s="307" t="s">
        <v>146</v>
      </c>
      <c r="D50" s="309" t="s">
        <v>768</v>
      </c>
      <c r="E50" s="310"/>
      <c r="G50" s="315">
        <v>0</v>
      </c>
      <c r="H50" s="315">
        <v>0</v>
      </c>
    </row>
    <row r="51" spans="1:9" s="73" customFormat="1" ht="13.2">
      <c r="A51" s="261">
        <v>9</v>
      </c>
      <c r="D51" s="306" t="s">
        <v>1870</v>
      </c>
      <c r="G51" s="311">
        <f>SUM(G44:G50)</f>
        <v>86</v>
      </c>
      <c r="H51" s="311">
        <f>SUM(H44:H50)</f>
        <v>84</v>
      </c>
    </row>
    <row r="52" spans="1:9" s="73" customFormat="1" ht="13.2">
      <c r="A52" s="307"/>
      <c r="G52" s="312"/>
      <c r="H52" s="312"/>
    </row>
    <row r="53" spans="1:9" s="73" customFormat="1" ht="16.2" thickBot="1">
      <c r="A53" s="261">
        <v>10</v>
      </c>
      <c r="C53" s="70" t="s">
        <v>1877</v>
      </c>
      <c r="D53" s="306"/>
      <c r="E53" s="306"/>
      <c r="F53" s="306"/>
      <c r="G53" s="314">
        <f>G35+G41-G51</f>
        <v>130</v>
      </c>
      <c r="H53" s="314">
        <f>H35+H41-H51</f>
        <v>72</v>
      </c>
    </row>
    <row r="54" spans="1:9" s="73" customFormat="1" ht="13.8" thickTop="1">
      <c r="A54" s="307"/>
      <c r="G54" s="312"/>
      <c r="H54" s="312"/>
    </row>
    <row r="55" spans="1:9" s="73" customFormat="1" ht="13.2">
      <c r="A55" s="261">
        <v>11</v>
      </c>
      <c r="D55" s="73" t="s">
        <v>1878</v>
      </c>
      <c r="G55" s="315">
        <v>0</v>
      </c>
      <c r="H55" s="315">
        <v>0</v>
      </c>
    </row>
    <row r="56" spans="1:9" s="73" customFormat="1" ht="13.2">
      <c r="A56" s="261" t="s">
        <v>146</v>
      </c>
      <c r="D56" s="309" t="s">
        <v>768</v>
      </c>
      <c r="E56" s="310"/>
      <c r="G56" s="315">
        <v>0</v>
      </c>
      <c r="H56" s="315"/>
    </row>
    <row r="57" spans="1:9" s="73" customFormat="1" ht="13.2">
      <c r="A57" s="261"/>
      <c r="G57" s="317">
        <f>SUM(G55:G56)</f>
        <v>0</v>
      </c>
      <c r="H57" s="317">
        <f>SUM(H55:H56)</f>
        <v>0</v>
      </c>
      <c r="I57" s="318"/>
    </row>
    <row r="58" spans="1:9" s="73" customFormat="1" ht="13.2">
      <c r="A58" s="261"/>
      <c r="G58" s="312"/>
      <c r="H58" s="312"/>
      <c r="I58" s="318"/>
    </row>
    <row r="59" spans="1:9" s="73" customFormat="1" ht="13.2">
      <c r="A59" s="261">
        <v>13</v>
      </c>
      <c r="D59" s="73" t="s">
        <v>1879</v>
      </c>
      <c r="G59" s="319">
        <f>+G57+G53</f>
        <v>130</v>
      </c>
      <c r="H59" s="319">
        <f>+H57+H53</f>
        <v>72</v>
      </c>
    </row>
    <row r="60" spans="1:9" s="73" customFormat="1" ht="13.2">
      <c r="A60" s="261"/>
      <c r="G60" s="319"/>
      <c r="H60" s="319"/>
    </row>
    <row r="61" spans="1:9" s="73" customFormat="1" ht="13.2">
      <c r="A61" s="261">
        <v>14</v>
      </c>
      <c r="D61" s="73" t="s">
        <v>1880</v>
      </c>
      <c r="G61" s="316">
        <v>4815</v>
      </c>
      <c r="H61" s="316">
        <v>4743</v>
      </c>
    </row>
    <row r="62" spans="1:9" s="73" customFormat="1" ht="13.2">
      <c r="A62" s="261"/>
      <c r="G62" s="319"/>
      <c r="H62" s="319"/>
    </row>
    <row r="63" spans="1:9" s="73" customFormat="1" ht="13.8" thickBot="1">
      <c r="A63" s="261">
        <v>15</v>
      </c>
      <c r="D63" s="73" t="s">
        <v>1881</v>
      </c>
      <c r="G63" s="320">
        <f>+G61+G59</f>
        <v>4945</v>
      </c>
      <c r="H63" s="320">
        <f>+H61+H59</f>
        <v>4815</v>
      </c>
    </row>
    <row r="64" spans="1:9">
      <c r="A64" s="244"/>
    </row>
  </sheetData>
  <customSheetViews>
    <customSheetView guid="{343BF296-013A-41F5-BDAB-AD6220EA7F78}" showPageBreaks="1" fitToPage="1" printArea="1" view="pageBreakPreview">
      <selection activeCell="D33" sqref="D33"/>
      <pageMargins left="0" right="0" top="0" bottom="0" header="0" footer="0"/>
      <printOptions horizontalCentered="1"/>
      <pageSetup scale="85" orientation="portrait" r:id="rId1"/>
    </customSheetView>
    <customSheetView guid="{B321D76C-CDE5-48BB-9CDE-80FF97D58FCF}" showPageBreaks="1" fitToPage="1" printArea="1" view="pageBreakPreview">
      <selection activeCell="D33" sqref="D33"/>
      <pageMargins left="0" right="0" top="0" bottom="0" header="0" footer="0"/>
      <printOptions horizontalCentered="1"/>
      <pageSetup scale="83" orientation="portrait" r:id="rId2"/>
    </customSheetView>
  </customSheetViews>
  <mergeCells count="8">
    <mergeCell ref="B14:E14"/>
    <mergeCell ref="B13:E13"/>
    <mergeCell ref="A3:J3"/>
    <mergeCell ref="A4:J4"/>
    <mergeCell ref="A5:J5"/>
    <mergeCell ref="A7:J7"/>
    <mergeCell ref="A8:J8"/>
    <mergeCell ref="A9:J9"/>
  </mergeCells>
  <printOptions horizontalCentered="1"/>
  <pageMargins left="0.2" right="0.2" top="0.25" bottom="0.25" header="0.3" footer="0.3"/>
  <pageSetup scale="80" orientation="portrait" r:id="rId3"/>
  <drawing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tabColor rgb="FFFF66FF"/>
  </sheetPr>
  <dimension ref="A1:L136"/>
  <sheetViews>
    <sheetView view="pageBreakPreview" zoomScale="90" zoomScaleNormal="115" zoomScaleSheetLayoutView="90" zoomScalePageLayoutView="110" workbookViewId="0">
      <selection activeCell="K116" sqref="K116"/>
    </sheetView>
  </sheetViews>
  <sheetFormatPr defaultColWidth="7" defaultRowHeight="15.6"/>
  <cols>
    <col min="1" max="1" width="9.33203125" style="247" bestFit="1" customWidth="1"/>
    <col min="2" max="2" width="49.77734375" style="252" customWidth="1"/>
    <col min="3" max="3" width="6.109375" style="251" customWidth="1"/>
    <col min="4" max="5" width="18.77734375" style="251" customWidth="1"/>
    <col min="6" max="6" width="1.109375" style="251" customWidth="1"/>
    <col min="7" max="7" width="6.77734375" style="251" customWidth="1"/>
    <col min="8" max="10" width="7" style="251"/>
    <col min="11" max="11" width="29.109375" style="251" customWidth="1"/>
    <col min="12" max="16384" width="7" style="251"/>
  </cols>
  <sheetData>
    <row r="1" spans="1:10" s="214" customFormat="1">
      <c r="A1" s="124"/>
      <c r="B1" s="213"/>
      <c r="C1" s="71"/>
      <c r="G1" s="72"/>
    </row>
    <row r="2" spans="1:10" s="216" customFormat="1" ht="18">
      <c r="A2" s="244"/>
      <c r="B2" s="217"/>
      <c r="C2" s="218"/>
      <c r="D2" s="219"/>
      <c r="E2" s="218"/>
      <c r="F2" s="218"/>
      <c r="G2" s="218"/>
    </row>
    <row r="3" spans="1:10" s="216" customFormat="1" ht="18">
      <c r="A3" s="244"/>
      <c r="B3" s="217"/>
      <c r="C3" s="218"/>
      <c r="D3" s="219"/>
      <c r="E3" s="218"/>
      <c r="F3" s="218"/>
      <c r="G3" s="218"/>
    </row>
    <row r="4" spans="1:10" s="216" customFormat="1" ht="17.399999999999999">
      <c r="A4" s="1463" t="s">
        <v>0</v>
      </c>
      <c r="B4" s="1463"/>
      <c r="C4" s="1463"/>
      <c r="D4" s="1463"/>
      <c r="E4" s="1463"/>
      <c r="F4" s="1463"/>
      <c r="G4" s="1463"/>
    </row>
    <row r="5" spans="1:10" s="216" customFormat="1" ht="17.399999999999999">
      <c r="A5" s="1463" t="s">
        <v>1</v>
      </c>
      <c r="B5" s="1463"/>
      <c r="C5" s="1463"/>
      <c r="D5" s="1463"/>
      <c r="E5" s="1463"/>
      <c r="F5" s="1463"/>
      <c r="G5" s="1463"/>
    </row>
    <row r="6" spans="1:10" s="216" customFormat="1" ht="17.399999999999999">
      <c r="A6" s="1464" t="str">
        <f>SUMMARY!A7</f>
        <v>YEAR ENDING DECEMBER 31, 2022</v>
      </c>
      <c r="B6" s="1464"/>
      <c r="C6" s="1464"/>
      <c r="D6" s="1464"/>
      <c r="E6" s="1464"/>
      <c r="F6" s="1464"/>
      <c r="G6" s="1464"/>
    </row>
    <row r="7" spans="1:10" s="216" customFormat="1" ht="12" customHeight="1">
      <c r="A7" s="245"/>
      <c r="B7" s="222"/>
      <c r="C7" s="218"/>
      <c r="D7" s="223"/>
      <c r="E7" s="218"/>
      <c r="F7" s="218"/>
      <c r="G7" s="218"/>
    </row>
    <row r="8" spans="1:10" s="216" customFormat="1" ht="17.399999999999999">
      <c r="A8" s="1463" t="s">
        <v>1882</v>
      </c>
      <c r="B8" s="1463"/>
      <c r="C8" s="1463"/>
      <c r="D8" s="1463"/>
      <c r="E8" s="1463"/>
      <c r="F8" s="1463"/>
      <c r="G8" s="1463"/>
    </row>
    <row r="9" spans="1:10" s="216" customFormat="1" ht="17.399999999999999">
      <c r="A9" s="1463" t="s">
        <v>100</v>
      </c>
      <c r="B9" s="1463"/>
      <c r="C9" s="1463"/>
      <c r="D9" s="1463"/>
      <c r="E9" s="1463"/>
      <c r="F9" s="1463"/>
      <c r="G9" s="1463"/>
    </row>
    <row r="10" spans="1:10" s="216" customFormat="1">
      <c r="A10" s="1528" t="s">
        <v>1855</v>
      </c>
      <c r="B10" s="1528"/>
      <c r="C10" s="1528"/>
      <c r="D10" s="1528"/>
      <c r="E10" s="1528"/>
      <c r="F10" s="1528"/>
      <c r="G10" s="1528"/>
      <c r="H10" s="246"/>
      <c r="I10" s="246"/>
      <c r="J10" s="246"/>
    </row>
    <row r="11" spans="1:10" ht="12.6" customHeight="1">
      <c r="B11" s="248"/>
      <c r="C11" s="249"/>
      <c r="D11" s="250"/>
      <c r="E11" s="249"/>
      <c r="F11" s="249"/>
    </row>
    <row r="12" spans="1:10" ht="13.35" customHeight="1"/>
    <row r="13" spans="1:10" ht="13.35" customHeight="1">
      <c r="C13" s="252"/>
      <c r="D13" s="253"/>
      <c r="E13" s="252"/>
    </row>
    <row r="14" spans="1:10" ht="13.35" customHeight="1">
      <c r="B14" s="254" t="s">
        <v>567</v>
      </c>
      <c r="C14" s="255" t="s">
        <v>596</v>
      </c>
      <c r="D14" s="256" t="s">
        <v>1883</v>
      </c>
      <c r="E14" s="256" t="s">
        <v>1884</v>
      </c>
      <c r="F14" s="257"/>
    </row>
    <row r="15" spans="1:10" ht="18.75" customHeight="1">
      <c r="B15" s="170" t="s">
        <v>8</v>
      </c>
      <c r="C15" s="258"/>
      <c r="D15" s="259" t="s">
        <v>9</v>
      </c>
      <c r="E15" s="259" t="s">
        <v>359</v>
      </c>
      <c r="F15" s="249"/>
    </row>
    <row r="16" spans="1:10">
      <c r="A16" s="260">
        <v>1</v>
      </c>
      <c r="B16" s="261" t="s">
        <v>1885</v>
      </c>
      <c r="D16" s="262"/>
      <c r="E16" s="262"/>
      <c r="F16" s="262"/>
    </row>
    <row r="17" spans="1:6">
      <c r="A17" s="247" t="s">
        <v>167</v>
      </c>
      <c r="B17" s="73" t="s">
        <v>1886</v>
      </c>
      <c r="D17" s="263"/>
      <c r="E17" s="263"/>
      <c r="F17" s="252"/>
    </row>
    <row r="18" spans="1:6">
      <c r="A18" s="247" t="s">
        <v>171</v>
      </c>
      <c r="B18" s="264" t="s">
        <v>1887</v>
      </c>
      <c r="D18" s="265">
        <v>296</v>
      </c>
      <c r="E18" s="265">
        <v>533.27004346000001</v>
      </c>
      <c r="F18" s="252"/>
    </row>
    <row r="19" spans="1:6">
      <c r="A19" s="247" t="s">
        <v>174</v>
      </c>
      <c r="B19" s="264" t="s">
        <v>1888</v>
      </c>
      <c r="D19" s="265">
        <v>930</v>
      </c>
      <c r="E19" s="265">
        <v>766.12159506000012</v>
      </c>
      <c r="F19" s="252"/>
    </row>
    <row r="20" spans="1:6">
      <c r="A20" s="247" t="s">
        <v>177</v>
      </c>
      <c r="B20" s="264" t="s">
        <v>1889</v>
      </c>
      <c r="D20" s="265">
        <v>0</v>
      </c>
      <c r="E20" s="265">
        <v>0</v>
      </c>
      <c r="F20" s="252"/>
    </row>
    <row r="21" spans="1:6">
      <c r="A21" s="247" t="s">
        <v>237</v>
      </c>
      <c r="B21" s="264" t="s">
        <v>1890</v>
      </c>
      <c r="D21" s="265">
        <v>383</v>
      </c>
      <c r="E21" s="265">
        <v>253.35066915000002</v>
      </c>
      <c r="F21" s="266"/>
    </row>
    <row r="22" spans="1:6">
      <c r="A22" s="247" t="s">
        <v>241</v>
      </c>
      <c r="B22" s="264" t="s">
        <v>1891</v>
      </c>
      <c r="D22" s="265">
        <v>0</v>
      </c>
      <c r="E22" s="265"/>
      <c r="F22" s="267"/>
    </row>
    <row r="23" spans="1:6">
      <c r="A23" s="247" t="s">
        <v>246</v>
      </c>
      <c r="B23" s="268" t="s">
        <v>1892</v>
      </c>
      <c r="D23" s="265">
        <v>74</v>
      </c>
      <c r="E23" s="265">
        <v>85.400309730000004</v>
      </c>
      <c r="F23" s="267"/>
    </row>
    <row r="24" spans="1:6">
      <c r="A24" s="247" t="s">
        <v>249</v>
      </c>
      <c r="B24" s="268" t="s">
        <v>1893</v>
      </c>
      <c r="D24" s="265">
        <v>48</v>
      </c>
      <c r="E24" s="265">
        <v>26.651688019999998</v>
      </c>
      <c r="F24" s="267"/>
    </row>
    <row r="25" spans="1:6">
      <c r="A25" s="251" t="s">
        <v>253</v>
      </c>
      <c r="B25" s="264" t="s">
        <v>1894</v>
      </c>
      <c r="D25" s="265">
        <v>175</v>
      </c>
      <c r="E25" s="265">
        <v>265.47374833999999</v>
      </c>
      <c r="F25" s="267"/>
    </row>
    <row r="26" spans="1:6">
      <c r="A26" s="1173" t="s">
        <v>146</v>
      </c>
      <c r="B26" s="274" t="s">
        <v>768</v>
      </c>
      <c r="D26" s="265">
        <v>0</v>
      </c>
      <c r="E26" s="265">
        <v>0</v>
      </c>
      <c r="F26" s="267"/>
    </row>
    <row r="27" spans="1:6">
      <c r="B27" s="269"/>
      <c r="D27" s="270"/>
      <c r="E27" s="270"/>
      <c r="F27" s="252"/>
    </row>
    <row r="28" spans="1:6">
      <c r="A28" s="260">
        <v>2</v>
      </c>
      <c r="B28" s="271" t="s">
        <v>1895</v>
      </c>
      <c r="D28" s="272">
        <f>SUM(D18:D26)</f>
        <v>1906</v>
      </c>
      <c r="E28" s="272">
        <f>SUM(E18:E26)</f>
        <v>1930.2680537599997</v>
      </c>
      <c r="F28" s="266"/>
    </row>
    <row r="29" spans="1:6">
      <c r="B29" s="269"/>
      <c r="D29" s="270"/>
      <c r="E29" s="270"/>
      <c r="F29" s="252"/>
    </row>
    <row r="30" spans="1:6">
      <c r="A30" s="260">
        <v>3</v>
      </c>
      <c r="B30" s="273" t="s">
        <v>1896</v>
      </c>
      <c r="D30" s="270"/>
      <c r="E30" s="270"/>
      <c r="F30" s="266"/>
    </row>
    <row r="31" spans="1:6">
      <c r="A31" s="247" t="s">
        <v>183</v>
      </c>
      <c r="B31" s="264" t="s">
        <v>1897</v>
      </c>
      <c r="D31" s="270"/>
      <c r="E31" s="270"/>
      <c r="F31" s="266"/>
    </row>
    <row r="32" spans="1:6">
      <c r="A32" s="247" t="s">
        <v>185</v>
      </c>
      <c r="B32" s="268" t="s">
        <v>1887</v>
      </c>
      <c r="D32" s="265">
        <v>8</v>
      </c>
      <c r="E32" s="265">
        <v>58.310344530000002</v>
      </c>
      <c r="F32" s="266"/>
    </row>
    <row r="33" spans="1:6">
      <c r="A33" s="247" t="s">
        <v>188</v>
      </c>
      <c r="B33" s="268" t="s">
        <v>1888</v>
      </c>
      <c r="D33" s="265">
        <v>14</v>
      </c>
      <c r="E33" s="265">
        <v>14.856198990000001</v>
      </c>
      <c r="F33" s="267"/>
    </row>
    <row r="34" spans="1:6">
      <c r="A34" s="1173" t="s">
        <v>146</v>
      </c>
      <c r="B34" s="274" t="s">
        <v>768</v>
      </c>
      <c r="D34" s="265">
        <v>0</v>
      </c>
      <c r="E34" s="265">
        <v>0</v>
      </c>
      <c r="F34" s="267"/>
    </row>
    <row r="35" spans="1:6">
      <c r="B35" s="269"/>
      <c r="D35" s="270"/>
      <c r="E35" s="270"/>
      <c r="F35" s="267"/>
    </row>
    <row r="36" spans="1:6">
      <c r="A36" s="260">
        <v>4</v>
      </c>
      <c r="B36" s="271" t="s">
        <v>1898</v>
      </c>
      <c r="D36" s="272">
        <f>SUM(D32:D34)</f>
        <v>22</v>
      </c>
      <c r="E36" s="272">
        <f>SUM(E32:E34)</f>
        <v>73.166543520000005</v>
      </c>
      <c r="F36" s="267"/>
    </row>
    <row r="37" spans="1:6">
      <c r="B37" s="269"/>
      <c r="D37" s="270"/>
      <c r="E37" s="270"/>
      <c r="F37" s="267"/>
    </row>
    <row r="38" spans="1:6">
      <c r="A38" s="260">
        <v>5</v>
      </c>
      <c r="B38" s="264" t="s">
        <v>1899</v>
      </c>
      <c r="D38" s="270"/>
      <c r="E38" s="270"/>
      <c r="F38" s="266"/>
    </row>
    <row r="39" spans="1:6">
      <c r="A39" s="247" t="s">
        <v>332</v>
      </c>
      <c r="B39" s="268" t="s">
        <v>1887</v>
      </c>
      <c r="D39" s="265">
        <v>49</v>
      </c>
      <c r="E39" s="265">
        <v>0</v>
      </c>
      <c r="F39" s="266"/>
    </row>
    <row r="40" spans="1:6">
      <c r="A40" s="247" t="s">
        <v>335</v>
      </c>
      <c r="B40" s="268" t="s">
        <v>1888</v>
      </c>
      <c r="D40" s="265">
        <v>246</v>
      </c>
      <c r="E40" s="265">
        <v>0</v>
      </c>
      <c r="F40" s="267"/>
    </row>
    <row r="41" spans="1:6">
      <c r="A41" s="1173" t="s">
        <v>146</v>
      </c>
      <c r="B41" s="274" t="s">
        <v>768</v>
      </c>
      <c r="D41" s="265">
        <v>0</v>
      </c>
      <c r="E41" s="265"/>
      <c r="F41" s="267"/>
    </row>
    <row r="42" spans="1:6">
      <c r="B42" s="269"/>
      <c r="D42" s="270"/>
      <c r="E42" s="270"/>
      <c r="F42" s="267"/>
    </row>
    <row r="43" spans="1:6">
      <c r="A43" s="260">
        <v>6</v>
      </c>
      <c r="B43" s="271" t="s">
        <v>1900</v>
      </c>
      <c r="D43" s="272">
        <f>SUM(D39:D41)</f>
        <v>295</v>
      </c>
      <c r="E43" s="272">
        <f>SUM(E39:E41)</f>
        <v>0</v>
      </c>
      <c r="F43" s="267"/>
    </row>
    <row r="44" spans="1:6">
      <c r="B44" s="269"/>
      <c r="D44" s="270"/>
      <c r="E44" s="270"/>
      <c r="F44" s="267"/>
    </row>
    <row r="45" spans="1:6">
      <c r="A45" s="260">
        <v>7</v>
      </c>
      <c r="B45" s="264" t="s">
        <v>1901</v>
      </c>
      <c r="D45" s="270"/>
      <c r="E45" s="270"/>
      <c r="F45" s="266"/>
    </row>
    <row r="46" spans="1:6">
      <c r="A46" s="247" t="s">
        <v>1141</v>
      </c>
      <c r="B46" s="268" t="s">
        <v>1902</v>
      </c>
      <c r="D46" s="265">
        <v>1207</v>
      </c>
      <c r="E46" s="265">
        <v>979.07768736000003</v>
      </c>
      <c r="F46" s="266"/>
    </row>
    <row r="47" spans="1:6">
      <c r="A47" s="247" t="s">
        <v>1142</v>
      </c>
      <c r="B47" s="268" t="s">
        <v>1903</v>
      </c>
      <c r="D47" s="265">
        <v>5206</v>
      </c>
      <c r="E47" s="265">
        <v>5508.5631636600001</v>
      </c>
      <c r="F47" s="267"/>
    </row>
    <row r="48" spans="1:6">
      <c r="A48" s="1173" t="s">
        <v>146</v>
      </c>
      <c r="B48" s="274" t="s">
        <v>768</v>
      </c>
      <c r="D48" s="265">
        <v>0</v>
      </c>
      <c r="E48" s="265"/>
      <c r="F48" s="267"/>
    </row>
    <row r="49" spans="1:6">
      <c r="B49" s="269"/>
      <c r="D49" s="270"/>
      <c r="E49" s="270"/>
      <c r="F49" s="267"/>
    </row>
    <row r="50" spans="1:6">
      <c r="A50" s="260">
        <v>8</v>
      </c>
      <c r="B50" s="271" t="s">
        <v>1904</v>
      </c>
      <c r="D50" s="272">
        <f>SUM(D46:D48)</f>
        <v>6413</v>
      </c>
      <c r="E50" s="272">
        <f>SUM(E46:E48)</f>
        <v>6487.6408510199999</v>
      </c>
      <c r="F50" s="267"/>
    </row>
    <row r="51" spans="1:6">
      <c r="B51" s="269"/>
      <c r="D51" s="270"/>
      <c r="E51" s="270"/>
      <c r="F51" s="267"/>
    </row>
    <row r="52" spans="1:6">
      <c r="A52" s="247">
        <v>9</v>
      </c>
      <c r="B52" s="273" t="s">
        <v>1905</v>
      </c>
      <c r="D52" s="270"/>
      <c r="E52" s="270"/>
      <c r="F52" s="267"/>
    </row>
    <row r="53" spans="1:6">
      <c r="A53" s="247" t="s">
        <v>1146</v>
      </c>
      <c r="B53" s="264" t="s">
        <v>1906</v>
      </c>
      <c r="D53" s="265">
        <v>0</v>
      </c>
      <c r="E53" s="265">
        <v>0</v>
      </c>
      <c r="F53" s="267"/>
    </row>
    <row r="54" spans="1:6">
      <c r="A54" s="247" t="s">
        <v>1147</v>
      </c>
      <c r="B54" s="264" t="s">
        <v>1907</v>
      </c>
      <c r="D54" s="265">
        <v>0</v>
      </c>
      <c r="E54" s="265">
        <v>0</v>
      </c>
      <c r="F54" s="267"/>
    </row>
    <row r="55" spans="1:6">
      <c r="A55" s="247" t="s">
        <v>1148</v>
      </c>
      <c r="B55" s="264" t="s">
        <v>1908</v>
      </c>
      <c r="D55" s="265">
        <v>962</v>
      </c>
      <c r="E55" s="265">
        <v>1525.0160924000002</v>
      </c>
      <c r="F55" s="267"/>
    </row>
    <row r="56" spans="1:6">
      <c r="A56" s="1173" t="s">
        <v>146</v>
      </c>
      <c r="B56" s="274" t="s">
        <v>768</v>
      </c>
      <c r="D56" s="265">
        <v>0</v>
      </c>
      <c r="E56" s="265"/>
      <c r="F56" s="267"/>
    </row>
    <row r="57" spans="1:6">
      <c r="B57" s="269"/>
      <c r="D57" s="270"/>
      <c r="E57" s="270"/>
      <c r="F57" s="267"/>
    </row>
    <row r="58" spans="1:6">
      <c r="A58" s="260">
        <v>10</v>
      </c>
      <c r="B58" s="275" t="s">
        <v>1909</v>
      </c>
      <c r="D58" s="272">
        <f>SUM(D53:D56)</f>
        <v>962</v>
      </c>
      <c r="E58" s="272">
        <f>SUM(E53:E56)</f>
        <v>1525.0160924000002</v>
      </c>
      <c r="F58" s="267"/>
    </row>
    <row r="59" spans="1:6">
      <c r="B59" s="276"/>
      <c r="D59" s="270"/>
      <c r="E59" s="270"/>
      <c r="F59" s="267"/>
    </row>
    <row r="60" spans="1:6">
      <c r="A60" s="260">
        <v>11</v>
      </c>
      <c r="B60" s="275" t="s">
        <v>1910</v>
      </c>
      <c r="D60" s="272">
        <f>D58+D36+D43+D50</f>
        <v>7692</v>
      </c>
      <c r="E60" s="272">
        <f>E58+E36+E43+E50</f>
        <v>8085.8234869400003</v>
      </c>
      <c r="F60" s="267"/>
    </row>
    <row r="61" spans="1:6">
      <c r="A61" s="260"/>
      <c r="B61" s="276"/>
      <c r="D61" s="270"/>
      <c r="E61" s="270"/>
      <c r="F61" s="267"/>
    </row>
    <row r="62" spans="1:6">
      <c r="A62" s="260">
        <v>12</v>
      </c>
      <c r="B62" s="275" t="s">
        <v>1911</v>
      </c>
      <c r="D62" s="272">
        <f>D60+D28</f>
        <v>9598</v>
      </c>
      <c r="E62" s="272">
        <f>E60+E28</f>
        <v>10016.091540699999</v>
      </c>
      <c r="F62" s="267"/>
    </row>
    <row r="63" spans="1:6">
      <c r="A63" s="260"/>
      <c r="B63" s="269"/>
      <c r="D63" s="270"/>
      <c r="E63" s="270"/>
      <c r="F63" s="267"/>
    </row>
    <row r="64" spans="1:6">
      <c r="A64" s="260">
        <v>13</v>
      </c>
      <c r="B64" s="273" t="s">
        <v>1912</v>
      </c>
      <c r="D64" s="270"/>
      <c r="E64" s="270"/>
      <c r="F64" s="267"/>
    </row>
    <row r="65" spans="1:6">
      <c r="A65" s="247" t="s">
        <v>1154</v>
      </c>
      <c r="B65" s="273" t="s">
        <v>1913</v>
      </c>
      <c r="D65" s="265">
        <v>18</v>
      </c>
      <c r="E65" s="265">
        <v>87</v>
      </c>
      <c r="F65" s="267"/>
    </row>
    <row r="66" spans="1:6">
      <c r="A66" s="247" t="s">
        <v>1155</v>
      </c>
      <c r="B66" s="274" t="s">
        <v>1914</v>
      </c>
      <c r="D66" s="265">
        <v>122</v>
      </c>
      <c r="E66" s="265">
        <v>188.18068400000001</v>
      </c>
      <c r="F66" s="267"/>
    </row>
    <row r="67" spans="1:6">
      <c r="A67" s="247" t="s">
        <v>1156</v>
      </c>
      <c r="B67" s="274" t="s">
        <v>1915</v>
      </c>
      <c r="D67" s="265">
        <v>152</v>
      </c>
      <c r="E67" s="265">
        <v>94.484342999999996</v>
      </c>
      <c r="F67" s="267"/>
    </row>
    <row r="68" spans="1:6">
      <c r="A68" s="247" t="s">
        <v>1157</v>
      </c>
      <c r="B68" s="274" t="s">
        <v>1916</v>
      </c>
      <c r="D68" s="265">
        <v>185</v>
      </c>
      <c r="E68" s="265">
        <v>17.419815700000001</v>
      </c>
      <c r="F68" s="267"/>
    </row>
    <row r="69" spans="1:6">
      <c r="A69" s="1173" t="s">
        <v>146</v>
      </c>
      <c r="B69" s="274" t="s">
        <v>768</v>
      </c>
      <c r="D69" s="265">
        <v>0</v>
      </c>
      <c r="E69" s="265"/>
      <c r="F69" s="267"/>
    </row>
    <row r="70" spans="1:6">
      <c r="A70" s="260">
        <v>14</v>
      </c>
      <c r="B70" s="273" t="s">
        <v>1917</v>
      </c>
      <c r="D70" s="277">
        <f>SUM(D65:D69)</f>
        <v>477</v>
      </c>
      <c r="E70" s="277">
        <f>SUM(E65:E69)</f>
        <v>387.08484270000002</v>
      </c>
      <c r="F70" s="267"/>
    </row>
    <row r="71" spans="1:6">
      <c r="B71" s="269"/>
      <c r="D71" s="270"/>
      <c r="E71" s="270"/>
      <c r="F71" s="267"/>
    </row>
    <row r="72" spans="1:6" s="279" customFormat="1" ht="16.2" thickBot="1">
      <c r="A72" s="260">
        <v>15</v>
      </c>
      <c r="B72" s="278" t="s">
        <v>1918</v>
      </c>
      <c r="D72" s="280">
        <f>D70+D62</f>
        <v>10075</v>
      </c>
      <c r="E72" s="280">
        <f>E70+E62</f>
        <v>10403.176383399999</v>
      </c>
      <c r="F72" s="281"/>
    </row>
    <row r="73" spans="1:6" s="279" customFormat="1" ht="16.2" thickTop="1">
      <c r="A73" s="260"/>
      <c r="B73" s="278"/>
      <c r="D73" s="282"/>
      <c r="E73" s="282"/>
      <c r="F73" s="281"/>
    </row>
    <row r="74" spans="1:6">
      <c r="A74" s="283" t="s">
        <v>1919</v>
      </c>
      <c r="B74" s="284" t="s">
        <v>1920</v>
      </c>
      <c r="D74" s="267"/>
      <c r="E74" s="267"/>
      <c r="F74" s="252"/>
    </row>
    <row r="75" spans="1:6">
      <c r="A75" s="285"/>
      <c r="B75" s="284"/>
      <c r="D75" s="286"/>
      <c r="E75" s="286"/>
      <c r="F75" s="252"/>
    </row>
    <row r="76" spans="1:6">
      <c r="D76" s="253"/>
      <c r="E76" s="253"/>
      <c r="F76" s="252"/>
    </row>
    <row r="77" spans="1:6">
      <c r="B77" s="254" t="s">
        <v>567</v>
      </c>
      <c r="C77" s="287"/>
      <c r="D77" s="288" t="str">
        <f>D14</f>
        <v>DECEMBER 2022</v>
      </c>
      <c r="E77" s="288" t="str">
        <f>E14</f>
        <v>DECEMBER 2021</v>
      </c>
      <c r="F77" s="289"/>
    </row>
    <row r="78" spans="1:6">
      <c r="B78" s="248"/>
      <c r="C78" s="249"/>
      <c r="D78" s="248"/>
      <c r="E78" s="248"/>
      <c r="F78" s="248"/>
    </row>
    <row r="79" spans="1:6">
      <c r="A79" s="260">
        <v>16</v>
      </c>
      <c r="B79" s="261" t="s">
        <v>1921</v>
      </c>
      <c r="D79" s="262"/>
      <c r="E79" s="262"/>
      <c r="F79" s="262"/>
    </row>
    <row r="80" spans="1:6">
      <c r="A80" s="247" t="s">
        <v>1293</v>
      </c>
      <c r="B80" s="73" t="s">
        <v>1922</v>
      </c>
      <c r="D80" s="267"/>
      <c r="E80" s="267"/>
      <c r="F80" s="252"/>
    </row>
    <row r="81" spans="1:6">
      <c r="A81" s="247" t="s">
        <v>1294</v>
      </c>
      <c r="B81" s="264" t="s">
        <v>1923</v>
      </c>
      <c r="D81" s="265">
        <v>910</v>
      </c>
      <c r="E81" s="265">
        <v>688.29496810000001</v>
      </c>
      <c r="F81" s="252"/>
    </row>
    <row r="82" spans="1:6">
      <c r="A82" s="247" t="s">
        <v>1924</v>
      </c>
      <c r="B82" s="264" t="s">
        <v>1925</v>
      </c>
      <c r="D82" s="265">
        <v>179</v>
      </c>
      <c r="E82" s="265">
        <v>604.553</v>
      </c>
      <c r="F82" s="252"/>
    </row>
    <row r="83" spans="1:6">
      <c r="A83" s="247" t="s">
        <v>1926</v>
      </c>
      <c r="B83" s="264" t="s">
        <v>1927</v>
      </c>
      <c r="D83" s="265">
        <v>2</v>
      </c>
      <c r="E83" s="265">
        <v>1.4850000000000001</v>
      </c>
      <c r="F83" s="266"/>
    </row>
    <row r="84" spans="1:6">
      <c r="A84" s="247" t="s">
        <v>1928</v>
      </c>
      <c r="B84" s="264" t="s">
        <v>1929</v>
      </c>
      <c r="D84" s="265">
        <v>0</v>
      </c>
      <c r="E84" s="265">
        <v>57.99</v>
      </c>
      <c r="F84" s="267"/>
    </row>
    <row r="85" spans="1:6">
      <c r="A85" s="247" t="s">
        <v>1930</v>
      </c>
      <c r="B85" s="264" t="s">
        <v>1931</v>
      </c>
      <c r="D85" s="265">
        <v>0</v>
      </c>
      <c r="E85" s="265"/>
      <c r="F85" s="267"/>
    </row>
    <row r="86" spans="1:6">
      <c r="A86" s="1173" t="s">
        <v>146</v>
      </c>
      <c r="B86" s="274" t="s">
        <v>768</v>
      </c>
      <c r="D86" s="265">
        <v>0</v>
      </c>
      <c r="E86" s="265">
        <v>0</v>
      </c>
      <c r="F86" s="267"/>
    </row>
    <row r="87" spans="1:6">
      <c r="B87" s="269"/>
      <c r="D87" s="270"/>
      <c r="E87" s="270"/>
      <c r="F87" s="252"/>
    </row>
    <row r="88" spans="1:6">
      <c r="A88" s="260">
        <v>17</v>
      </c>
      <c r="B88" s="275" t="s">
        <v>1932</v>
      </c>
      <c r="D88" s="272">
        <f>SUM(D81:D86)</f>
        <v>1091</v>
      </c>
      <c r="E88" s="272">
        <f>SUM(E81:E86)</f>
        <v>1352.3229680999998</v>
      </c>
      <c r="F88" s="266"/>
    </row>
    <row r="89" spans="1:6">
      <c r="B89" s="269"/>
      <c r="D89" s="270"/>
      <c r="E89" s="270"/>
      <c r="F89" s="252"/>
    </row>
    <row r="90" spans="1:6">
      <c r="A90" s="247">
        <v>18</v>
      </c>
      <c r="B90" s="273" t="s">
        <v>1933</v>
      </c>
      <c r="D90" s="270"/>
      <c r="E90" s="270"/>
      <c r="F90" s="266"/>
    </row>
    <row r="91" spans="1:6">
      <c r="A91" s="247" t="s">
        <v>1295</v>
      </c>
      <c r="B91" s="264" t="s">
        <v>1934</v>
      </c>
      <c r="D91" s="270"/>
      <c r="E91" s="270"/>
      <c r="F91" s="266"/>
    </row>
    <row r="92" spans="1:6">
      <c r="A92" s="247" t="s">
        <v>1297</v>
      </c>
      <c r="B92" s="290" t="s">
        <v>1935</v>
      </c>
      <c r="D92" s="270"/>
      <c r="E92" s="270"/>
      <c r="F92" s="252"/>
    </row>
    <row r="93" spans="1:6">
      <c r="A93" s="247" t="s">
        <v>1298</v>
      </c>
      <c r="B93" s="275" t="s">
        <v>1936</v>
      </c>
      <c r="D93" s="265">
        <v>1624</v>
      </c>
      <c r="E93" s="265">
        <v>1626.2615499999999</v>
      </c>
      <c r="F93" s="252"/>
    </row>
    <row r="94" spans="1:6">
      <c r="A94" s="247" t="s">
        <v>1299</v>
      </c>
      <c r="B94" s="275" t="s">
        <v>1937</v>
      </c>
      <c r="D94" s="265">
        <v>0</v>
      </c>
      <c r="E94" s="265">
        <v>0</v>
      </c>
      <c r="F94" s="252"/>
    </row>
    <row r="95" spans="1:6">
      <c r="A95" s="247" t="s">
        <v>1300</v>
      </c>
      <c r="B95" s="290" t="s">
        <v>1938</v>
      </c>
      <c r="D95" s="265">
        <v>0</v>
      </c>
      <c r="E95" s="265">
        <v>0</v>
      </c>
      <c r="F95" s="252"/>
    </row>
    <row r="96" spans="1:6">
      <c r="A96" s="247" t="s">
        <v>1301</v>
      </c>
      <c r="B96" s="275" t="s">
        <v>1939</v>
      </c>
      <c r="D96" s="265">
        <v>36</v>
      </c>
      <c r="E96" s="265">
        <v>38</v>
      </c>
      <c r="F96" s="266"/>
    </row>
    <row r="97" spans="1:6">
      <c r="A97" s="247" t="s">
        <v>1302</v>
      </c>
      <c r="B97" s="275" t="s">
        <v>1940</v>
      </c>
      <c r="D97" s="265">
        <v>0</v>
      </c>
      <c r="E97" s="265">
        <v>0</v>
      </c>
      <c r="F97" s="267"/>
    </row>
    <row r="98" spans="1:6">
      <c r="A98" s="1173" t="s">
        <v>146</v>
      </c>
      <c r="B98" s="274" t="s">
        <v>768</v>
      </c>
      <c r="D98" s="265">
        <v>659</v>
      </c>
      <c r="E98" s="265">
        <v>0</v>
      </c>
      <c r="F98" s="267"/>
    </row>
    <row r="99" spans="1:6">
      <c r="B99" s="269"/>
      <c r="D99" s="270"/>
      <c r="E99" s="270"/>
      <c r="F99" s="267"/>
    </row>
    <row r="100" spans="1:6">
      <c r="A100" s="260">
        <v>19</v>
      </c>
      <c r="B100" s="275" t="s">
        <v>1941</v>
      </c>
      <c r="D100" s="272">
        <f>SUM(D93:D98)</f>
        <v>2319</v>
      </c>
      <c r="E100" s="272">
        <f>SUM(E93:E98)</f>
        <v>1664.2615499999999</v>
      </c>
      <c r="F100" s="267"/>
    </row>
    <row r="101" spans="1:6">
      <c r="B101" s="269"/>
      <c r="D101" s="270"/>
      <c r="E101" s="270"/>
      <c r="F101" s="267"/>
    </row>
    <row r="102" spans="1:6">
      <c r="A102" s="247">
        <v>20</v>
      </c>
      <c r="B102" s="273" t="s">
        <v>1942</v>
      </c>
      <c r="D102" s="270"/>
      <c r="E102" s="270"/>
      <c r="F102" s="267"/>
    </row>
    <row r="103" spans="1:6">
      <c r="A103" s="247" t="s">
        <v>1306</v>
      </c>
      <c r="B103" s="264" t="s">
        <v>1943</v>
      </c>
      <c r="D103" s="265">
        <v>0</v>
      </c>
      <c r="E103" s="265">
        <v>925.89589480999996</v>
      </c>
      <c r="F103" s="267"/>
    </row>
    <row r="104" spans="1:6">
      <c r="A104" s="247" t="s">
        <v>1307</v>
      </c>
      <c r="B104" s="264" t="s">
        <v>1944</v>
      </c>
      <c r="D104" s="265">
        <v>0</v>
      </c>
      <c r="E104" s="265">
        <v>0</v>
      </c>
      <c r="F104" s="267"/>
    </row>
    <row r="105" spans="1:6">
      <c r="A105" s="247" t="s">
        <v>1308</v>
      </c>
      <c r="B105" s="264" t="s">
        <v>1945</v>
      </c>
      <c r="D105" s="265">
        <v>233</v>
      </c>
      <c r="E105" s="265">
        <v>229.48600023</v>
      </c>
      <c r="F105" s="267"/>
    </row>
    <row r="106" spans="1:6">
      <c r="A106" s="247" t="s">
        <v>1309</v>
      </c>
      <c r="B106" s="264" t="s">
        <v>402</v>
      </c>
      <c r="D106" s="265">
        <v>225</v>
      </c>
      <c r="E106" s="265">
        <v>250.20024253</v>
      </c>
      <c r="F106" s="267"/>
    </row>
    <row r="107" spans="1:6">
      <c r="A107" s="247" t="s">
        <v>1310</v>
      </c>
      <c r="B107" s="264" t="s">
        <v>1931</v>
      </c>
      <c r="D107" s="265">
        <v>0</v>
      </c>
      <c r="E107" s="265">
        <v>0</v>
      </c>
      <c r="F107" s="267"/>
    </row>
    <row r="108" spans="1:6">
      <c r="A108" s="247" t="s">
        <v>1311</v>
      </c>
      <c r="B108" s="264" t="s">
        <v>1946</v>
      </c>
      <c r="D108" s="265">
        <v>198</v>
      </c>
      <c r="E108" s="265">
        <v>221.95689915</v>
      </c>
      <c r="F108" s="267"/>
    </row>
    <row r="109" spans="1:6">
      <c r="A109" s="1173" t="s">
        <v>146</v>
      </c>
      <c r="B109" s="274" t="s">
        <v>768</v>
      </c>
      <c r="D109" s="265">
        <v>0</v>
      </c>
      <c r="E109" s="265">
        <v>0</v>
      </c>
      <c r="F109" s="267"/>
    </row>
    <row r="110" spans="1:6">
      <c r="B110" s="269"/>
      <c r="D110" s="270"/>
      <c r="E110" s="270"/>
      <c r="F110" s="267"/>
    </row>
    <row r="111" spans="1:6">
      <c r="A111" s="260">
        <v>21</v>
      </c>
      <c r="B111" s="290" t="s">
        <v>1947</v>
      </c>
      <c r="D111" s="272">
        <f>SUM(D103:D109)</f>
        <v>656</v>
      </c>
      <c r="E111" s="272">
        <f>SUM(E103:E109)</f>
        <v>1627.53903672</v>
      </c>
      <c r="F111" s="267"/>
    </row>
    <row r="112" spans="1:6">
      <c r="B112" s="276"/>
      <c r="D112" s="270"/>
      <c r="E112" s="270"/>
      <c r="F112" s="267"/>
    </row>
    <row r="113" spans="1:12">
      <c r="A113" s="260">
        <v>22</v>
      </c>
      <c r="B113" s="290" t="s">
        <v>1948</v>
      </c>
      <c r="D113" s="272">
        <f>D111+D100</f>
        <v>2975</v>
      </c>
      <c r="E113" s="272">
        <f>E111+E100</f>
        <v>3291.80058672</v>
      </c>
      <c r="F113" s="267"/>
    </row>
    <row r="114" spans="1:12">
      <c r="B114" s="276"/>
      <c r="D114" s="270"/>
      <c r="E114" s="270"/>
      <c r="F114" s="267"/>
    </row>
    <row r="115" spans="1:12">
      <c r="A115" s="260">
        <v>23</v>
      </c>
      <c r="B115" s="290" t="s">
        <v>1949</v>
      </c>
      <c r="D115" s="272">
        <f>D113+D88</f>
        <v>4066</v>
      </c>
      <c r="E115" s="272">
        <f>E113+E88</f>
        <v>4644.1235548200002</v>
      </c>
      <c r="F115" s="267"/>
    </row>
    <row r="116" spans="1:12">
      <c r="B116" s="269"/>
      <c r="D116" s="270"/>
      <c r="E116" s="270"/>
      <c r="F116" s="267"/>
    </row>
    <row r="117" spans="1:12">
      <c r="A117" s="260">
        <v>24</v>
      </c>
      <c r="B117" s="273" t="s">
        <v>1950</v>
      </c>
      <c r="D117" s="270"/>
      <c r="E117" s="270"/>
      <c r="F117" s="267"/>
    </row>
    <row r="118" spans="1:12">
      <c r="A118" s="247" t="s">
        <v>1191</v>
      </c>
      <c r="B118" s="273" t="s">
        <v>1951</v>
      </c>
      <c r="D118" s="265">
        <v>401</v>
      </c>
      <c r="E118" s="265">
        <v>401.60038644000002</v>
      </c>
      <c r="F118" s="267"/>
    </row>
    <row r="119" spans="1:12">
      <c r="A119" s="247" t="s">
        <v>1192</v>
      </c>
      <c r="B119" s="273" t="s">
        <v>1952</v>
      </c>
      <c r="D119" s="265">
        <v>13</v>
      </c>
      <c r="E119" s="265">
        <v>0.16378499999999999</v>
      </c>
      <c r="F119" s="267"/>
      <c r="H119" s="1174"/>
      <c r="I119" s="1174"/>
      <c r="J119" s="1174"/>
      <c r="K119" s="1174"/>
      <c r="L119" s="1174"/>
    </row>
    <row r="120" spans="1:12">
      <c r="A120" s="247" t="s">
        <v>1193</v>
      </c>
      <c r="B120" s="273" t="s">
        <v>1953</v>
      </c>
      <c r="D120" s="265">
        <v>234</v>
      </c>
      <c r="E120" s="265">
        <v>224.70294799999999</v>
      </c>
      <c r="F120" s="267"/>
      <c r="H120" s="1174"/>
      <c r="I120" s="1174"/>
      <c r="J120" s="1174"/>
      <c r="K120" s="1174"/>
      <c r="L120" s="1174"/>
    </row>
    <row r="121" spans="1:12">
      <c r="A121" s="247" t="s">
        <v>1194</v>
      </c>
      <c r="B121" s="273" t="s">
        <v>1915</v>
      </c>
      <c r="D121" s="265">
        <v>307</v>
      </c>
      <c r="E121" s="265">
        <v>315.69485500000002</v>
      </c>
      <c r="F121" s="267"/>
      <c r="H121" s="1174"/>
      <c r="I121" s="1174"/>
      <c r="J121" s="1174"/>
      <c r="K121" s="1174"/>
      <c r="L121" s="1174"/>
    </row>
    <row r="122" spans="1:12">
      <c r="A122" s="1173" t="s">
        <v>146</v>
      </c>
      <c r="B122" s="274" t="s">
        <v>768</v>
      </c>
      <c r="D122" s="265">
        <v>109</v>
      </c>
      <c r="E122" s="265">
        <v>0</v>
      </c>
      <c r="F122" s="267"/>
    </row>
    <row r="123" spans="1:12">
      <c r="B123" s="269"/>
      <c r="D123" s="270">
        <f>SUM(D118:D122)</f>
        <v>1064</v>
      </c>
      <c r="E123" s="270">
        <f>SUM(E118:E122)</f>
        <v>942.16197443999999</v>
      </c>
      <c r="F123" s="267"/>
    </row>
    <row r="124" spans="1:12">
      <c r="A124" s="260">
        <v>25</v>
      </c>
      <c r="B124" s="273" t="s">
        <v>1954</v>
      </c>
      <c r="D124" s="270"/>
      <c r="E124" s="270"/>
      <c r="F124" s="267"/>
    </row>
    <row r="125" spans="1:12">
      <c r="A125" s="247" t="s">
        <v>754</v>
      </c>
      <c r="B125" s="264" t="s">
        <v>1955</v>
      </c>
      <c r="D125" s="265">
        <v>3573</v>
      </c>
      <c r="E125" s="265">
        <v>3181</v>
      </c>
      <c r="F125" s="267"/>
    </row>
    <row r="126" spans="1:12">
      <c r="A126" s="247" t="s">
        <v>755</v>
      </c>
      <c r="B126" s="264" t="s">
        <v>1956</v>
      </c>
      <c r="D126" s="265">
        <v>0</v>
      </c>
      <c r="E126" s="265">
        <v>63</v>
      </c>
      <c r="F126" s="267"/>
    </row>
    <row r="127" spans="1:12">
      <c r="A127" s="247" t="s">
        <v>756</v>
      </c>
      <c r="B127" s="264" t="s">
        <v>1957</v>
      </c>
      <c r="D127" s="265">
        <v>1372</v>
      </c>
      <c r="E127" s="265">
        <v>1571</v>
      </c>
      <c r="F127" s="267"/>
    </row>
    <row r="128" spans="1:12">
      <c r="A128" s="247" t="s">
        <v>1958</v>
      </c>
      <c r="B128" s="264" t="s">
        <v>1915</v>
      </c>
      <c r="D128" s="265">
        <v>0</v>
      </c>
      <c r="E128" s="265">
        <v>0</v>
      </c>
      <c r="F128" s="267"/>
    </row>
    <row r="129" spans="1:6">
      <c r="A129" s="1173" t="s">
        <v>146</v>
      </c>
      <c r="B129" s="274" t="s">
        <v>768</v>
      </c>
      <c r="D129" s="265">
        <v>0</v>
      </c>
      <c r="E129" s="265">
        <v>0</v>
      </c>
      <c r="F129" s="267"/>
    </row>
    <row r="130" spans="1:6">
      <c r="B130" s="269"/>
      <c r="D130" s="270"/>
      <c r="E130" s="270"/>
      <c r="F130" s="267"/>
    </row>
    <row r="131" spans="1:6">
      <c r="A131" s="260">
        <v>26</v>
      </c>
      <c r="B131" s="291" t="s">
        <v>1959</v>
      </c>
      <c r="D131" s="272">
        <f>SUM(D125:D129)</f>
        <v>4945</v>
      </c>
      <c r="E131" s="272">
        <f>SUM(E125:E129)</f>
        <v>4815</v>
      </c>
      <c r="F131" s="267"/>
    </row>
    <row r="132" spans="1:6" s="279" customFormat="1" ht="16.2" thickBot="1">
      <c r="A132" s="260">
        <v>27</v>
      </c>
      <c r="B132" s="278" t="s">
        <v>1960</v>
      </c>
      <c r="D132" s="280">
        <f>D131+D123+D115</f>
        <v>10075</v>
      </c>
      <c r="E132" s="280">
        <f>E131+E123+E115</f>
        <v>10401.28552926</v>
      </c>
      <c r="F132" s="281"/>
    </row>
    <row r="133" spans="1:6" ht="16.2" thickTop="1">
      <c r="B133" s="266"/>
      <c r="D133" s="292"/>
      <c r="E133" s="292"/>
      <c r="F133" s="267"/>
    </row>
    <row r="135" spans="1:6">
      <c r="A135" s="283" t="str">
        <f>A74</f>
        <v>1/  Source:</v>
      </c>
      <c r="B135" s="284" t="str">
        <f>B74</f>
        <v>Annual Financial Statements</v>
      </c>
    </row>
    <row r="136" spans="1:6">
      <c r="A136" s="285"/>
      <c r="B136" s="284"/>
    </row>
  </sheetData>
  <customSheetViews>
    <customSheetView guid="{343BF296-013A-41F5-BDAB-AD6220EA7F78}" showPageBreaks="1" printArea="1" view="pageBreakPreview">
      <selection activeCell="D33" sqref="D33"/>
      <rowBreaks count="1" manualBreakCount="1">
        <brk id="70" max="6" man="1"/>
      </rowBreaks>
      <pageMargins left="0" right="0" top="0" bottom="0" header="0" footer="0"/>
      <printOptions horizontalCentered="1"/>
      <pageSetup scale="75" fitToHeight="2" orientation="portrait" r:id="rId1"/>
      <headerFooter alignWithMargins="0"/>
    </customSheetView>
    <customSheetView guid="{B321D76C-CDE5-48BB-9CDE-80FF97D58FCF}" showPageBreaks="1" printArea="1" view="pageBreakPreview">
      <selection activeCell="D33" sqref="D33"/>
      <rowBreaks count="1" manualBreakCount="1">
        <brk id="70" max="6" man="1"/>
      </rowBreaks>
      <pageMargins left="0" right="0" top="0" bottom="0" header="0" footer="0"/>
      <printOptions horizontalCentered="1"/>
      <pageSetup scale="75" fitToHeight="2" orientation="portrait" r:id="rId2"/>
      <headerFooter alignWithMargins="0"/>
    </customSheetView>
  </customSheetViews>
  <mergeCells count="6">
    <mergeCell ref="A4:G4"/>
    <mergeCell ref="A5:G5"/>
    <mergeCell ref="A6:G6"/>
    <mergeCell ref="A8:G8"/>
    <mergeCell ref="A10:G10"/>
    <mergeCell ref="A9:G9"/>
  </mergeCells>
  <printOptions horizontalCentered="1"/>
  <pageMargins left="0.25" right="0.25" top="0" bottom="0" header="0.5" footer="0.5"/>
  <pageSetup scale="57" fitToHeight="2" orientation="portrait" r:id="rId3"/>
  <headerFooter alignWithMargins="0"/>
  <rowBreaks count="1" manualBreakCount="1">
    <brk id="74" max="6" man="1"/>
  </rowBreaks>
  <drawing r:id="rId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tabColor rgb="FFFF66FF"/>
  </sheetPr>
  <dimension ref="A1:W59"/>
  <sheetViews>
    <sheetView view="pageBreakPreview" zoomScale="90" zoomScaleNormal="100" zoomScaleSheetLayoutView="90" workbookViewId="0">
      <selection activeCell="AB45" sqref="AB45"/>
    </sheetView>
  </sheetViews>
  <sheetFormatPr defaultRowHeight="14.4"/>
  <cols>
    <col min="1" max="1" width="9" style="242"/>
    <col min="2" max="2" width="5.33203125" style="242" customWidth="1"/>
    <col min="3" max="3" width="5" style="242" customWidth="1"/>
    <col min="4" max="4" width="4.21875" style="242" customWidth="1"/>
    <col min="5" max="5" width="2.77734375" style="242" customWidth="1"/>
    <col min="6" max="6" width="2.21875" style="242" customWidth="1"/>
    <col min="7" max="7" width="23.33203125" style="242" customWidth="1"/>
    <col min="8" max="8" width="4.21875" style="242" customWidth="1"/>
    <col min="9" max="9" width="15.109375" style="242" customWidth="1"/>
    <col min="10" max="10" width="12.33203125" style="243" bestFit="1" customWidth="1"/>
    <col min="11" max="11" width="2.33203125" style="243" customWidth="1"/>
    <col min="12" max="12" width="13.33203125" style="243" bestFit="1" customWidth="1"/>
    <col min="13" max="13" width="2.21875" style="243" customWidth="1"/>
    <col min="14" max="14" width="13.33203125" style="243" bestFit="1" customWidth="1"/>
    <col min="15" max="15" width="2" style="243" customWidth="1"/>
    <col min="16" max="16" width="12.33203125" style="243" bestFit="1" customWidth="1"/>
    <col min="17" max="257" width="8.77734375" style="242"/>
    <col min="258" max="258" width="2.77734375" style="242" customWidth="1"/>
    <col min="259" max="259" width="2.33203125" style="242" customWidth="1"/>
    <col min="260" max="260" width="3.109375" style="242" customWidth="1"/>
    <col min="261" max="261" width="2.77734375" style="242" customWidth="1"/>
    <col min="262" max="262" width="2.21875" style="242" customWidth="1"/>
    <col min="263" max="263" width="2" style="242" customWidth="1"/>
    <col min="264" max="264" width="4.21875" style="242" customWidth="1"/>
    <col min="265" max="265" width="19" style="242" customWidth="1"/>
    <col min="266" max="266" width="13.77734375" style="242" bestFit="1" customWidth="1"/>
    <col min="267" max="267" width="2" style="242" customWidth="1"/>
    <col min="268" max="268" width="8.77734375" style="242"/>
    <col min="269" max="269" width="2.21875" style="242" customWidth="1"/>
    <col min="270" max="270" width="8.77734375" style="242"/>
    <col min="271" max="271" width="2" style="242" customWidth="1"/>
    <col min="272" max="272" width="13.77734375" style="242" bestFit="1" customWidth="1"/>
    <col min="273" max="513" width="8.77734375" style="242"/>
    <col min="514" max="514" width="2.77734375" style="242" customWidth="1"/>
    <col min="515" max="515" width="2.33203125" style="242" customWidth="1"/>
    <col min="516" max="516" width="3.109375" style="242" customWidth="1"/>
    <col min="517" max="517" width="2.77734375" style="242" customWidth="1"/>
    <col min="518" max="518" width="2.21875" style="242" customWidth="1"/>
    <col min="519" max="519" width="2" style="242" customWidth="1"/>
    <col min="520" max="520" width="4.21875" style="242" customWidth="1"/>
    <col min="521" max="521" width="19" style="242" customWidth="1"/>
    <col min="522" max="522" width="13.77734375" style="242" bestFit="1" customWidth="1"/>
    <col min="523" max="523" width="2" style="242" customWidth="1"/>
    <col min="524" max="524" width="8.77734375" style="242"/>
    <col min="525" max="525" width="2.21875" style="242" customWidth="1"/>
    <col min="526" max="526" width="8.77734375" style="242"/>
    <col min="527" max="527" width="2" style="242" customWidth="1"/>
    <col min="528" max="528" width="13.77734375" style="242" bestFit="1" customWidth="1"/>
    <col min="529" max="769" width="8.77734375" style="242"/>
    <col min="770" max="770" width="2.77734375" style="242" customWidth="1"/>
    <col min="771" max="771" width="2.33203125" style="242" customWidth="1"/>
    <col min="772" max="772" width="3.109375" style="242" customWidth="1"/>
    <col min="773" max="773" width="2.77734375" style="242" customWidth="1"/>
    <col min="774" max="774" width="2.21875" style="242" customWidth="1"/>
    <col min="775" max="775" width="2" style="242" customWidth="1"/>
    <col min="776" max="776" width="4.21875" style="242" customWidth="1"/>
    <col min="777" max="777" width="19" style="242" customWidth="1"/>
    <col min="778" max="778" width="13.77734375" style="242" bestFit="1" customWidth="1"/>
    <col min="779" max="779" width="2" style="242" customWidth="1"/>
    <col min="780" max="780" width="8.77734375" style="242"/>
    <col min="781" max="781" width="2.21875" style="242" customWidth="1"/>
    <col min="782" max="782" width="8.77734375" style="242"/>
    <col min="783" max="783" width="2" style="242" customWidth="1"/>
    <col min="784" max="784" width="13.77734375" style="242" bestFit="1" customWidth="1"/>
    <col min="785" max="1025" width="8.77734375" style="242"/>
    <col min="1026" max="1026" width="2.77734375" style="242" customWidth="1"/>
    <col min="1027" max="1027" width="2.33203125" style="242" customWidth="1"/>
    <col min="1028" max="1028" width="3.109375" style="242" customWidth="1"/>
    <col min="1029" max="1029" width="2.77734375" style="242" customWidth="1"/>
    <col min="1030" max="1030" width="2.21875" style="242" customWidth="1"/>
    <col min="1031" max="1031" width="2" style="242" customWidth="1"/>
    <col min="1032" max="1032" width="4.21875" style="242" customWidth="1"/>
    <col min="1033" max="1033" width="19" style="242" customWidth="1"/>
    <col min="1034" max="1034" width="13.77734375" style="242" bestFit="1" customWidth="1"/>
    <col min="1035" max="1035" width="2" style="242" customWidth="1"/>
    <col min="1036" max="1036" width="8.77734375" style="242"/>
    <col min="1037" max="1037" width="2.21875" style="242" customWidth="1"/>
    <col min="1038" max="1038" width="8.77734375" style="242"/>
    <col min="1039" max="1039" width="2" style="242" customWidth="1"/>
    <col min="1040" max="1040" width="13.77734375" style="242" bestFit="1" customWidth="1"/>
    <col min="1041" max="1281" width="8.77734375" style="242"/>
    <col min="1282" max="1282" width="2.77734375" style="242" customWidth="1"/>
    <col min="1283" max="1283" width="2.33203125" style="242" customWidth="1"/>
    <col min="1284" max="1284" width="3.109375" style="242" customWidth="1"/>
    <col min="1285" max="1285" width="2.77734375" style="242" customWidth="1"/>
    <col min="1286" max="1286" width="2.21875" style="242" customWidth="1"/>
    <col min="1287" max="1287" width="2" style="242" customWidth="1"/>
    <col min="1288" max="1288" width="4.21875" style="242" customWidth="1"/>
    <col min="1289" max="1289" width="19" style="242" customWidth="1"/>
    <col min="1290" max="1290" width="13.77734375" style="242" bestFit="1" customWidth="1"/>
    <col min="1291" max="1291" width="2" style="242" customWidth="1"/>
    <col min="1292" max="1292" width="8.77734375" style="242"/>
    <col min="1293" max="1293" width="2.21875" style="242" customWidth="1"/>
    <col min="1294" max="1294" width="8.77734375" style="242"/>
    <col min="1295" max="1295" width="2" style="242" customWidth="1"/>
    <col min="1296" max="1296" width="13.77734375" style="242" bestFit="1" customWidth="1"/>
    <col min="1297" max="1537" width="8.77734375" style="242"/>
    <col min="1538" max="1538" width="2.77734375" style="242" customWidth="1"/>
    <col min="1539" max="1539" width="2.33203125" style="242" customWidth="1"/>
    <col min="1540" max="1540" width="3.109375" style="242" customWidth="1"/>
    <col min="1541" max="1541" width="2.77734375" style="242" customWidth="1"/>
    <col min="1542" max="1542" width="2.21875" style="242" customWidth="1"/>
    <col min="1543" max="1543" width="2" style="242" customWidth="1"/>
    <col min="1544" max="1544" width="4.21875" style="242" customWidth="1"/>
    <col min="1545" max="1545" width="19" style="242" customWidth="1"/>
    <col min="1546" max="1546" width="13.77734375" style="242" bestFit="1" customWidth="1"/>
    <col min="1547" max="1547" width="2" style="242" customWidth="1"/>
    <col min="1548" max="1548" width="8.77734375" style="242"/>
    <col min="1549" max="1549" width="2.21875" style="242" customWidth="1"/>
    <col min="1550" max="1550" width="8.77734375" style="242"/>
    <col min="1551" max="1551" width="2" style="242" customWidth="1"/>
    <col min="1552" max="1552" width="13.77734375" style="242" bestFit="1" customWidth="1"/>
    <col min="1553" max="1793" width="8.77734375" style="242"/>
    <col min="1794" max="1794" width="2.77734375" style="242" customWidth="1"/>
    <col min="1795" max="1795" width="2.33203125" style="242" customWidth="1"/>
    <col min="1796" max="1796" width="3.109375" style="242" customWidth="1"/>
    <col min="1797" max="1797" width="2.77734375" style="242" customWidth="1"/>
    <col min="1798" max="1798" width="2.21875" style="242" customWidth="1"/>
    <col min="1799" max="1799" width="2" style="242" customWidth="1"/>
    <col min="1800" max="1800" width="4.21875" style="242" customWidth="1"/>
    <col min="1801" max="1801" width="19" style="242" customWidth="1"/>
    <col min="1802" max="1802" width="13.77734375" style="242" bestFit="1" customWidth="1"/>
    <col min="1803" max="1803" width="2" style="242" customWidth="1"/>
    <col min="1804" max="1804" width="8.77734375" style="242"/>
    <col min="1805" max="1805" width="2.21875" style="242" customWidth="1"/>
    <col min="1806" max="1806" width="8.77734375" style="242"/>
    <col min="1807" max="1807" width="2" style="242" customWidth="1"/>
    <col min="1808" max="1808" width="13.77734375" style="242" bestFit="1" customWidth="1"/>
    <col min="1809" max="2049" width="8.77734375" style="242"/>
    <col min="2050" max="2050" width="2.77734375" style="242" customWidth="1"/>
    <col min="2051" max="2051" width="2.33203125" style="242" customWidth="1"/>
    <col min="2052" max="2052" width="3.109375" style="242" customWidth="1"/>
    <col min="2053" max="2053" width="2.77734375" style="242" customWidth="1"/>
    <col min="2054" max="2054" width="2.21875" style="242" customWidth="1"/>
    <col min="2055" max="2055" width="2" style="242" customWidth="1"/>
    <col min="2056" max="2056" width="4.21875" style="242" customWidth="1"/>
    <col min="2057" max="2057" width="19" style="242" customWidth="1"/>
    <col min="2058" max="2058" width="13.77734375" style="242" bestFit="1" customWidth="1"/>
    <col min="2059" max="2059" width="2" style="242" customWidth="1"/>
    <col min="2060" max="2060" width="8.77734375" style="242"/>
    <col min="2061" max="2061" width="2.21875" style="242" customWidth="1"/>
    <col min="2062" max="2062" width="8.77734375" style="242"/>
    <col min="2063" max="2063" width="2" style="242" customWidth="1"/>
    <col min="2064" max="2064" width="13.77734375" style="242" bestFit="1" customWidth="1"/>
    <col min="2065" max="2305" width="8.77734375" style="242"/>
    <col min="2306" max="2306" width="2.77734375" style="242" customWidth="1"/>
    <col min="2307" max="2307" width="2.33203125" style="242" customWidth="1"/>
    <col min="2308" max="2308" width="3.109375" style="242" customWidth="1"/>
    <col min="2309" max="2309" width="2.77734375" style="242" customWidth="1"/>
    <col min="2310" max="2310" width="2.21875" style="242" customWidth="1"/>
    <col min="2311" max="2311" width="2" style="242" customWidth="1"/>
    <col min="2312" max="2312" width="4.21875" style="242" customWidth="1"/>
    <col min="2313" max="2313" width="19" style="242" customWidth="1"/>
    <col min="2314" max="2314" width="13.77734375" style="242" bestFit="1" customWidth="1"/>
    <col min="2315" max="2315" width="2" style="242" customWidth="1"/>
    <col min="2316" max="2316" width="8.77734375" style="242"/>
    <col min="2317" max="2317" width="2.21875" style="242" customWidth="1"/>
    <col min="2318" max="2318" width="8.77734375" style="242"/>
    <col min="2319" max="2319" width="2" style="242" customWidth="1"/>
    <col min="2320" max="2320" width="13.77734375" style="242" bestFit="1" customWidth="1"/>
    <col min="2321" max="2561" width="8.77734375" style="242"/>
    <col min="2562" max="2562" width="2.77734375" style="242" customWidth="1"/>
    <col min="2563" max="2563" width="2.33203125" style="242" customWidth="1"/>
    <col min="2564" max="2564" width="3.109375" style="242" customWidth="1"/>
    <col min="2565" max="2565" width="2.77734375" style="242" customWidth="1"/>
    <col min="2566" max="2566" width="2.21875" style="242" customWidth="1"/>
    <col min="2567" max="2567" width="2" style="242" customWidth="1"/>
    <col min="2568" max="2568" width="4.21875" style="242" customWidth="1"/>
    <col min="2569" max="2569" width="19" style="242" customWidth="1"/>
    <col min="2570" max="2570" width="13.77734375" style="242" bestFit="1" customWidth="1"/>
    <col min="2571" max="2571" width="2" style="242" customWidth="1"/>
    <col min="2572" max="2572" width="8.77734375" style="242"/>
    <col min="2573" max="2573" width="2.21875" style="242" customWidth="1"/>
    <col min="2574" max="2574" width="8.77734375" style="242"/>
    <col min="2575" max="2575" width="2" style="242" customWidth="1"/>
    <col min="2576" max="2576" width="13.77734375" style="242" bestFit="1" customWidth="1"/>
    <col min="2577" max="2817" width="8.77734375" style="242"/>
    <col min="2818" max="2818" width="2.77734375" style="242" customWidth="1"/>
    <col min="2819" max="2819" width="2.33203125" style="242" customWidth="1"/>
    <col min="2820" max="2820" width="3.109375" style="242" customWidth="1"/>
    <col min="2821" max="2821" width="2.77734375" style="242" customWidth="1"/>
    <col min="2822" max="2822" width="2.21875" style="242" customWidth="1"/>
    <col min="2823" max="2823" width="2" style="242" customWidth="1"/>
    <col min="2824" max="2824" width="4.21875" style="242" customWidth="1"/>
    <col min="2825" max="2825" width="19" style="242" customWidth="1"/>
    <col min="2826" max="2826" width="13.77734375" style="242" bestFit="1" customWidth="1"/>
    <col min="2827" max="2827" width="2" style="242" customWidth="1"/>
    <col min="2828" max="2828" width="8.77734375" style="242"/>
    <col min="2829" max="2829" width="2.21875" style="242" customWidth="1"/>
    <col min="2830" max="2830" width="8.77734375" style="242"/>
    <col min="2831" max="2831" width="2" style="242" customWidth="1"/>
    <col min="2832" max="2832" width="13.77734375" style="242" bestFit="1" customWidth="1"/>
    <col min="2833" max="3073" width="8.77734375" style="242"/>
    <col min="3074" max="3074" width="2.77734375" style="242" customWidth="1"/>
    <col min="3075" max="3075" width="2.33203125" style="242" customWidth="1"/>
    <col min="3076" max="3076" width="3.109375" style="242" customWidth="1"/>
    <col min="3077" max="3077" width="2.77734375" style="242" customWidth="1"/>
    <col min="3078" max="3078" width="2.21875" style="242" customWidth="1"/>
    <col min="3079" max="3079" width="2" style="242" customWidth="1"/>
    <col min="3080" max="3080" width="4.21875" style="242" customWidth="1"/>
    <col min="3081" max="3081" width="19" style="242" customWidth="1"/>
    <col min="3082" max="3082" width="13.77734375" style="242" bestFit="1" customWidth="1"/>
    <col min="3083" max="3083" width="2" style="242" customWidth="1"/>
    <col min="3084" max="3084" width="8.77734375" style="242"/>
    <col min="3085" max="3085" width="2.21875" style="242" customWidth="1"/>
    <col min="3086" max="3086" width="8.77734375" style="242"/>
    <col min="3087" max="3087" width="2" style="242" customWidth="1"/>
    <col min="3088" max="3088" width="13.77734375" style="242" bestFit="1" customWidth="1"/>
    <col min="3089" max="3329" width="8.77734375" style="242"/>
    <col min="3330" max="3330" width="2.77734375" style="242" customWidth="1"/>
    <col min="3331" max="3331" width="2.33203125" style="242" customWidth="1"/>
    <col min="3332" max="3332" width="3.109375" style="242" customWidth="1"/>
    <col min="3333" max="3333" width="2.77734375" style="242" customWidth="1"/>
    <col min="3334" max="3334" width="2.21875" style="242" customWidth="1"/>
    <col min="3335" max="3335" width="2" style="242" customWidth="1"/>
    <col min="3336" max="3336" width="4.21875" style="242" customWidth="1"/>
    <col min="3337" max="3337" width="19" style="242" customWidth="1"/>
    <col min="3338" max="3338" width="13.77734375" style="242" bestFit="1" customWidth="1"/>
    <col min="3339" max="3339" width="2" style="242" customWidth="1"/>
    <col min="3340" max="3340" width="8.77734375" style="242"/>
    <col min="3341" max="3341" width="2.21875" style="242" customWidth="1"/>
    <col min="3342" max="3342" width="8.77734375" style="242"/>
    <col min="3343" max="3343" width="2" style="242" customWidth="1"/>
    <col min="3344" max="3344" width="13.77734375" style="242" bestFit="1" customWidth="1"/>
    <col min="3345" max="3585" width="8.77734375" style="242"/>
    <col min="3586" max="3586" width="2.77734375" style="242" customWidth="1"/>
    <col min="3587" max="3587" width="2.33203125" style="242" customWidth="1"/>
    <col min="3588" max="3588" width="3.109375" style="242" customWidth="1"/>
    <col min="3589" max="3589" width="2.77734375" style="242" customWidth="1"/>
    <col min="3590" max="3590" width="2.21875" style="242" customWidth="1"/>
    <col min="3591" max="3591" width="2" style="242" customWidth="1"/>
    <col min="3592" max="3592" width="4.21875" style="242" customWidth="1"/>
    <col min="3593" max="3593" width="19" style="242" customWidth="1"/>
    <col min="3594" max="3594" width="13.77734375" style="242" bestFit="1" customWidth="1"/>
    <col min="3595" max="3595" width="2" style="242" customWidth="1"/>
    <col min="3596" max="3596" width="8.77734375" style="242"/>
    <col min="3597" max="3597" width="2.21875" style="242" customWidth="1"/>
    <col min="3598" max="3598" width="8.77734375" style="242"/>
    <col min="3599" max="3599" width="2" style="242" customWidth="1"/>
    <col min="3600" max="3600" width="13.77734375" style="242" bestFit="1" customWidth="1"/>
    <col min="3601" max="3841" width="8.77734375" style="242"/>
    <col min="3842" max="3842" width="2.77734375" style="242" customWidth="1"/>
    <col min="3843" max="3843" width="2.33203125" style="242" customWidth="1"/>
    <col min="3844" max="3844" width="3.109375" style="242" customWidth="1"/>
    <col min="3845" max="3845" width="2.77734375" style="242" customWidth="1"/>
    <col min="3846" max="3846" width="2.21875" style="242" customWidth="1"/>
    <col min="3847" max="3847" width="2" style="242" customWidth="1"/>
    <col min="3848" max="3848" width="4.21875" style="242" customWidth="1"/>
    <col min="3849" max="3849" width="19" style="242" customWidth="1"/>
    <col min="3850" max="3850" width="13.77734375" style="242" bestFit="1" customWidth="1"/>
    <col min="3851" max="3851" width="2" style="242" customWidth="1"/>
    <col min="3852" max="3852" width="8.77734375" style="242"/>
    <col min="3853" max="3853" width="2.21875" style="242" customWidth="1"/>
    <col min="3854" max="3854" width="8.77734375" style="242"/>
    <col min="3855" max="3855" width="2" style="242" customWidth="1"/>
    <col min="3856" max="3856" width="13.77734375" style="242" bestFit="1" customWidth="1"/>
    <col min="3857" max="4097" width="8.77734375" style="242"/>
    <col min="4098" max="4098" width="2.77734375" style="242" customWidth="1"/>
    <col min="4099" max="4099" width="2.33203125" style="242" customWidth="1"/>
    <col min="4100" max="4100" width="3.109375" style="242" customWidth="1"/>
    <col min="4101" max="4101" width="2.77734375" style="242" customWidth="1"/>
    <col min="4102" max="4102" width="2.21875" style="242" customWidth="1"/>
    <col min="4103" max="4103" width="2" style="242" customWidth="1"/>
    <col min="4104" max="4104" width="4.21875" style="242" customWidth="1"/>
    <col min="4105" max="4105" width="19" style="242" customWidth="1"/>
    <col min="4106" max="4106" width="13.77734375" style="242" bestFit="1" customWidth="1"/>
    <col min="4107" max="4107" width="2" style="242" customWidth="1"/>
    <col min="4108" max="4108" width="8.77734375" style="242"/>
    <col min="4109" max="4109" width="2.21875" style="242" customWidth="1"/>
    <col min="4110" max="4110" width="8.77734375" style="242"/>
    <col min="4111" max="4111" width="2" style="242" customWidth="1"/>
    <col min="4112" max="4112" width="13.77734375" style="242" bestFit="1" customWidth="1"/>
    <col min="4113" max="4353" width="8.77734375" style="242"/>
    <col min="4354" max="4354" width="2.77734375" style="242" customWidth="1"/>
    <col min="4355" max="4355" width="2.33203125" style="242" customWidth="1"/>
    <col min="4356" max="4356" width="3.109375" style="242" customWidth="1"/>
    <col min="4357" max="4357" width="2.77734375" style="242" customWidth="1"/>
    <col min="4358" max="4358" width="2.21875" style="242" customWidth="1"/>
    <col min="4359" max="4359" width="2" style="242" customWidth="1"/>
    <col min="4360" max="4360" width="4.21875" style="242" customWidth="1"/>
    <col min="4361" max="4361" width="19" style="242" customWidth="1"/>
    <col min="4362" max="4362" width="13.77734375" style="242" bestFit="1" customWidth="1"/>
    <col min="4363" max="4363" width="2" style="242" customWidth="1"/>
    <col min="4364" max="4364" width="8.77734375" style="242"/>
    <col min="4365" max="4365" width="2.21875" style="242" customWidth="1"/>
    <col min="4366" max="4366" width="8.77734375" style="242"/>
    <col min="4367" max="4367" width="2" style="242" customWidth="1"/>
    <col min="4368" max="4368" width="13.77734375" style="242" bestFit="1" customWidth="1"/>
    <col min="4369" max="4609" width="8.77734375" style="242"/>
    <col min="4610" max="4610" width="2.77734375" style="242" customWidth="1"/>
    <col min="4611" max="4611" width="2.33203125" style="242" customWidth="1"/>
    <col min="4612" max="4612" width="3.109375" style="242" customWidth="1"/>
    <col min="4613" max="4613" width="2.77734375" style="242" customWidth="1"/>
    <col min="4614" max="4614" width="2.21875" style="242" customWidth="1"/>
    <col min="4615" max="4615" width="2" style="242" customWidth="1"/>
    <col min="4616" max="4616" width="4.21875" style="242" customWidth="1"/>
    <col min="4617" max="4617" width="19" style="242" customWidth="1"/>
    <col min="4618" max="4618" width="13.77734375" style="242" bestFit="1" customWidth="1"/>
    <col min="4619" max="4619" width="2" style="242" customWidth="1"/>
    <col min="4620" max="4620" width="8.77734375" style="242"/>
    <col min="4621" max="4621" width="2.21875" style="242" customWidth="1"/>
    <col min="4622" max="4622" width="8.77734375" style="242"/>
    <col min="4623" max="4623" width="2" style="242" customWidth="1"/>
    <col min="4624" max="4624" width="13.77734375" style="242" bestFit="1" customWidth="1"/>
    <col min="4625" max="4865" width="8.77734375" style="242"/>
    <col min="4866" max="4866" width="2.77734375" style="242" customWidth="1"/>
    <col min="4867" max="4867" width="2.33203125" style="242" customWidth="1"/>
    <col min="4868" max="4868" width="3.109375" style="242" customWidth="1"/>
    <col min="4869" max="4869" width="2.77734375" style="242" customWidth="1"/>
    <col min="4870" max="4870" width="2.21875" style="242" customWidth="1"/>
    <col min="4871" max="4871" width="2" style="242" customWidth="1"/>
    <col min="4872" max="4872" width="4.21875" style="242" customWidth="1"/>
    <col min="4873" max="4873" width="19" style="242" customWidth="1"/>
    <col min="4874" max="4874" width="13.77734375" style="242" bestFit="1" customWidth="1"/>
    <col min="4875" max="4875" width="2" style="242" customWidth="1"/>
    <col min="4876" max="4876" width="8.77734375" style="242"/>
    <col min="4877" max="4877" width="2.21875" style="242" customWidth="1"/>
    <col min="4878" max="4878" width="8.77734375" style="242"/>
    <col min="4879" max="4879" width="2" style="242" customWidth="1"/>
    <col min="4880" max="4880" width="13.77734375" style="242" bestFit="1" customWidth="1"/>
    <col min="4881" max="5121" width="8.77734375" style="242"/>
    <col min="5122" max="5122" width="2.77734375" style="242" customWidth="1"/>
    <col min="5123" max="5123" width="2.33203125" style="242" customWidth="1"/>
    <col min="5124" max="5124" width="3.109375" style="242" customWidth="1"/>
    <col min="5125" max="5125" width="2.77734375" style="242" customWidth="1"/>
    <col min="5126" max="5126" width="2.21875" style="242" customWidth="1"/>
    <col min="5127" max="5127" width="2" style="242" customWidth="1"/>
    <col min="5128" max="5128" width="4.21875" style="242" customWidth="1"/>
    <col min="5129" max="5129" width="19" style="242" customWidth="1"/>
    <col min="5130" max="5130" width="13.77734375" style="242" bestFit="1" customWidth="1"/>
    <col min="5131" max="5131" width="2" style="242" customWidth="1"/>
    <col min="5132" max="5132" width="8.77734375" style="242"/>
    <col min="5133" max="5133" width="2.21875" style="242" customWidth="1"/>
    <col min="5134" max="5134" width="8.77734375" style="242"/>
    <col min="5135" max="5135" width="2" style="242" customWidth="1"/>
    <col min="5136" max="5136" width="13.77734375" style="242" bestFit="1" customWidth="1"/>
    <col min="5137" max="5377" width="8.77734375" style="242"/>
    <col min="5378" max="5378" width="2.77734375" style="242" customWidth="1"/>
    <col min="5379" max="5379" width="2.33203125" style="242" customWidth="1"/>
    <col min="5380" max="5380" width="3.109375" style="242" customWidth="1"/>
    <col min="5381" max="5381" width="2.77734375" style="242" customWidth="1"/>
    <col min="5382" max="5382" width="2.21875" style="242" customWidth="1"/>
    <col min="5383" max="5383" width="2" style="242" customWidth="1"/>
    <col min="5384" max="5384" width="4.21875" style="242" customWidth="1"/>
    <col min="5385" max="5385" width="19" style="242" customWidth="1"/>
    <col min="5386" max="5386" width="13.77734375" style="242" bestFit="1" customWidth="1"/>
    <col min="5387" max="5387" width="2" style="242" customWidth="1"/>
    <col min="5388" max="5388" width="8.77734375" style="242"/>
    <col min="5389" max="5389" width="2.21875" style="242" customWidth="1"/>
    <col min="5390" max="5390" width="8.77734375" style="242"/>
    <col min="5391" max="5391" width="2" style="242" customWidth="1"/>
    <col min="5392" max="5392" width="13.77734375" style="242" bestFit="1" customWidth="1"/>
    <col min="5393" max="5633" width="8.77734375" style="242"/>
    <col min="5634" max="5634" width="2.77734375" style="242" customWidth="1"/>
    <col min="5635" max="5635" width="2.33203125" style="242" customWidth="1"/>
    <col min="5636" max="5636" width="3.109375" style="242" customWidth="1"/>
    <col min="5637" max="5637" width="2.77734375" style="242" customWidth="1"/>
    <col min="5638" max="5638" width="2.21875" style="242" customWidth="1"/>
    <col min="5639" max="5639" width="2" style="242" customWidth="1"/>
    <col min="5640" max="5640" width="4.21875" style="242" customWidth="1"/>
    <col min="5641" max="5641" width="19" style="242" customWidth="1"/>
    <col min="5642" max="5642" width="13.77734375" style="242" bestFit="1" customWidth="1"/>
    <col min="5643" max="5643" width="2" style="242" customWidth="1"/>
    <col min="5644" max="5644" width="8.77734375" style="242"/>
    <col min="5645" max="5645" width="2.21875" style="242" customWidth="1"/>
    <col min="5646" max="5646" width="8.77734375" style="242"/>
    <col min="5647" max="5647" width="2" style="242" customWidth="1"/>
    <col min="5648" max="5648" width="13.77734375" style="242" bestFit="1" customWidth="1"/>
    <col min="5649" max="5889" width="8.77734375" style="242"/>
    <col min="5890" max="5890" width="2.77734375" style="242" customWidth="1"/>
    <col min="5891" max="5891" width="2.33203125" style="242" customWidth="1"/>
    <col min="5892" max="5892" width="3.109375" style="242" customWidth="1"/>
    <col min="5893" max="5893" width="2.77734375" style="242" customWidth="1"/>
    <col min="5894" max="5894" width="2.21875" style="242" customWidth="1"/>
    <col min="5895" max="5895" width="2" style="242" customWidth="1"/>
    <col min="5896" max="5896" width="4.21875" style="242" customWidth="1"/>
    <col min="5897" max="5897" width="19" style="242" customWidth="1"/>
    <col min="5898" max="5898" width="13.77734375" style="242" bestFit="1" customWidth="1"/>
    <col min="5899" max="5899" width="2" style="242" customWidth="1"/>
    <col min="5900" max="5900" width="8.77734375" style="242"/>
    <col min="5901" max="5901" width="2.21875" style="242" customWidth="1"/>
    <col min="5902" max="5902" width="8.77734375" style="242"/>
    <col min="5903" max="5903" width="2" style="242" customWidth="1"/>
    <col min="5904" max="5904" width="13.77734375" style="242" bestFit="1" customWidth="1"/>
    <col min="5905" max="6145" width="8.77734375" style="242"/>
    <col min="6146" max="6146" width="2.77734375" style="242" customWidth="1"/>
    <col min="6147" max="6147" width="2.33203125" style="242" customWidth="1"/>
    <col min="6148" max="6148" width="3.109375" style="242" customWidth="1"/>
    <col min="6149" max="6149" width="2.77734375" style="242" customWidth="1"/>
    <col min="6150" max="6150" width="2.21875" style="242" customWidth="1"/>
    <col min="6151" max="6151" width="2" style="242" customWidth="1"/>
    <col min="6152" max="6152" width="4.21875" style="242" customWidth="1"/>
    <col min="6153" max="6153" width="19" style="242" customWidth="1"/>
    <col min="6154" max="6154" width="13.77734375" style="242" bestFit="1" customWidth="1"/>
    <col min="6155" max="6155" width="2" style="242" customWidth="1"/>
    <col min="6156" max="6156" width="8.77734375" style="242"/>
    <col min="6157" max="6157" width="2.21875" style="242" customWidth="1"/>
    <col min="6158" max="6158" width="8.77734375" style="242"/>
    <col min="6159" max="6159" width="2" style="242" customWidth="1"/>
    <col min="6160" max="6160" width="13.77734375" style="242" bestFit="1" customWidth="1"/>
    <col min="6161" max="6401" width="8.77734375" style="242"/>
    <col min="6402" max="6402" width="2.77734375" style="242" customWidth="1"/>
    <col min="6403" max="6403" width="2.33203125" style="242" customWidth="1"/>
    <col min="6404" max="6404" width="3.109375" style="242" customWidth="1"/>
    <col min="6405" max="6405" width="2.77734375" style="242" customWidth="1"/>
    <col min="6406" max="6406" width="2.21875" style="242" customWidth="1"/>
    <col min="6407" max="6407" width="2" style="242" customWidth="1"/>
    <col min="6408" max="6408" width="4.21875" style="242" customWidth="1"/>
    <col min="6409" max="6409" width="19" style="242" customWidth="1"/>
    <col min="6410" max="6410" width="13.77734375" style="242" bestFit="1" customWidth="1"/>
    <col min="6411" max="6411" width="2" style="242" customWidth="1"/>
    <col min="6412" max="6412" width="8.77734375" style="242"/>
    <col min="6413" max="6413" width="2.21875" style="242" customWidth="1"/>
    <col min="6414" max="6414" width="8.77734375" style="242"/>
    <col min="6415" max="6415" width="2" style="242" customWidth="1"/>
    <col min="6416" max="6416" width="13.77734375" style="242" bestFit="1" customWidth="1"/>
    <col min="6417" max="6657" width="8.77734375" style="242"/>
    <col min="6658" max="6658" width="2.77734375" style="242" customWidth="1"/>
    <col min="6659" max="6659" width="2.33203125" style="242" customWidth="1"/>
    <col min="6660" max="6660" width="3.109375" style="242" customWidth="1"/>
    <col min="6661" max="6661" width="2.77734375" style="242" customWidth="1"/>
    <col min="6662" max="6662" width="2.21875" style="242" customWidth="1"/>
    <col min="6663" max="6663" width="2" style="242" customWidth="1"/>
    <col min="6664" max="6664" width="4.21875" style="242" customWidth="1"/>
    <col min="6665" max="6665" width="19" style="242" customWidth="1"/>
    <col min="6666" max="6666" width="13.77734375" style="242" bestFit="1" customWidth="1"/>
    <col min="6667" max="6667" width="2" style="242" customWidth="1"/>
    <col min="6668" max="6668" width="8.77734375" style="242"/>
    <col min="6669" max="6669" width="2.21875" style="242" customWidth="1"/>
    <col min="6670" max="6670" width="8.77734375" style="242"/>
    <col min="6671" max="6671" width="2" style="242" customWidth="1"/>
    <col min="6672" max="6672" width="13.77734375" style="242" bestFit="1" customWidth="1"/>
    <col min="6673" max="6913" width="8.77734375" style="242"/>
    <col min="6914" max="6914" width="2.77734375" style="242" customWidth="1"/>
    <col min="6915" max="6915" width="2.33203125" style="242" customWidth="1"/>
    <col min="6916" max="6916" width="3.109375" style="242" customWidth="1"/>
    <col min="6917" max="6917" width="2.77734375" style="242" customWidth="1"/>
    <col min="6918" max="6918" width="2.21875" style="242" customWidth="1"/>
    <col min="6919" max="6919" width="2" style="242" customWidth="1"/>
    <col min="6920" max="6920" width="4.21875" style="242" customWidth="1"/>
    <col min="6921" max="6921" width="19" style="242" customWidth="1"/>
    <col min="6922" max="6922" width="13.77734375" style="242" bestFit="1" customWidth="1"/>
    <col min="6923" max="6923" width="2" style="242" customWidth="1"/>
    <col min="6924" max="6924" width="8.77734375" style="242"/>
    <col min="6925" max="6925" width="2.21875" style="242" customWidth="1"/>
    <col min="6926" max="6926" width="8.77734375" style="242"/>
    <col min="6927" max="6927" width="2" style="242" customWidth="1"/>
    <col min="6928" max="6928" width="13.77734375" style="242" bestFit="1" customWidth="1"/>
    <col min="6929" max="7169" width="8.77734375" style="242"/>
    <col min="7170" max="7170" width="2.77734375" style="242" customWidth="1"/>
    <col min="7171" max="7171" width="2.33203125" style="242" customWidth="1"/>
    <col min="7172" max="7172" width="3.109375" style="242" customWidth="1"/>
    <col min="7173" max="7173" width="2.77734375" style="242" customWidth="1"/>
    <col min="7174" max="7174" width="2.21875" style="242" customWidth="1"/>
    <col min="7175" max="7175" width="2" style="242" customWidth="1"/>
    <col min="7176" max="7176" width="4.21875" style="242" customWidth="1"/>
    <col min="7177" max="7177" width="19" style="242" customWidth="1"/>
    <col min="7178" max="7178" width="13.77734375" style="242" bestFit="1" customWidth="1"/>
    <col min="7179" max="7179" width="2" style="242" customWidth="1"/>
    <col min="7180" max="7180" width="8.77734375" style="242"/>
    <col min="7181" max="7181" width="2.21875" style="242" customWidth="1"/>
    <col min="7182" max="7182" width="8.77734375" style="242"/>
    <col min="7183" max="7183" width="2" style="242" customWidth="1"/>
    <col min="7184" max="7184" width="13.77734375" style="242" bestFit="1" customWidth="1"/>
    <col min="7185" max="7425" width="8.77734375" style="242"/>
    <col min="7426" max="7426" width="2.77734375" style="242" customWidth="1"/>
    <col min="7427" max="7427" width="2.33203125" style="242" customWidth="1"/>
    <col min="7428" max="7428" width="3.109375" style="242" customWidth="1"/>
    <col min="7429" max="7429" width="2.77734375" style="242" customWidth="1"/>
    <col min="7430" max="7430" width="2.21875" style="242" customWidth="1"/>
    <col min="7431" max="7431" width="2" style="242" customWidth="1"/>
    <col min="7432" max="7432" width="4.21875" style="242" customWidth="1"/>
    <col min="7433" max="7433" width="19" style="242" customWidth="1"/>
    <col min="7434" max="7434" width="13.77734375" style="242" bestFit="1" customWidth="1"/>
    <col min="7435" max="7435" width="2" style="242" customWidth="1"/>
    <col min="7436" max="7436" width="8.77734375" style="242"/>
    <col min="7437" max="7437" width="2.21875" style="242" customWidth="1"/>
    <col min="7438" max="7438" width="8.77734375" style="242"/>
    <col min="7439" max="7439" width="2" style="242" customWidth="1"/>
    <col min="7440" max="7440" width="13.77734375" style="242" bestFit="1" customWidth="1"/>
    <col min="7441" max="7681" width="8.77734375" style="242"/>
    <col min="7682" max="7682" width="2.77734375" style="242" customWidth="1"/>
    <col min="7683" max="7683" width="2.33203125" style="242" customWidth="1"/>
    <col min="7684" max="7684" width="3.109375" style="242" customWidth="1"/>
    <col min="7685" max="7685" width="2.77734375" style="242" customWidth="1"/>
    <col min="7686" max="7686" width="2.21875" style="242" customWidth="1"/>
    <col min="7687" max="7687" width="2" style="242" customWidth="1"/>
    <col min="7688" max="7688" width="4.21875" style="242" customWidth="1"/>
    <col min="7689" max="7689" width="19" style="242" customWidth="1"/>
    <col min="7690" max="7690" width="13.77734375" style="242" bestFit="1" customWidth="1"/>
    <col min="7691" max="7691" width="2" style="242" customWidth="1"/>
    <col min="7692" max="7692" width="8.77734375" style="242"/>
    <col min="7693" max="7693" width="2.21875" style="242" customWidth="1"/>
    <col min="7694" max="7694" width="8.77734375" style="242"/>
    <col min="7695" max="7695" width="2" style="242" customWidth="1"/>
    <col min="7696" max="7696" width="13.77734375" style="242" bestFit="1" customWidth="1"/>
    <col min="7697" max="7937" width="8.77734375" style="242"/>
    <col min="7938" max="7938" width="2.77734375" style="242" customWidth="1"/>
    <col min="7939" max="7939" width="2.33203125" style="242" customWidth="1"/>
    <col min="7940" max="7940" width="3.109375" style="242" customWidth="1"/>
    <col min="7941" max="7941" width="2.77734375" style="242" customWidth="1"/>
    <col min="7942" max="7942" width="2.21875" style="242" customWidth="1"/>
    <col min="7943" max="7943" width="2" style="242" customWidth="1"/>
    <col min="7944" max="7944" width="4.21875" style="242" customWidth="1"/>
    <col min="7945" max="7945" width="19" style="242" customWidth="1"/>
    <col min="7946" max="7946" width="13.77734375" style="242" bestFit="1" customWidth="1"/>
    <col min="7947" max="7947" width="2" style="242" customWidth="1"/>
    <col min="7948" max="7948" width="8.77734375" style="242"/>
    <col min="7949" max="7949" width="2.21875" style="242" customWidth="1"/>
    <col min="7950" max="7950" width="8.77734375" style="242"/>
    <col min="7951" max="7951" width="2" style="242" customWidth="1"/>
    <col min="7952" max="7952" width="13.77734375" style="242" bestFit="1" customWidth="1"/>
    <col min="7953" max="8193" width="8.77734375" style="242"/>
    <col min="8194" max="8194" width="2.77734375" style="242" customWidth="1"/>
    <col min="8195" max="8195" width="2.33203125" style="242" customWidth="1"/>
    <col min="8196" max="8196" width="3.109375" style="242" customWidth="1"/>
    <col min="8197" max="8197" width="2.77734375" style="242" customWidth="1"/>
    <col min="8198" max="8198" width="2.21875" style="242" customWidth="1"/>
    <col min="8199" max="8199" width="2" style="242" customWidth="1"/>
    <col min="8200" max="8200" width="4.21875" style="242" customWidth="1"/>
    <col min="8201" max="8201" width="19" style="242" customWidth="1"/>
    <col min="8202" max="8202" width="13.77734375" style="242" bestFit="1" customWidth="1"/>
    <col min="8203" max="8203" width="2" style="242" customWidth="1"/>
    <col min="8204" max="8204" width="8.77734375" style="242"/>
    <col min="8205" max="8205" width="2.21875" style="242" customWidth="1"/>
    <col min="8206" max="8206" width="8.77734375" style="242"/>
    <col min="8207" max="8207" width="2" style="242" customWidth="1"/>
    <col min="8208" max="8208" width="13.77734375" style="242" bestFit="1" customWidth="1"/>
    <col min="8209" max="8449" width="8.77734375" style="242"/>
    <col min="8450" max="8450" width="2.77734375" style="242" customWidth="1"/>
    <col min="8451" max="8451" width="2.33203125" style="242" customWidth="1"/>
    <col min="8452" max="8452" width="3.109375" style="242" customWidth="1"/>
    <col min="8453" max="8453" width="2.77734375" style="242" customWidth="1"/>
    <col min="8454" max="8454" width="2.21875" style="242" customWidth="1"/>
    <col min="8455" max="8455" width="2" style="242" customWidth="1"/>
    <col min="8456" max="8456" width="4.21875" style="242" customWidth="1"/>
    <col min="8457" max="8457" width="19" style="242" customWidth="1"/>
    <col min="8458" max="8458" width="13.77734375" style="242" bestFit="1" customWidth="1"/>
    <col min="8459" max="8459" width="2" style="242" customWidth="1"/>
    <col min="8460" max="8460" width="8.77734375" style="242"/>
    <col min="8461" max="8461" width="2.21875" style="242" customWidth="1"/>
    <col min="8462" max="8462" width="8.77734375" style="242"/>
    <col min="8463" max="8463" width="2" style="242" customWidth="1"/>
    <col min="8464" max="8464" width="13.77734375" style="242" bestFit="1" customWidth="1"/>
    <col min="8465" max="8705" width="8.77734375" style="242"/>
    <col min="8706" max="8706" width="2.77734375" style="242" customWidth="1"/>
    <col min="8707" max="8707" width="2.33203125" style="242" customWidth="1"/>
    <col min="8708" max="8708" width="3.109375" style="242" customWidth="1"/>
    <col min="8709" max="8709" width="2.77734375" style="242" customWidth="1"/>
    <col min="8710" max="8710" width="2.21875" style="242" customWidth="1"/>
    <col min="8711" max="8711" width="2" style="242" customWidth="1"/>
    <col min="8712" max="8712" width="4.21875" style="242" customWidth="1"/>
    <col min="8713" max="8713" width="19" style="242" customWidth="1"/>
    <col min="8714" max="8714" width="13.77734375" style="242" bestFit="1" customWidth="1"/>
    <col min="8715" max="8715" width="2" style="242" customWidth="1"/>
    <col min="8716" max="8716" width="8.77734375" style="242"/>
    <col min="8717" max="8717" width="2.21875" style="242" customWidth="1"/>
    <col min="8718" max="8718" width="8.77734375" style="242"/>
    <col min="8719" max="8719" width="2" style="242" customWidth="1"/>
    <col min="8720" max="8720" width="13.77734375" style="242" bestFit="1" customWidth="1"/>
    <col min="8721" max="8961" width="8.77734375" style="242"/>
    <col min="8962" max="8962" width="2.77734375" style="242" customWidth="1"/>
    <col min="8963" max="8963" width="2.33203125" style="242" customWidth="1"/>
    <col min="8964" max="8964" width="3.109375" style="242" customWidth="1"/>
    <col min="8965" max="8965" width="2.77734375" style="242" customWidth="1"/>
    <col min="8966" max="8966" width="2.21875" style="242" customWidth="1"/>
    <col min="8967" max="8967" width="2" style="242" customWidth="1"/>
    <col min="8968" max="8968" width="4.21875" style="242" customWidth="1"/>
    <col min="8969" max="8969" width="19" style="242" customWidth="1"/>
    <col min="8970" max="8970" width="13.77734375" style="242" bestFit="1" customWidth="1"/>
    <col min="8971" max="8971" width="2" style="242" customWidth="1"/>
    <col min="8972" max="8972" width="8.77734375" style="242"/>
    <col min="8973" max="8973" width="2.21875" style="242" customWidth="1"/>
    <col min="8974" max="8974" width="8.77734375" style="242"/>
    <col min="8975" max="8975" width="2" style="242" customWidth="1"/>
    <col min="8976" max="8976" width="13.77734375" style="242" bestFit="1" customWidth="1"/>
    <col min="8977" max="9217" width="8.77734375" style="242"/>
    <col min="9218" max="9218" width="2.77734375" style="242" customWidth="1"/>
    <col min="9219" max="9219" width="2.33203125" style="242" customWidth="1"/>
    <col min="9220" max="9220" width="3.109375" style="242" customWidth="1"/>
    <col min="9221" max="9221" width="2.77734375" style="242" customWidth="1"/>
    <col min="9222" max="9222" width="2.21875" style="242" customWidth="1"/>
    <col min="9223" max="9223" width="2" style="242" customWidth="1"/>
    <col min="9224" max="9224" width="4.21875" style="242" customWidth="1"/>
    <col min="9225" max="9225" width="19" style="242" customWidth="1"/>
    <col min="9226" max="9226" width="13.77734375" style="242" bestFit="1" customWidth="1"/>
    <col min="9227" max="9227" width="2" style="242" customWidth="1"/>
    <col min="9228" max="9228" width="8.77734375" style="242"/>
    <col min="9229" max="9229" width="2.21875" style="242" customWidth="1"/>
    <col min="9230" max="9230" width="8.77734375" style="242"/>
    <col min="9231" max="9231" width="2" style="242" customWidth="1"/>
    <col min="9232" max="9232" width="13.77734375" style="242" bestFit="1" customWidth="1"/>
    <col min="9233" max="9473" width="8.77734375" style="242"/>
    <col min="9474" max="9474" width="2.77734375" style="242" customWidth="1"/>
    <col min="9475" max="9475" width="2.33203125" style="242" customWidth="1"/>
    <col min="9476" max="9476" width="3.109375" style="242" customWidth="1"/>
    <col min="9477" max="9477" width="2.77734375" style="242" customWidth="1"/>
    <col min="9478" max="9478" width="2.21875" style="242" customWidth="1"/>
    <col min="9479" max="9479" width="2" style="242" customWidth="1"/>
    <col min="9480" max="9480" width="4.21875" style="242" customWidth="1"/>
    <col min="9481" max="9481" width="19" style="242" customWidth="1"/>
    <col min="9482" max="9482" width="13.77734375" style="242" bestFit="1" customWidth="1"/>
    <col min="9483" max="9483" width="2" style="242" customWidth="1"/>
    <col min="9484" max="9484" width="8.77734375" style="242"/>
    <col min="9485" max="9485" width="2.21875" style="242" customWidth="1"/>
    <col min="9486" max="9486" width="8.77734375" style="242"/>
    <col min="9487" max="9487" width="2" style="242" customWidth="1"/>
    <col min="9488" max="9488" width="13.77734375" style="242" bestFit="1" customWidth="1"/>
    <col min="9489" max="9729" width="8.77734375" style="242"/>
    <col min="9730" max="9730" width="2.77734375" style="242" customWidth="1"/>
    <col min="9731" max="9731" width="2.33203125" style="242" customWidth="1"/>
    <col min="9732" max="9732" width="3.109375" style="242" customWidth="1"/>
    <col min="9733" max="9733" width="2.77734375" style="242" customWidth="1"/>
    <col min="9734" max="9734" width="2.21875" style="242" customWidth="1"/>
    <col min="9735" max="9735" width="2" style="242" customWidth="1"/>
    <col min="9736" max="9736" width="4.21875" style="242" customWidth="1"/>
    <col min="9737" max="9737" width="19" style="242" customWidth="1"/>
    <col min="9738" max="9738" width="13.77734375" style="242" bestFit="1" customWidth="1"/>
    <col min="9739" max="9739" width="2" style="242" customWidth="1"/>
    <col min="9740" max="9740" width="8.77734375" style="242"/>
    <col min="9741" max="9741" width="2.21875" style="242" customWidth="1"/>
    <col min="9742" max="9742" width="8.77734375" style="242"/>
    <col min="9743" max="9743" width="2" style="242" customWidth="1"/>
    <col min="9744" max="9744" width="13.77734375" style="242" bestFit="1" customWidth="1"/>
    <col min="9745" max="9985" width="8.77734375" style="242"/>
    <col min="9986" max="9986" width="2.77734375" style="242" customWidth="1"/>
    <col min="9987" max="9987" width="2.33203125" style="242" customWidth="1"/>
    <col min="9988" max="9988" width="3.109375" style="242" customWidth="1"/>
    <col min="9989" max="9989" width="2.77734375" style="242" customWidth="1"/>
    <col min="9990" max="9990" width="2.21875" style="242" customWidth="1"/>
    <col min="9991" max="9991" width="2" style="242" customWidth="1"/>
    <col min="9992" max="9992" width="4.21875" style="242" customWidth="1"/>
    <col min="9993" max="9993" width="19" style="242" customWidth="1"/>
    <col min="9994" max="9994" width="13.77734375" style="242" bestFit="1" customWidth="1"/>
    <col min="9995" max="9995" width="2" style="242" customWidth="1"/>
    <col min="9996" max="9996" width="8.77734375" style="242"/>
    <col min="9997" max="9997" width="2.21875" style="242" customWidth="1"/>
    <col min="9998" max="9998" width="8.77734375" style="242"/>
    <col min="9999" max="9999" width="2" style="242" customWidth="1"/>
    <col min="10000" max="10000" width="13.77734375" style="242" bestFit="1" customWidth="1"/>
    <col min="10001" max="10241" width="8.77734375" style="242"/>
    <col min="10242" max="10242" width="2.77734375" style="242" customWidth="1"/>
    <col min="10243" max="10243" width="2.33203125" style="242" customWidth="1"/>
    <col min="10244" max="10244" width="3.109375" style="242" customWidth="1"/>
    <col min="10245" max="10245" width="2.77734375" style="242" customWidth="1"/>
    <col min="10246" max="10246" width="2.21875" style="242" customWidth="1"/>
    <col min="10247" max="10247" width="2" style="242" customWidth="1"/>
    <col min="10248" max="10248" width="4.21875" style="242" customWidth="1"/>
    <col min="10249" max="10249" width="19" style="242" customWidth="1"/>
    <col min="10250" max="10250" width="13.77734375" style="242" bestFit="1" customWidth="1"/>
    <col min="10251" max="10251" width="2" style="242" customWidth="1"/>
    <col min="10252" max="10252" width="8.77734375" style="242"/>
    <col min="10253" max="10253" width="2.21875" style="242" customWidth="1"/>
    <col min="10254" max="10254" width="8.77734375" style="242"/>
    <col min="10255" max="10255" width="2" style="242" customWidth="1"/>
    <col min="10256" max="10256" width="13.77734375" style="242" bestFit="1" customWidth="1"/>
    <col min="10257" max="10497" width="8.77734375" style="242"/>
    <col min="10498" max="10498" width="2.77734375" style="242" customWidth="1"/>
    <col min="10499" max="10499" width="2.33203125" style="242" customWidth="1"/>
    <col min="10500" max="10500" width="3.109375" style="242" customWidth="1"/>
    <col min="10501" max="10501" width="2.77734375" style="242" customWidth="1"/>
    <col min="10502" max="10502" width="2.21875" style="242" customWidth="1"/>
    <col min="10503" max="10503" width="2" style="242" customWidth="1"/>
    <col min="10504" max="10504" width="4.21875" style="242" customWidth="1"/>
    <col min="10505" max="10505" width="19" style="242" customWidth="1"/>
    <col min="10506" max="10506" width="13.77734375" style="242" bestFit="1" customWidth="1"/>
    <col min="10507" max="10507" width="2" style="242" customWidth="1"/>
    <col min="10508" max="10508" width="8.77734375" style="242"/>
    <col min="10509" max="10509" width="2.21875" style="242" customWidth="1"/>
    <col min="10510" max="10510" width="8.77734375" style="242"/>
    <col min="10511" max="10511" width="2" style="242" customWidth="1"/>
    <col min="10512" max="10512" width="13.77734375" style="242" bestFit="1" customWidth="1"/>
    <col min="10513" max="10753" width="8.77734375" style="242"/>
    <col min="10754" max="10754" width="2.77734375" style="242" customWidth="1"/>
    <col min="10755" max="10755" width="2.33203125" style="242" customWidth="1"/>
    <col min="10756" max="10756" width="3.109375" style="242" customWidth="1"/>
    <col min="10757" max="10757" width="2.77734375" style="242" customWidth="1"/>
    <col min="10758" max="10758" width="2.21875" style="242" customWidth="1"/>
    <col min="10759" max="10759" width="2" style="242" customWidth="1"/>
    <col min="10760" max="10760" width="4.21875" style="242" customWidth="1"/>
    <col min="10761" max="10761" width="19" style="242" customWidth="1"/>
    <col min="10762" max="10762" width="13.77734375" style="242" bestFit="1" customWidth="1"/>
    <col min="10763" max="10763" width="2" style="242" customWidth="1"/>
    <col min="10764" max="10764" width="8.77734375" style="242"/>
    <col min="10765" max="10765" width="2.21875" style="242" customWidth="1"/>
    <col min="10766" max="10766" width="8.77734375" style="242"/>
    <col min="10767" max="10767" width="2" style="242" customWidth="1"/>
    <col min="10768" max="10768" width="13.77734375" style="242" bestFit="1" customWidth="1"/>
    <col min="10769" max="11009" width="8.77734375" style="242"/>
    <col min="11010" max="11010" width="2.77734375" style="242" customWidth="1"/>
    <col min="11011" max="11011" width="2.33203125" style="242" customWidth="1"/>
    <col min="11012" max="11012" width="3.109375" style="242" customWidth="1"/>
    <col min="11013" max="11013" width="2.77734375" style="242" customWidth="1"/>
    <col min="11014" max="11014" width="2.21875" style="242" customWidth="1"/>
    <col min="11015" max="11015" width="2" style="242" customWidth="1"/>
    <col min="11016" max="11016" width="4.21875" style="242" customWidth="1"/>
    <col min="11017" max="11017" width="19" style="242" customWidth="1"/>
    <col min="11018" max="11018" width="13.77734375" style="242" bestFit="1" customWidth="1"/>
    <col min="11019" max="11019" width="2" style="242" customWidth="1"/>
    <col min="11020" max="11020" width="8.77734375" style="242"/>
    <col min="11021" max="11021" width="2.21875" style="242" customWidth="1"/>
    <col min="11022" max="11022" width="8.77734375" style="242"/>
    <col min="11023" max="11023" width="2" style="242" customWidth="1"/>
    <col min="11024" max="11024" width="13.77734375" style="242" bestFit="1" customWidth="1"/>
    <col min="11025" max="11265" width="8.77734375" style="242"/>
    <col min="11266" max="11266" width="2.77734375" style="242" customWidth="1"/>
    <col min="11267" max="11267" width="2.33203125" style="242" customWidth="1"/>
    <col min="11268" max="11268" width="3.109375" style="242" customWidth="1"/>
    <col min="11269" max="11269" width="2.77734375" style="242" customWidth="1"/>
    <col min="11270" max="11270" width="2.21875" style="242" customWidth="1"/>
    <col min="11271" max="11271" width="2" style="242" customWidth="1"/>
    <col min="11272" max="11272" width="4.21875" style="242" customWidth="1"/>
    <col min="11273" max="11273" width="19" style="242" customWidth="1"/>
    <col min="11274" max="11274" width="13.77734375" style="242" bestFit="1" customWidth="1"/>
    <col min="11275" max="11275" width="2" style="242" customWidth="1"/>
    <col min="11276" max="11276" width="8.77734375" style="242"/>
    <col min="11277" max="11277" width="2.21875" style="242" customWidth="1"/>
    <col min="11278" max="11278" width="8.77734375" style="242"/>
    <col min="11279" max="11279" width="2" style="242" customWidth="1"/>
    <col min="11280" max="11280" width="13.77734375" style="242" bestFit="1" customWidth="1"/>
    <col min="11281" max="11521" width="8.77734375" style="242"/>
    <col min="11522" max="11522" width="2.77734375" style="242" customWidth="1"/>
    <col min="11523" max="11523" width="2.33203125" style="242" customWidth="1"/>
    <col min="11524" max="11524" width="3.109375" style="242" customWidth="1"/>
    <col min="11525" max="11525" width="2.77734375" style="242" customWidth="1"/>
    <col min="11526" max="11526" width="2.21875" style="242" customWidth="1"/>
    <col min="11527" max="11527" width="2" style="242" customWidth="1"/>
    <col min="11528" max="11528" width="4.21875" style="242" customWidth="1"/>
    <col min="11529" max="11529" width="19" style="242" customWidth="1"/>
    <col min="11530" max="11530" width="13.77734375" style="242" bestFit="1" customWidth="1"/>
    <col min="11531" max="11531" width="2" style="242" customWidth="1"/>
    <col min="11532" max="11532" width="8.77734375" style="242"/>
    <col min="11533" max="11533" width="2.21875" style="242" customWidth="1"/>
    <col min="11534" max="11534" width="8.77734375" style="242"/>
    <col min="11535" max="11535" width="2" style="242" customWidth="1"/>
    <col min="11536" max="11536" width="13.77734375" style="242" bestFit="1" customWidth="1"/>
    <col min="11537" max="11777" width="8.77734375" style="242"/>
    <col min="11778" max="11778" width="2.77734375" style="242" customWidth="1"/>
    <col min="11779" max="11779" width="2.33203125" style="242" customWidth="1"/>
    <col min="11780" max="11780" width="3.109375" style="242" customWidth="1"/>
    <col min="11781" max="11781" width="2.77734375" style="242" customWidth="1"/>
    <col min="11782" max="11782" width="2.21875" style="242" customWidth="1"/>
    <col min="11783" max="11783" width="2" style="242" customWidth="1"/>
    <col min="11784" max="11784" width="4.21875" style="242" customWidth="1"/>
    <col min="11785" max="11785" width="19" style="242" customWidth="1"/>
    <col min="11786" max="11786" width="13.77734375" style="242" bestFit="1" customWidth="1"/>
    <col min="11787" max="11787" width="2" style="242" customWidth="1"/>
    <col min="11788" max="11788" width="8.77734375" style="242"/>
    <col min="11789" max="11789" width="2.21875" style="242" customWidth="1"/>
    <col min="11790" max="11790" width="8.77734375" style="242"/>
    <col min="11791" max="11791" width="2" style="242" customWidth="1"/>
    <col min="11792" max="11792" width="13.77734375" style="242" bestFit="1" customWidth="1"/>
    <col min="11793" max="12033" width="8.77734375" style="242"/>
    <col min="12034" max="12034" width="2.77734375" style="242" customWidth="1"/>
    <col min="12035" max="12035" width="2.33203125" style="242" customWidth="1"/>
    <col min="12036" max="12036" width="3.109375" style="242" customWidth="1"/>
    <col min="12037" max="12037" width="2.77734375" style="242" customWidth="1"/>
    <col min="12038" max="12038" width="2.21875" style="242" customWidth="1"/>
    <col min="12039" max="12039" width="2" style="242" customWidth="1"/>
    <col min="12040" max="12040" width="4.21875" style="242" customWidth="1"/>
    <col min="12041" max="12041" width="19" style="242" customWidth="1"/>
    <col min="12042" max="12042" width="13.77734375" style="242" bestFit="1" customWidth="1"/>
    <col min="12043" max="12043" width="2" style="242" customWidth="1"/>
    <col min="12044" max="12044" width="8.77734375" style="242"/>
    <col min="12045" max="12045" width="2.21875" style="242" customWidth="1"/>
    <col min="12046" max="12046" width="8.77734375" style="242"/>
    <col min="12047" max="12047" width="2" style="242" customWidth="1"/>
    <col min="12048" max="12048" width="13.77734375" style="242" bestFit="1" customWidth="1"/>
    <col min="12049" max="12289" width="8.77734375" style="242"/>
    <col min="12290" max="12290" width="2.77734375" style="242" customWidth="1"/>
    <col min="12291" max="12291" width="2.33203125" style="242" customWidth="1"/>
    <col min="12292" max="12292" width="3.109375" style="242" customWidth="1"/>
    <col min="12293" max="12293" width="2.77734375" style="242" customWidth="1"/>
    <col min="12294" max="12294" width="2.21875" style="242" customWidth="1"/>
    <col min="12295" max="12295" width="2" style="242" customWidth="1"/>
    <col min="12296" max="12296" width="4.21875" style="242" customWidth="1"/>
    <col min="12297" max="12297" width="19" style="242" customWidth="1"/>
    <col min="12298" max="12298" width="13.77734375" style="242" bestFit="1" customWidth="1"/>
    <col min="12299" max="12299" width="2" style="242" customWidth="1"/>
    <col min="12300" max="12300" width="8.77734375" style="242"/>
    <col min="12301" max="12301" width="2.21875" style="242" customWidth="1"/>
    <col min="12302" max="12302" width="8.77734375" style="242"/>
    <col min="12303" max="12303" width="2" style="242" customWidth="1"/>
    <col min="12304" max="12304" width="13.77734375" style="242" bestFit="1" customWidth="1"/>
    <col min="12305" max="12545" width="8.77734375" style="242"/>
    <col min="12546" max="12546" width="2.77734375" style="242" customWidth="1"/>
    <col min="12547" max="12547" width="2.33203125" style="242" customWidth="1"/>
    <col min="12548" max="12548" width="3.109375" style="242" customWidth="1"/>
    <col min="12549" max="12549" width="2.77734375" style="242" customWidth="1"/>
    <col min="12550" max="12550" width="2.21875" style="242" customWidth="1"/>
    <col min="12551" max="12551" width="2" style="242" customWidth="1"/>
    <col min="12552" max="12552" width="4.21875" style="242" customWidth="1"/>
    <col min="12553" max="12553" width="19" style="242" customWidth="1"/>
    <col min="12554" max="12554" width="13.77734375" style="242" bestFit="1" customWidth="1"/>
    <col min="12555" max="12555" width="2" style="242" customWidth="1"/>
    <col min="12556" max="12556" width="8.77734375" style="242"/>
    <col min="12557" max="12557" width="2.21875" style="242" customWidth="1"/>
    <col min="12558" max="12558" width="8.77734375" style="242"/>
    <col min="12559" max="12559" width="2" style="242" customWidth="1"/>
    <col min="12560" max="12560" width="13.77734375" style="242" bestFit="1" customWidth="1"/>
    <col min="12561" max="12801" width="8.77734375" style="242"/>
    <col min="12802" max="12802" width="2.77734375" style="242" customWidth="1"/>
    <col min="12803" max="12803" width="2.33203125" style="242" customWidth="1"/>
    <col min="12804" max="12804" width="3.109375" style="242" customWidth="1"/>
    <col min="12805" max="12805" width="2.77734375" style="242" customWidth="1"/>
    <col min="12806" max="12806" width="2.21875" style="242" customWidth="1"/>
    <col min="12807" max="12807" width="2" style="242" customWidth="1"/>
    <col min="12808" max="12808" width="4.21875" style="242" customWidth="1"/>
    <col min="12809" max="12809" width="19" style="242" customWidth="1"/>
    <col min="12810" max="12810" width="13.77734375" style="242" bestFit="1" customWidth="1"/>
    <col min="12811" max="12811" width="2" style="242" customWidth="1"/>
    <col min="12812" max="12812" width="8.77734375" style="242"/>
    <col min="12813" max="12813" width="2.21875" style="242" customWidth="1"/>
    <col min="12814" max="12814" width="8.77734375" style="242"/>
    <col min="12815" max="12815" width="2" style="242" customWidth="1"/>
    <col min="12816" max="12816" width="13.77734375" style="242" bestFit="1" customWidth="1"/>
    <col min="12817" max="13057" width="8.77734375" style="242"/>
    <col min="13058" max="13058" width="2.77734375" style="242" customWidth="1"/>
    <col min="13059" max="13059" width="2.33203125" style="242" customWidth="1"/>
    <col min="13060" max="13060" width="3.109375" style="242" customWidth="1"/>
    <col min="13061" max="13061" width="2.77734375" style="242" customWidth="1"/>
    <col min="13062" max="13062" width="2.21875" style="242" customWidth="1"/>
    <col min="13063" max="13063" width="2" style="242" customWidth="1"/>
    <col min="13064" max="13064" width="4.21875" style="242" customWidth="1"/>
    <col min="13065" max="13065" width="19" style="242" customWidth="1"/>
    <col min="13066" max="13066" width="13.77734375" style="242" bestFit="1" customWidth="1"/>
    <col min="13067" max="13067" width="2" style="242" customWidth="1"/>
    <col min="13068" max="13068" width="8.77734375" style="242"/>
    <col min="13069" max="13069" width="2.21875" style="242" customWidth="1"/>
    <col min="13070" max="13070" width="8.77734375" style="242"/>
    <col min="13071" max="13071" width="2" style="242" customWidth="1"/>
    <col min="13072" max="13072" width="13.77734375" style="242" bestFit="1" customWidth="1"/>
    <col min="13073" max="13313" width="8.77734375" style="242"/>
    <col min="13314" max="13314" width="2.77734375" style="242" customWidth="1"/>
    <col min="13315" max="13315" width="2.33203125" style="242" customWidth="1"/>
    <col min="13316" max="13316" width="3.109375" style="242" customWidth="1"/>
    <col min="13317" max="13317" width="2.77734375" style="242" customWidth="1"/>
    <col min="13318" max="13318" width="2.21875" style="242" customWidth="1"/>
    <col min="13319" max="13319" width="2" style="242" customWidth="1"/>
    <col min="13320" max="13320" width="4.21875" style="242" customWidth="1"/>
    <col min="13321" max="13321" width="19" style="242" customWidth="1"/>
    <col min="13322" max="13322" width="13.77734375" style="242" bestFit="1" customWidth="1"/>
    <col min="13323" max="13323" width="2" style="242" customWidth="1"/>
    <col min="13324" max="13324" width="8.77734375" style="242"/>
    <col min="13325" max="13325" width="2.21875" style="242" customWidth="1"/>
    <col min="13326" max="13326" width="8.77734375" style="242"/>
    <col min="13327" max="13327" width="2" style="242" customWidth="1"/>
    <col min="13328" max="13328" width="13.77734375" style="242" bestFit="1" customWidth="1"/>
    <col min="13329" max="13569" width="8.77734375" style="242"/>
    <col min="13570" max="13570" width="2.77734375" style="242" customWidth="1"/>
    <col min="13571" max="13571" width="2.33203125" style="242" customWidth="1"/>
    <col min="13572" max="13572" width="3.109375" style="242" customWidth="1"/>
    <col min="13573" max="13573" width="2.77734375" style="242" customWidth="1"/>
    <col min="13574" max="13574" width="2.21875" style="242" customWidth="1"/>
    <col min="13575" max="13575" width="2" style="242" customWidth="1"/>
    <col min="13576" max="13576" width="4.21875" style="242" customWidth="1"/>
    <col min="13577" max="13577" width="19" style="242" customWidth="1"/>
    <col min="13578" max="13578" width="13.77734375" style="242" bestFit="1" customWidth="1"/>
    <col min="13579" max="13579" width="2" style="242" customWidth="1"/>
    <col min="13580" max="13580" width="8.77734375" style="242"/>
    <col min="13581" max="13581" width="2.21875" style="242" customWidth="1"/>
    <col min="13582" max="13582" width="8.77734375" style="242"/>
    <col min="13583" max="13583" width="2" style="242" customWidth="1"/>
    <col min="13584" max="13584" width="13.77734375" style="242" bestFit="1" customWidth="1"/>
    <col min="13585" max="13825" width="8.77734375" style="242"/>
    <col min="13826" max="13826" width="2.77734375" style="242" customWidth="1"/>
    <col min="13827" max="13827" width="2.33203125" style="242" customWidth="1"/>
    <col min="13828" max="13828" width="3.109375" style="242" customWidth="1"/>
    <col min="13829" max="13829" width="2.77734375" style="242" customWidth="1"/>
    <col min="13830" max="13830" width="2.21875" style="242" customWidth="1"/>
    <col min="13831" max="13831" width="2" style="242" customWidth="1"/>
    <col min="13832" max="13832" width="4.21875" style="242" customWidth="1"/>
    <col min="13833" max="13833" width="19" style="242" customWidth="1"/>
    <col min="13834" max="13834" width="13.77734375" style="242" bestFit="1" customWidth="1"/>
    <col min="13835" max="13835" width="2" style="242" customWidth="1"/>
    <col min="13836" max="13836" width="8.77734375" style="242"/>
    <col min="13837" max="13837" width="2.21875" style="242" customWidth="1"/>
    <col min="13838" max="13838" width="8.77734375" style="242"/>
    <col min="13839" max="13839" width="2" style="242" customWidth="1"/>
    <col min="13840" max="13840" width="13.77734375" style="242" bestFit="1" customWidth="1"/>
    <col min="13841" max="14081" width="8.77734375" style="242"/>
    <col min="14082" max="14082" width="2.77734375" style="242" customWidth="1"/>
    <col min="14083" max="14083" width="2.33203125" style="242" customWidth="1"/>
    <col min="14084" max="14084" width="3.109375" style="242" customWidth="1"/>
    <col min="14085" max="14085" width="2.77734375" style="242" customWidth="1"/>
    <col min="14086" max="14086" width="2.21875" style="242" customWidth="1"/>
    <col min="14087" max="14087" width="2" style="242" customWidth="1"/>
    <col min="14088" max="14088" width="4.21875" style="242" customWidth="1"/>
    <col min="14089" max="14089" width="19" style="242" customWidth="1"/>
    <col min="14090" max="14090" width="13.77734375" style="242" bestFit="1" customWidth="1"/>
    <col min="14091" max="14091" width="2" style="242" customWidth="1"/>
    <col min="14092" max="14092" width="8.77734375" style="242"/>
    <col min="14093" max="14093" width="2.21875" style="242" customWidth="1"/>
    <col min="14094" max="14094" width="8.77734375" style="242"/>
    <col min="14095" max="14095" width="2" style="242" customWidth="1"/>
    <col min="14096" max="14096" width="13.77734375" style="242" bestFit="1" customWidth="1"/>
    <col min="14097" max="14337" width="8.77734375" style="242"/>
    <col min="14338" max="14338" width="2.77734375" style="242" customWidth="1"/>
    <col min="14339" max="14339" width="2.33203125" style="242" customWidth="1"/>
    <col min="14340" max="14340" width="3.109375" style="242" customWidth="1"/>
    <col min="14341" max="14341" width="2.77734375" style="242" customWidth="1"/>
    <col min="14342" max="14342" width="2.21875" style="242" customWidth="1"/>
    <col min="14343" max="14343" width="2" style="242" customWidth="1"/>
    <col min="14344" max="14344" width="4.21875" style="242" customWidth="1"/>
    <col min="14345" max="14345" width="19" style="242" customWidth="1"/>
    <col min="14346" max="14346" width="13.77734375" style="242" bestFit="1" customWidth="1"/>
    <col min="14347" max="14347" width="2" style="242" customWidth="1"/>
    <col min="14348" max="14348" width="8.77734375" style="242"/>
    <col min="14349" max="14349" width="2.21875" style="242" customWidth="1"/>
    <col min="14350" max="14350" width="8.77734375" style="242"/>
    <col min="14351" max="14351" width="2" style="242" customWidth="1"/>
    <col min="14352" max="14352" width="13.77734375" style="242" bestFit="1" customWidth="1"/>
    <col min="14353" max="14593" width="8.77734375" style="242"/>
    <col min="14594" max="14594" width="2.77734375" style="242" customWidth="1"/>
    <col min="14595" max="14595" width="2.33203125" style="242" customWidth="1"/>
    <col min="14596" max="14596" width="3.109375" style="242" customWidth="1"/>
    <col min="14597" max="14597" width="2.77734375" style="242" customWidth="1"/>
    <col min="14598" max="14598" width="2.21875" style="242" customWidth="1"/>
    <col min="14599" max="14599" width="2" style="242" customWidth="1"/>
    <col min="14600" max="14600" width="4.21875" style="242" customWidth="1"/>
    <col min="14601" max="14601" width="19" style="242" customWidth="1"/>
    <col min="14602" max="14602" width="13.77734375" style="242" bestFit="1" customWidth="1"/>
    <col min="14603" max="14603" width="2" style="242" customWidth="1"/>
    <col min="14604" max="14604" width="8.77734375" style="242"/>
    <col min="14605" max="14605" width="2.21875" style="242" customWidth="1"/>
    <col min="14606" max="14606" width="8.77734375" style="242"/>
    <col min="14607" max="14607" width="2" style="242" customWidth="1"/>
    <col min="14608" max="14608" width="13.77734375" style="242" bestFit="1" customWidth="1"/>
    <col min="14609" max="14849" width="8.77734375" style="242"/>
    <col min="14850" max="14850" width="2.77734375" style="242" customWidth="1"/>
    <col min="14851" max="14851" width="2.33203125" style="242" customWidth="1"/>
    <col min="14852" max="14852" width="3.109375" style="242" customWidth="1"/>
    <col min="14853" max="14853" width="2.77734375" style="242" customWidth="1"/>
    <col min="14854" max="14854" width="2.21875" style="242" customWidth="1"/>
    <col min="14855" max="14855" width="2" style="242" customWidth="1"/>
    <col min="14856" max="14856" width="4.21875" style="242" customWidth="1"/>
    <col min="14857" max="14857" width="19" style="242" customWidth="1"/>
    <col min="14858" max="14858" width="13.77734375" style="242" bestFit="1" customWidth="1"/>
    <col min="14859" max="14859" width="2" style="242" customWidth="1"/>
    <col min="14860" max="14860" width="8.77734375" style="242"/>
    <col min="14861" max="14861" width="2.21875" style="242" customWidth="1"/>
    <col min="14862" max="14862" width="8.77734375" style="242"/>
    <col min="14863" max="14863" width="2" style="242" customWidth="1"/>
    <col min="14864" max="14864" width="13.77734375" style="242" bestFit="1" customWidth="1"/>
    <col min="14865" max="15105" width="8.77734375" style="242"/>
    <col min="15106" max="15106" width="2.77734375" style="242" customWidth="1"/>
    <col min="15107" max="15107" width="2.33203125" style="242" customWidth="1"/>
    <col min="15108" max="15108" width="3.109375" style="242" customWidth="1"/>
    <col min="15109" max="15109" width="2.77734375" style="242" customWidth="1"/>
    <col min="15110" max="15110" width="2.21875" style="242" customWidth="1"/>
    <col min="15111" max="15111" width="2" style="242" customWidth="1"/>
    <col min="15112" max="15112" width="4.21875" style="242" customWidth="1"/>
    <col min="15113" max="15113" width="19" style="242" customWidth="1"/>
    <col min="15114" max="15114" width="13.77734375" style="242" bestFit="1" customWidth="1"/>
    <col min="15115" max="15115" width="2" style="242" customWidth="1"/>
    <col min="15116" max="15116" width="8.77734375" style="242"/>
    <col min="15117" max="15117" width="2.21875" style="242" customWidth="1"/>
    <col min="15118" max="15118" width="8.77734375" style="242"/>
    <col min="15119" max="15119" width="2" style="242" customWidth="1"/>
    <col min="15120" max="15120" width="13.77734375" style="242" bestFit="1" customWidth="1"/>
    <col min="15121" max="15361" width="8.77734375" style="242"/>
    <col min="15362" max="15362" width="2.77734375" style="242" customWidth="1"/>
    <col min="15363" max="15363" width="2.33203125" style="242" customWidth="1"/>
    <col min="15364" max="15364" width="3.109375" style="242" customWidth="1"/>
    <col min="15365" max="15365" width="2.77734375" style="242" customWidth="1"/>
    <col min="15366" max="15366" width="2.21875" style="242" customWidth="1"/>
    <col min="15367" max="15367" width="2" style="242" customWidth="1"/>
    <col min="15368" max="15368" width="4.21875" style="242" customWidth="1"/>
    <col min="15369" max="15369" width="19" style="242" customWidth="1"/>
    <col min="15370" max="15370" width="13.77734375" style="242" bestFit="1" customWidth="1"/>
    <col min="15371" max="15371" width="2" style="242" customWidth="1"/>
    <col min="15372" max="15372" width="8.77734375" style="242"/>
    <col min="15373" max="15373" width="2.21875" style="242" customWidth="1"/>
    <col min="15374" max="15374" width="8.77734375" style="242"/>
    <col min="15375" max="15375" width="2" style="242" customWidth="1"/>
    <col min="15376" max="15376" width="13.77734375" style="242" bestFit="1" customWidth="1"/>
    <col min="15377" max="15617" width="8.77734375" style="242"/>
    <col min="15618" max="15618" width="2.77734375" style="242" customWidth="1"/>
    <col min="15619" max="15619" width="2.33203125" style="242" customWidth="1"/>
    <col min="15620" max="15620" width="3.109375" style="242" customWidth="1"/>
    <col min="15621" max="15621" width="2.77734375" style="242" customWidth="1"/>
    <col min="15622" max="15622" width="2.21875" style="242" customWidth="1"/>
    <col min="15623" max="15623" width="2" style="242" customWidth="1"/>
    <col min="15624" max="15624" width="4.21875" style="242" customWidth="1"/>
    <col min="15625" max="15625" width="19" style="242" customWidth="1"/>
    <col min="15626" max="15626" width="13.77734375" style="242" bestFit="1" customWidth="1"/>
    <col min="15627" max="15627" width="2" style="242" customWidth="1"/>
    <col min="15628" max="15628" width="8.77734375" style="242"/>
    <col min="15629" max="15629" width="2.21875" style="242" customWidth="1"/>
    <col min="15630" max="15630" width="8.77734375" style="242"/>
    <col min="15631" max="15631" width="2" style="242" customWidth="1"/>
    <col min="15632" max="15632" width="13.77734375" style="242" bestFit="1" customWidth="1"/>
    <col min="15633" max="15873" width="8.77734375" style="242"/>
    <col min="15874" max="15874" width="2.77734375" style="242" customWidth="1"/>
    <col min="15875" max="15875" width="2.33203125" style="242" customWidth="1"/>
    <col min="15876" max="15876" width="3.109375" style="242" customWidth="1"/>
    <col min="15877" max="15877" width="2.77734375" style="242" customWidth="1"/>
    <col min="15878" max="15878" width="2.21875" style="242" customWidth="1"/>
    <col min="15879" max="15879" width="2" style="242" customWidth="1"/>
    <col min="15880" max="15880" width="4.21875" style="242" customWidth="1"/>
    <col min="15881" max="15881" width="19" style="242" customWidth="1"/>
    <col min="15882" max="15882" width="13.77734375" style="242" bestFit="1" customWidth="1"/>
    <col min="15883" max="15883" width="2" style="242" customWidth="1"/>
    <col min="15884" max="15884" width="8.77734375" style="242"/>
    <col min="15885" max="15885" width="2.21875" style="242" customWidth="1"/>
    <col min="15886" max="15886" width="8.77734375" style="242"/>
    <col min="15887" max="15887" width="2" style="242" customWidth="1"/>
    <col min="15888" max="15888" width="13.77734375" style="242" bestFit="1" customWidth="1"/>
    <col min="15889" max="16129" width="8.77734375" style="242"/>
    <col min="16130" max="16130" width="2.77734375" style="242" customWidth="1"/>
    <col min="16131" max="16131" width="2.33203125" style="242" customWidth="1"/>
    <col min="16132" max="16132" width="3.109375" style="242" customWidth="1"/>
    <col min="16133" max="16133" width="2.77734375" style="242" customWidth="1"/>
    <col min="16134" max="16134" width="2.21875" style="242" customWidth="1"/>
    <col min="16135" max="16135" width="2" style="242" customWidth="1"/>
    <col min="16136" max="16136" width="4.21875" style="242" customWidth="1"/>
    <col min="16137" max="16137" width="19" style="242" customWidth="1"/>
    <col min="16138" max="16138" width="13.77734375" style="242" bestFit="1" customWidth="1"/>
    <col min="16139" max="16139" width="2" style="242" customWidth="1"/>
    <col min="16140" max="16140" width="8.77734375" style="242"/>
    <col min="16141" max="16141" width="2.21875" style="242" customWidth="1"/>
    <col min="16142" max="16142" width="8.77734375" style="242"/>
    <col min="16143" max="16143" width="2" style="242" customWidth="1"/>
    <col min="16144" max="16144" width="13.77734375" style="242" bestFit="1" customWidth="1"/>
    <col min="16145" max="16384" width="8.77734375" style="242"/>
  </cols>
  <sheetData>
    <row r="1" spans="2:17" s="214" customFormat="1" ht="15.6">
      <c r="B1" s="70"/>
      <c r="C1" s="213"/>
      <c r="D1" s="71"/>
      <c r="I1" s="72"/>
      <c r="J1" s="215"/>
      <c r="K1" s="215"/>
      <c r="L1" s="215"/>
      <c r="M1" s="215"/>
      <c r="N1" s="215"/>
      <c r="O1" s="215"/>
      <c r="P1" s="215"/>
    </row>
    <row r="2" spans="2:17" s="216" customFormat="1" ht="18">
      <c r="C2" s="217"/>
      <c r="D2" s="218"/>
      <c r="E2" s="219"/>
      <c r="F2" s="218"/>
      <c r="G2" s="218"/>
      <c r="H2" s="218"/>
      <c r="I2" s="218"/>
      <c r="J2" s="220"/>
      <c r="K2" s="220"/>
      <c r="L2" s="220"/>
      <c r="M2" s="220"/>
      <c r="N2" s="220"/>
      <c r="O2" s="220"/>
      <c r="P2" s="220"/>
    </row>
    <row r="3" spans="2:17" s="216" customFormat="1" ht="18">
      <c r="C3" s="217"/>
      <c r="D3" s="218"/>
      <c r="E3" s="219"/>
      <c r="F3" s="218"/>
      <c r="G3" s="218"/>
      <c r="H3" s="218"/>
      <c r="I3" s="218"/>
      <c r="J3" s="220"/>
      <c r="K3" s="220"/>
      <c r="L3" s="220"/>
      <c r="M3" s="220"/>
      <c r="N3" s="220"/>
      <c r="O3" s="220"/>
      <c r="P3" s="220"/>
    </row>
    <row r="4" spans="2:17" s="216" customFormat="1" ht="17.399999999999999">
      <c r="B4" s="1463" t="s">
        <v>0</v>
      </c>
      <c r="C4" s="1463"/>
      <c r="D4" s="1463"/>
      <c r="E4" s="1463"/>
      <c r="F4" s="1463"/>
      <c r="G4" s="1463"/>
      <c r="H4" s="1463"/>
      <c r="I4" s="1463"/>
      <c r="J4" s="1463"/>
      <c r="K4" s="1463"/>
      <c r="L4" s="1463"/>
      <c r="M4" s="1463"/>
      <c r="N4" s="1463"/>
      <c r="O4" s="1463"/>
      <c r="P4" s="1463"/>
      <c r="Q4" s="221"/>
    </row>
    <row r="5" spans="2:17" s="216" customFormat="1" ht="17.399999999999999">
      <c r="B5" s="1463" t="s">
        <v>1</v>
      </c>
      <c r="C5" s="1463"/>
      <c r="D5" s="1463"/>
      <c r="E5" s="1463"/>
      <c r="F5" s="1463"/>
      <c r="G5" s="1463"/>
      <c r="H5" s="1463"/>
      <c r="I5" s="1463"/>
      <c r="J5" s="1463"/>
      <c r="K5" s="1463"/>
      <c r="L5" s="1463"/>
      <c r="M5" s="1463"/>
      <c r="N5" s="1463"/>
      <c r="O5" s="1463"/>
      <c r="P5" s="1463"/>
    </row>
    <row r="6" spans="2:17" s="216" customFormat="1" ht="17.399999999999999">
      <c r="B6" s="1464" t="str">
        <f>SUMMARY!A7</f>
        <v>YEAR ENDING DECEMBER 31, 2022</v>
      </c>
      <c r="C6" s="1464"/>
      <c r="D6" s="1464"/>
      <c r="E6" s="1464"/>
      <c r="F6" s="1464"/>
      <c r="G6" s="1464"/>
      <c r="H6" s="1464"/>
      <c r="I6" s="1464"/>
      <c r="J6" s="1464"/>
      <c r="K6" s="1464"/>
      <c r="L6" s="1464"/>
      <c r="M6" s="1464"/>
      <c r="N6" s="1464"/>
      <c r="O6" s="1464"/>
      <c r="P6" s="1464"/>
    </row>
    <row r="7" spans="2:17" s="216" customFormat="1" ht="12" customHeight="1">
      <c r="B7" s="218"/>
      <c r="C7" s="222"/>
      <c r="D7" s="218"/>
      <c r="E7" s="223"/>
      <c r="F7" s="218"/>
      <c r="G7" s="218"/>
      <c r="H7" s="218"/>
      <c r="I7" s="218"/>
      <c r="J7" s="220"/>
      <c r="K7" s="220"/>
      <c r="L7" s="220"/>
      <c r="M7" s="220"/>
      <c r="N7" s="220"/>
      <c r="O7" s="220"/>
      <c r="P7" s="220"/>
    </row>
    <row r="8" spans="2:17" s="216" customFormat="1" ht="17.399999999999999">
      <c r="B8" s="1463" t="s">
        <v>1961</v>
      </c>
      <c r="C8" s="1463"/>
      <c r="D8" s="1463"/>
      <c r="E8" s="1463"/>
      <c r="F8" s="1463"/>
      <c r="G8" s="1463"/>
      <c r="H8" s="1463"/>
      <c r="I8" s="1463"/>
      <c r="J8" s="1463"/>
      <c r="K8" s="1463"/>
      <c r="L8" s="1463"/>
      <c r="M8" s="1463"/>
      <c r="N8" s="1463"/>
      <c r="O8" s="1463"/>
      <c r="P8" s="1463"/>
      <c r="Q8" s="1463"/>
    </row>
    <row r="9" spans="2:17" s="216" customFormat="1" ht="17.399999999999999">
      <c r="B9" s="1463" t="s">
        <v>1962</v>
      </c>
      <c r="C9" s="1463"/>
      <c r="D9" s="1463"/>
      <c r="E9" s="1463"/>
      <c r="F9" s="1463"/>
      <c r="G9" s="1463"/>
      <c r="H9" s="1463"/>
      <c r="I9" s="1463"/>
      <c r="J9" s="1463"/>
      <c r="K9" s="1463"/>
      <c r="L9" s="1463"/>
      <c r="M9" s="1463"/>
      <c r="N9" s="1463"/>
      <c r="O9" s="1463"/>
      <c r="P9" s="1463"/>
      <c r="Q9" s="1463"/>
    </row>
    <row r="13" spans="2:17" s="36" customFormat="1" ht="15.6">
      <c r="B13" s="33" t="s">
        <v>1963</v>
      </c>
      <c r="C13" s="34"/>
      <c r="D13" s="34"/>
      <c r="E13" s="34"/>
      <c r="F13" s="34"/>
      <c r="G13" s="34"/>
      <c r="H13" s="34"/>
      <c r="I13" s="34"/>
      <c r="J13" s="35"/>
      <c r="K13" s="35"/>
      <c r="L13" s="35"/>
      <c r="M13" s="35"/>
      <c r="N13" s="35"/>
      <c r="O13" s="35"/>
      <c r="P13" s="35"/>
      <c r="Q13" s="34"/>
    </row>
    <row r="14" spans="2:17" s="36" customFormat="1" ht="15.6">
      <c r="B14" s="33" t="s">
        <v>1964</v>
      </c>
      <c r="C14" s="34"/>
      <c r="D14" s="34"/>
      <c r="E14" s="34"/>
      <c r="F14" s="34"/>
      <c r="G14" s="34"/>
      <c r="H14" s="34"/>
      <c r="I14" s="34"/>
      <c r="J14" s="35"/>
      <c r="K14" s="35"/>
      <c r="L14" s="35"/>
      <c r="M14" s="35"/>
      <c r="N14" s="35"/>
      <c r="O14" s="35"/>
      <c r="P14" s="35"/>
      <c r="Q14" s="34"/>
    </row>
    <row r="15" spans="2:17" s="36" customFormat="1" ht="15.6">
      <c r="B15" s="69" t="s">
        <v>2081</v>
      </c>
      <c r="C15" s="58"/>
      <c r="D15" s="58"/>
      <c r="E15" s="58"/>
      <c r="F15" s="58"/>
      <c r="G15" s="58"/>
      <c r="H15" s="34"/>
      <c r="I15" s="34"/>
      <c r="J15" s="35"/>
      <c r="K15" s="35"/>
      <c r="L15" s="35"/>
      <c r="M15" s="35"/>
      <c r="N15" s="35"/>
      <c r="O15" s="35"/>
      <c r="P15" s="35"/>
      <c r="Q15" s="34"/>
    </row>
    <row r="16" spans="2:17" s="36" customFormat="1" ht="15.6">
      <c r="B16" s="34"/>
      <c r="C16" s="34"/>
      <c r="D16" s="34"/>
      <c r="E16" s="34"/>
      <c r="F16" s="34"/>
      <c r="G16" s="34"/>
      <c r="H16" s="34"/>
      <c r="I16" s="34"/>
      <c r="J16" s="37">
        <v>44561</v>
      </c>
      <c r="K16" s="38"/>
      <c r="L16" s="38"/>
      <c r="M16" s="38"/>
      <c r="N16" s="38"/>
      <c r="O16" s="38"/>
      <c r="P16" s="37">
        <v>44926</v>
      </c>
      <c r="Q16" s="34"/>
    </row>
    <row r="17" spans="1:23" s="36" customFormat="1" ht="15.6">
      <c r="B17" s="224"/>
      <c r="C17" s="224"/>
      <c r="D17" s="224"/>
      <c r="E17" s="224"/>
      <c r="F17" s="224"/>
      <c r="G17" s="224"/>
      <c r="H17" s="224"/>
      <c r="I17" s="224"/>
      <c r="J17" s="225" t="s">
        <v>1632</v>
      </c>
      <c r="K17" s="35"/>
      <c r="L17" s="225"/>
      <c r="M17" s="35"/>
      <c r="N17" s="225"/>
      <c r="O17" s="35"/>
      <c r="P17" s="225" t="s">
        <v>1632</v>
      </c>
      <c r="Q17" s="34"/>
    </row>
    <row r="18" spans="1:23" s="36" customFormat="1" ht="15.6">
      <c r="B18" s="224"/>
      <c r="C18" s="224"/>
      <c r="D18" s="224"/>
      <c r="E18" s="224"/>
      <c r="F18" s="224"/>
      <c r="G18" s="224"/>
      <c r="H18" s="224"/>
      <c r="I18" s="226"/>
      <c r="J18" s="227" t="s">
        <v>1965</v>
      </c>
      <c r="K18" s="35"/>
      <c r="L18" s="227" t="s">
        <v>1966</v>
      </c>
      <c r="M18" s="35"/>
      <c r="N18" s="227" t="s">
        <v>1967</v>
      </c>
      <c r="O18" s="35"/>
      <c r="P18" s="227" t="s">
        <v>1965</v>
      </c>
      <c r="Q18" s="34"/>
    </row>
    <row r="19" spans="1:23" s="36" customFormat="1" ht="15.6">
      <c r="B19" s="224"/>
      <c r="C19" s="224"/>
      <c r="D19" s="224"/>
      <c r="E19" s="170" t="s">
        <v>8</v>
      </c>
      <c r="F19" s="228"/>
      <c r="G19" s="170"/>
      <c r="H19" s="228"/>
      <c r="I19" s="170"/>
      <c r="J19" s="170" t="s">
        <v>9</v>
      </c>
      <c r="K19" s="170"/>
      <c r="L19" s="170" t="s">
        <v>359</v>
      </c>
      <c r="M19" s="228"/>
      <c r="N19" s="170" t="s">
        <v>360</v>
      </c>
      <c r="O19" s="228"/>
      <c r="P19" s="170" t="s">
        <v>162</v>
      </c>
      <c r="Q19" s="34"/>
    </row>
    <row r="20" spans="1:23" s="36" customFormat="1" ht="15.6">
      <c r="B20" s="224"/>
      <c r="C20" s="224"/>
      <c r="D20" s="224"/>
      <c r="E20" s="224"/>
      <c r="F20" s="224"/>
      <c r="G20" s="224"/>
      <c r="H20" s="224"/>
      <c r="I20" s="226"/>
      <c r="J20" s="170"/>
      <c r="K20" s="228"/>
      <c r="L20" s="170"/>
      <c r="M20" s="228"/>
      <c r="N20" s="170"/>
      <c r="O20" s="228"/>
      <c r="P20" s="170"/>
      <c r="Q20" s="34"/>
    </row>
    <row r="21" spans="1:23" s="36" customFormat="1" ht="15">
      <c r="A21" s="50">
        <v>1</v>
      </c>
      <c r="B21" s="224" t="s">
        <v>1339</v>
      </c>
      <c r="C21" s="224"/>
      <c r="D21" s="224"/>
      <c r="E21" s="224"/>
      <c r="F21" s="224"/>
      <c r="G21" s="224"/>
      <c r="H21" s="224"/>
      <c r="I21" s="226"/>
      <c r="J21" s="35"/>
      <c r="K21" s="35"/>
      <c r="L21" s="35"/>
      <c r="M21" s="35"/>
      <c r="N21" s="35"/>
      <c r="O21" s="35"/>
      <c r="P21" s="35"/>
      <c r="Q21" s="34"/>
    </row>
    <row r="22" spans="1:23" s="36" customFormat="1" ht="15.6">
      <c r="A22" s="49" t="s">
        <v>167</v>
      </c>
      <c r="B22" s="224"/>
      <c r="C22" s="224"/>
      <c r="D22" s="224" t="s">
        <v>1340</v>
      </c>
      <c r="E22" s="224"/>
      <c r="F22" s="224"/>
      <c r="G22" s="224"/>
      <c r="H22" s="224"/>
      <c r="I22" s="226"/>
      <c r="J22" s="229">
        <v>164</v>
      </c>
      <c r="K22" s="229">
        <v>0</v>
      </c>
      <c r="L22" s="229">
        <v>0</v>
      </c>
      <c r="M22" s="229">
        <v>0</v>
      </c>
      <c r="N22" s="229">
        <v>0</v>
      </c>
      <c r="O22" s="230"/>
      <c r="P22" s="230">
        <f>SUM(J22:N22)</f>
        <v>164</v>
      </c>
      <c r="Q22" s="34"/>
      <c r="R22" s="33"/>
      <c r="S22" s="33"/>
      <c r="T22" s="33"/>
      <c r="U22" s="33"/>
      <c r="V22" s="33"/>
      <c r="W22" s="33"/>
    </row>
    <row r="23" spans="1:23" s="36" customFormat="1" ht="15.6">
      <c r="A23" s="49" t="s">
        <v>171</v>
      </c>
      <c r="B23" s="224"/>
      <c r="C23" s="224"/>
      <c r="D23" s="224" t="s">
        <v>1345</v>
      </c>
      <c r="E23" s="224"/>
      <c r="F23" s="224"/>
      <c r="G23" s="224"/>
      <c r="H23" s="224"/>
      <c r="I23" s="226"/>
      <c r="J23" s="229">
        <v>713</v>
      </c>
      <c r="K23" s="229">
        <v>0</v>
      </c>
      <c r="L23" s="229">
        <v>750</v>
      </c>
      <c r="M23" s="229">
        <v>0</v>
      </c>
      <c r="N23" s="229">
        <v>-670</v>
      </c>
      <c r="O23" s="230"/>
      <c r="P23" s="230">
        <f>SUM(J23:N23)</f>
        <v>793</v>
      </c>
      <c r="Q23" s="34"/>
      <c r="R23" s="33"/>
      <c r="S23" s="33"/>
      <c r="T23" s="33"/>
      <c r="U23" s="33"/>
      <c r="V23" s="33"/>
      <c r="W23" s="33"/>
    </row>
    <row r="24" spans="1:23" s="36" customFormat="1" ht="15.6">
      <c r="A24" s="49" t="s">
        <v>174</v>
      </c>
      <c r="B24" s="224"/>
      <c r="C24" s="224"/>
      <c r="D24" s="224" t="s">
        <v>1968</v>
      </c>
      <c r="E24" s="224"/>
      <c r="F24" s="224"/>
      <c r="G24" s="224"/>
      <c r="H24" s="224"/>
      <c r="I24" s="226"/>
      <c r="J24" s="229">
        <v>29</v>
      </c>
      <c r="K24" s="229">
        <v>0</v>
      </c>
      <c r="L24" s="229">
        <v>0</v>
      </c>
      <c r="M24" s="229">
        <v>0</v>
      </c>
      <c r="N24" s="229">
        <v>0</v>
      </c>
      <c r="O24" s="230"/>
      <c r="P24" s="230">
        <f t="shared" ref="P24:P25" si="0">SUM(J24:N24)</f>
        <v>29</v>
      </c>
      <c r="Q24" s="34"/>
      <c r="R24" s="33"/>
      <c r="S24" s="33"/>
      <c r="T24" s="33"/>
      <c r="U24" s="33"/>
      <c r="V24" s="33"/>
      <c r="W24" s="33"/>
    </row>
    <row r="25" spans="1:23" s="36" customFormat="1" ht="15.6">
      <c r="A25" s="49" t="s">
        <v>177</v>
      </c>
      <c r="B25" s="224"/>
      <c r="C25" s="224"/>
      <c r="D25" s="224" t="s">
        <v>1969</v>
      </c>
      <c r="E25" s="224"/>
      <c r="F25" s="224"/>
      <c r="G25" s="224"/>
      <c r="H25" s="224"/>
      <c r="I25" s="226"/>
      <c r="J25" s="229">
        <v>73</v>
      </c>
      <c r="K25" s="229">
        <v>0</v>
      </c>
      <c r="L25" s="229">
        <v>20</v>
      </c>
      <c r="M25" s="229">
        <v>0</v>
      </c>
      <c r="N25" s="229">
        <v>-52</v>
      </c>
      <c r="O25" s="230"/>
      <c r="P25" s="230">
        <f t="shared" si="0"/>
        <v>41</v>
      </c>
      <c r="Q25" s="34"/>
      <c r="R25" s="33"/>
      <c r="S25" s="33"/>
      <c r="T25" s="33"/>
      <c r="U25" s="33"/>
      <c r="V25" s="33"/>
      <c r="W25" s="33"/>
    </row>
    <row r="26" spans="1:23" s="36" customFormat="1" ht="15.6">
      <c r="A26" s="1175" t="s">
        <v>146</v>
      </c>
      <c r="B26" s="231"/>
      <c r="C26" s="224"/>
      <c r="D26" s="232" t="s">
        <v>768</v>
      </c>
      <c r="E26" s="233"/>
      <c r="F26" s="233"/>
      <c r="G26" s="233"/>
      <c r="H26" s="224"/>
      <c r="I26" s="226"/>
      <c r="J26" s="229">
        <v>0</v>
      </c>
      <c r="K26" s="229">
        <v>0</v>
      </c>
      <c r="L26" s="229">
        <v>0</v>
      </c>
      <c r="M26" s="229">
        <v>0</v>
      </c>
      <c r="N26" s="229">
        <v>0</v>
      </c>
      <c r="O26" s="230"/>
      <c r="P26" s="230">
        <v>0</v>
      </c>
      <c r="Q26" s="34"/>
      <c r="R26" s="33"/>
      <c r="S26" s="33"/>
      <c r="T26" s="33"/>
      <c r="U26" s="33"/>
      <c r="V26" s="33"/>
      <c r="W26" s="33"/>
    </row>
    <row r="27" spans="1:23" s="36" customFormat="1" ht="15">
      <c r="A27" s="49"/>
      <c r="B27" s="224"/>
      <c r="C27" s="224"/>
      <c r="D27" s="224"/>
      <c r="E27" s="224"/>
      <c r="F27" s="224"/>
      <c r="H27" s="224"/>
      <c r="I27" s="226"/>
      <c r="J27" s="234"/>
      <c r="K27" s="230"/>
      <c r="L27" s="234"/>
      <c r="M27" s="230"/>
      <c r="N27" s="234"/>
      <c r="O27" s="230"/>
      <c r="P27" s="234"/>
      <c r="Q27" s="39"/>
    </row>
    <row r="28" spans="1:23" s="36" customFormat="1" ht="15">
      <c r="A28" s="49"/>
      <c r="B28" s="224"/>
      <c r="C28" s="224"/>
      <c r="D28" s="224"/>
      <c r="E28" s="224"/>
      <c r="F28" s="224"/>
      <c r="H28" s="224"/>
      <c r="I28" s="226"/>
      <c r="J28" s="230"/>
      <c r="K28" s="230"/>
      <c r="L28" s="230"/>
      <c r="M28" s="230"/>
      <c r="N28" s="230"/>
      <c r="O28" s="230"/>
      <c r="P28" s="230"/>
      <c r="Q28" s="34"/>
    </row>
    <row r="29" spans="1:23" s="36" customFormat="1" ht="15">
      <c r="A29" s="50">
        <v>2</v>
      </c>
      <c r="B29" s="224"/>
      <c r="C29" s="224"/>
      <c r="D29" s="224"/>
      <c r="E29" s="224"/>
      <c r="F29" s="224"/>
      <c r="G29" s="224" t="s">
        <v>1348</v>
      </c>
      <c r="H29" s="224"/>
      <c r="I29" s="226"/>
      <c r="J29" s="235">
        <f>SUM(J22:J26)</f>
        <v>979</v>
      </c>
      <c r="K29" s="230"/>
      <c r="L29" s="235">
        <f>SUM(L22:L26)</f>
        <v>770</v>
      </c>
      <c r="M29" s="230"/>
      <c r="N29" s="235">
        <f>SUM(N22:N26)</f>
        <v>-722</v>
      </c>
      <c r="O29" s="230"/>
      <c r="P29" s="235">
        <f>SUM(P22:P26)</f>
        <v>1027</v>
      </c>
      <c r="Q29" s="34"/>
    </row>
    <row r="30" spans="1:23" s="36" customFormat="1" ht="15">
      <c r="A30" s="49"/>
      <c r="B30" s="224"/>
      <c r="C30" s="224"/>
      <c r="D30" s="224"/>
      <c r="E30" s="224"/>
      <c r="F30" s="224"/>
      <c r="G30" s="224"/>
      <c r="H30" s="224"/>
      <c r="I30" s="226"/>
      <c r="J30" s="234"/>
      <c r="K30" s="230"/>
      <c r="L30" s="234"/>
      <c r="M30" s="230"/>
      <c r="N30" s="234"/>
      <c r="O30" s="230"/>
      <c r="P30" s="234"/>
      <c r="Q30" s="34"/>
    </row>
    <row r="31" spans="1:23" s="36" customFormat="1" ht="15">
      <c r="A31" s="50">
        <v>3</v>
      </c>
      <c r="B31" s="224" t="s">
        <v>1349</v>
      </c>
      <c r="C31" s="224"/>
      <c r="D31" s="224"/>
      <c r="E31" s="224"/>
      <c r="F31" s="224"/>
      <c r="G31" s="224"/>
      <c r="H31" s="224"/>
      <c r="I31" s="226"/>
      <c r="J31" s="230"/>
      <c r="K31" s="230"/>
      <c r="L31" s="230"/>
      <c r="M31" s="230"/>
      <c r="N31" s="230"/>
      <c r="O31" s="230"/>
      <c r="P31" s="230"/>
      <c r="Q31" s="34"/>
    </row>
    <row r="32" spans="1:23" s="36" customFormat="1" ht="15">
      <c r="A32" s="49" t="s">
        <v>183</v>
      </c>
      <c r="B32" s="224"/>
      <c r="C32" s="224"/>
      <c r="D32" s="224" t="s">
        <v>1970</v>
      </c>
      <c r="E32" s="224"/>
      <c r="F32" s="224"/>
      <c r="G32" s="224"/>
      <c r="H32" s="224"/>
      <c r="I32" s="226"/>
      <c r="J32" s="229">
        <v>2427</v>
      </c>
      <c r="K32" s="229">
        <v>0</v>
      </c>
      <c r="L32" s="229">
        <v>22</v>
      </c>
      <c r="M32" s="229">
        <v>0</v>
      </c>
      <c r="N32" s="229">
        <v>0</v>
      </c>
      <c r="O32" s="230"/>
      <c r="P32" s="230">
        <f>SUM(J32:N32)</f>
        <v>2449</v>
      </c>
      <c r="Q32" s="34"/>
      <c r="S32" s="40"/>
    </row>
    <row r="33" spans="1:23" s="36" customFormat="1" ht="15">
      <c r="A33" s="49" t="s">
        <v>185</v>
      </c>
      <c r="B33" s="224"/>
      <c r="C33" s="224"/>
      <c r="D33" s="224" t="s">
        <v>1971</v>
      </c>
      <c r="E33" s="224"/>
      <c r="F33" s="224"/>
      <c r="G33" s="224"/>
      <c r="H33" s="224"/>
      <c r="I33" s="226"/>
      <c r="J33" s="230"/>
      <c r="K33" s="230"/>
      <c r="L33" s="230"/>
      <c r="M33" s="230"/>
      <c r="N33" s="230"/>
      <c r="O33" s="230"/>
      <c r="P33" s="230"/>
      <c r="Q33" s="34"/>
    </row>
    <row r="34" spans="1:23" s="36" customFormat="1" ht="15">
      <c r="A34" s="49" t="s">
        <v>188</v>
      </c>
      <c r="B34" s="224"/>
      <c r="C34" s="224"/>
      <c r="D34" s="224"/>
      <c r="E34" s="224" t="s">
        <v>1972</v>
      </c>
      <c r="F34" s="224"/>
      <c r="G34" s="224"/>
      <c r="H34" s="224"/>
      <c r="I34" s="226"/>
      <c r="J34" s="229">
        <v>2398</v>
      </c>
      <c r="K34" s="229">
        <v>0</v>
      </c>
      <c r="L34" s="229">
        <v>8</v>
      </c>
      <c r="M34" s="229">
        <v>0</v>
      </c>
      <c r="N34" s="229">
        <v>-1155</v>
      </c>
      <c r="O34" s="230"/>
      <c r="P34" s="230">
        <f>SUM(J34:N34)</f>
        <v>1251</v>
      </c>
      <c r="Q34" s="34"/>
    </row>
    <row r="35" spans="1:23" s="36" customFormat="1" ht="15">
      <c r="A35" s="49" t="s">
        <v>191</v>
      </c>
      <c r="B35" s="224"/>
      <c r="C35" s="224"/>
      <c r="D35" s="224" t="s">
        <v>220</v>
      </c>
      <c r="E35" s="224"/>
      <c r="F35" s="224"/>
      <c r="G35" s="224"/>
      <c r="H35" s="224"/>
      <c r="I35" s="226"/>
      <c r="J35" s="229">
        <v>2915</v>
      </c>
      <c r="K35" s="229">
        <v>0</v>
      </c>
      <c r="L35" s="229">
        <v>304</v>
      </c>
      <c r="M35" s="229">
        <v>0</v>
      </c>
      <c r="N35" s="229">
        <v>-504</v>
      </c>
      <c r="O35" s="230"/>
      <c r="P35" s="230">
        <f>SUM(J35:N35)</f>
        <v>2715</v>
      </c>
      <c r="Q35" s="34"/>
    </row>
    <row r="36" spans="1:23" s="36" customFormat="1" ht="15">
      <c r="A36" s="49" t="s">
        <v>194</v>
      </c>
      <c r="B36" s="224"/>
      <c r="C36" s="224"/>
      <c r="D36" s="224" t="s">
        <v>396</v>
      </c>
      <c r="E36" s="224"/>
      <c r="F36" s="224"/>
      <c r="G36" s="224"/>
      <c r="H36" s="224"/>
      <c r="I36" s="226"/>
      <c r="J36" s="229">
        <v>1514</v>
      </c>
      <c r="K36" s="229">
        <v>0</v>
      </c>
      <c r="L36" s="229">
        <v>143</v>
      </c>
      <c r="M36" s="229">
        <v>0</v>
      </c>
      <c r="N36" s="229">
        <v>-4</v>
      </c>
      <c r="O36" s="230"/>
      <c r="P36" s="230">
        <f>SUM(J36:N36)</f>
        <v>1653</v>
      </c>
      <c r="Q36" s="34"/>
    </row>
    <row r="37" spans="1:23" s="36" customFormat="1" ht="15.6">
      <c r="A37" s="49" t="s">
        <v>197</v>
      </c>
      <c r="B37" s="224"/>
      <c r="C37" s="224"/>
      <c r="D37" s="224" t="s">
        <v>1973</v>
      </c>
      <c r="E37" s="224"/>
      <c r="F37" s="224"/>
      <c r="G37" s="224"/>
      <c r="H37" s="224"/>
      <c r="I37" s="226"/>
      <c r="J37" s="229">
        <v>919</v>
      </c>
      <c r="K37" s="229">
        <v>0</v>
      </c>
      <c r="L37" s="229">
        <v>58</v>
      </c>
      <c r="M37" s="229">
        <v>0</v>
      </c>
      <c r="N37" s="229">
        <v>0</v>
      </c>
      <c r="O37" s="230"/>
      <c r="P37" s="230">
        <f>SUM(J37:N37)</f>
        <v>977</v>
      </c>
      <c r="Q37" s="34"/>
      <c r="R37" s="33"/>
      <c r="S37" s="33"/>
      <c r="T37" s="33"/>
      <c r="U37" s="33"/>
      <c r="V37" s="33"/>
      <c r="W37" s="33"/>
    </row>
    <row r="38" spans="1:23" s="36" customFormat="1" ht="15.6">
      <c r="A38" s="1175" t="s">
        <v>146</v>
      </c>
      <c r="B38" s="231"/>
      <c r="C38" s="224"/>
      <c r="D38" s="232" t="s">
        <v>768</v>
      </c>
      <c r="E38" s="233"/>
      <c r="F38" s="233"/>
      <c r="G38" s="233"/>
      <c r="H38" s="224"/>
      <c r="I38" s="226"/>
      <c r="J38" s="229">
        <v>0</v>
      </c>
      <c r="K38" s="229">
        <v>0</v>
      </c>
      <c r="L38" s="229">
        <v>0</v>
      </c>
      <c r="M38" s="229">
        <v>0</v>
      </c>
      <c r="N38" s="229">
        <v>0</v>
      </c>
      <c r="O38" s="230"/>
      <c r="P38" s="230">
        <v>0</v>
      </c>
      <c r="Q38" s="34"/>
      <c r="R38" s="33"/>
      <c r="S38" s="33"/>
      <c r="T38" s="33"/>
      <c r="U38" s="33"/>
      <c r="V38" s="33"/>
      <c r="W38" s="33"/>
    </row>
    <row r="39" spans="1:23" s="36" customFormat="1" ht="15">
      <c r="A39" s="49"/>
      <c r="B39" s="224"/>
      <c r="C39" s="224"/>
      <c r="D39" s="224"/>
      <c r="E39" s="224"/>
      <c r="F39" s="224"/>
      <c r="H39" s="224"/>
      <c r="I39" s="226"/>
      <c r="J39" s="234"/>
      <c r="K39" s="230"/>
      <c r="L39" s="234"/>
      <c r="M39" s="230"/>
      <c r="N39" s="234"/>
      <c r="O39" s="230"/>
      <c r="P39" s="234"/>
      <c r="Q39" s="34"/>
    </row>
    <row r="40" spans="1:23" s="36" customFormat="1" ht="15">
      <c r="A40" s="49"/>
      <c r="B40" s="224"/>
      <c r="C40" s="224"/>
      <c r="D40" s="224"/>
      <c r="E40" s="224"/>
      <c r="F40" s="224"/>
      <c r="G40" s="224"/>
      <c r="H40" s="224"/>
      <c r="I40" s="226"/>
      <c r="J40" s="230"/>
      <c r="K40" s="230"/>
      <c r="L40" s="230"/>
      <c r="M40" s="230"/>
      <c r="N40" s="230"/>
      <c r="O40" s="230"/>
      <c r="P40" s="230"/>
      <c r="Q40" s="34"/>
    </row>
    <row r="41" spans="1:23" s="36" customFormat="1" ht="15">
      <c r="A41" s="50">
        <v>4</v>
      </c>
      <c r="B41" s="224"/>
      <c r="C41" s="224"/>
      <c r="D41" s="224"/>
      <c r="E41" s="224"/>
      <c r="F41" s="224"/>
      <c r="G41" s="224" t="s">
        <v>1974</v>
      </c>
      <c r="H41" s="224"/>
      <c r="I41" s="226"/>
      <c r="J41" s="236">
        <f>+J32+SUM(J34:J38)</f>
        <v>10173</v>
      </c>
      <c r="K41" s="229"/>
      <c r="L41" s="236">
        <f>+L32+SUM(L34:L38)</f>
        <v>535</v>
      </c>
      <c r="M41" s="229"/>
      <c r="N41" s="236">
        <f>+N32+SUM(N34:N38)</f>
        <v>-1663</v>
      </c>
      <c r="O41" s="230"/>
      <c r="P41" s="237">
        <f>+P32+SUM(P34:P38)</f>
        <v>9045</v>
      </c>
      <c r="Q41" s="39"/>
      <c r="R41" s="40"/>
      <c r="T41" s="40"/>
    </row>
    <row r="42" spans="1:23" s="36" customFormat="1" ht="15">
      <c r="A42" s="49"/>
      <c r="B42" s="224"/>
      <c r="C42" s="224"/>
      <c r="D42" s="224"/>
      <c r="E42" s="224"/>
      <c r="F42" s="224"/>
      <c r="G42" s="224"/>
      <c r="H42" s="224"/>
      <c r="I42" s="226"/>
      <c r="J42" s="234"/>
      <c r="K42" s="230"/>
      <c r="L42" s="234"/>
      <c r="M42" s="230"/>
      <c r="N42" s="234"/>
      <c r="O42" s="238"/>
      <c r="P42" s="234"/>
      <c r="Q42" s="39"/>
      <c r="R42" s="40"/>
      <c r="T42" s="40"/>
    </row>
    <row r="43" spans="1:23" s="36" customFormat="1" ht="15">
      <c r="A43" s="50">
        <v>5</v>
      </c>
      <c r="B43" s="224" t="s">
        <v>1975</v>
      </c>
      <c r="C43" s="224"/>
      <c r="D43" s="224"/>
      <c r="E43" s="224"/>
      <c r="F43" s="224"/>
      <c r="G43" s="224"/>
      <c r="H43" s="224"/>
      <c r="I43" s="226"/>
      <c r="J43" s="230"/>
      <c r="K43" s="230"/>
      <c r="L43" s="230"/>
      <c r="M43" s="230"/>
      <c r="N43" s="230"/>
      <c r="O43" s="230"/>
      <c r="P43" s="230"/>
      <c r="Q43" s="39"/>
    </row>
    <row r="44" spans="1:23" s="36" customFormat="1" ht="15">
      <c r="A44" s="49" t="s">
        <v>332</v>
      </c>
      <c r="B44" s="224"/>
      <c r="C44" s="224"/>
      <c r="D44" s="224" t="s">
        <v>1970</v>
      </c>
      <c r="E44" s="224"/>
      <c r="F44" s="224"/>
      <c r="G44" s="224"/>
      <c r="H44" s="224"/>
      <c r="I44" s="226"/>
      <c r="J44" s="229">
        <v>971</v>
      </c>
      <c r="K44" s="229">
        <v>0</v>
      </c>
      <c r="L44" s="229">
        <v>59</v>
      </c>
      <c r="M44" s="229">
        <v>0</v>
      </c>
      <c r="N44" s="229">
        <v>0</v>
      </c>
      <c r="O44" s="230"/>
      <c r="P44" s="230">
        <f>SUM(J44:N44)</f>
        <v>1030</v>
      </c>
      <c r="Q44" s="34"/>
    </row>
    <row r="45" spans="1:23" s="36" customFormat="1" ht="15">
      <c r="A45" s="49" t="s">
        <v>335</v>
      </c>
      <c r="B45" s="224"/>
      <c r="C45" s="224"/>
      <c r="D45" s="224" t="s">
        <v>1971</v>
      </c>
      <c r="E45" s="224"/>
      <c r="F45" s="224"/>
      <c r="G45" s="224"/>
      <c r="H45" s="224"/>
      <c r="I45" s="226"/>
      <c r="J45" s="230"/>
      <c r="K45" s="230"/>
      <c r="L45" s="230"/>
      <c r="M45" s="230"/>
      <c r="N45" s="230"/>
      <c r="O45" s="230"/>
      <c r="P45" s="230"/>
      <c r="Q45" s="34"/>
    </row>
    <row r="46" spans="1:23" s="36" customFormat="1" ht="15">
      <c r="A46" s="49" t="s">
        <v>338</v>
      </c>
      <c r="B46" s="224"/>
      <c r="C46" s="224"/>
      <c r="D46" s="224"/>
      <c r="E46" s="224" t="s">
        <v>1972</v>
      </c>
      <c r="F46" s="224"/>
      <c r="G46" s="224"/>
      <c r="H46" s="224"/>
      <c r="I46" s="226"/>
      <c r="J46" s="229">
        <v>1468</v>
      </c>
      <c r="K46" s="229">
        <v>0</v>
      </c>
      <c r="L46" s="229">
        <v>32</v>
      </c>
      <c r="M46" s="229">
        <v>0</v>
      </c>
      <c r="N46" s="229">
        <v>-607</v>
      </c>
      <c r="O46" s="230"/>
      <c r="P46" s="230">
        <f>SUM(J46:N46)</f>
        <v>893</v>
      </c>
      <c r="Q46" s="34"/>
    </row>
    <row r="47" spans="1:23" s="36" customFormat="1" ht="15">
      <c r="A47" s="49" t="s">
        <v>341</v>
      </c>
      <c r="B47" s="224"/>
      <c r="C47" s="224"/>
      <c r="D47" s="224" t="s">
        <v>220</v>
      </c>
      <c r="E47" s="224"/>
      <c r="F47" s="224"/>
      <c r="G47" s="224"/>
      <c r="H47" s="224"/>
      <c r="I47" s="226"/>
      <c r="J47" s="229">
        <v>1407</v>
      </c>
      <c r="K47" s="229">
        <v>0</v>
      </c>
      <c r="L47" s="229">
        <v>54</v>
      </c>
      <c r="M47" s="229">
        <v>0</v>
      </c>
      <c r="N47" s="229">
        <v>-48</v>
      </c>
      <c r="O47" s="230"/>
      <c r="P47" s="230">
        <f>SUM(J47:N47)</f>
        <v>1413</v>
      </c>
      <c r="Q47" s="34"/>
    </row>
    <row r="48" spans="1:23" s="36" customFormat="1" ht="15">
      <c r="A48" s="49" t="s">
        <v>343</v>
      </c>
      <c r="B48" s="224"/>
      <c r="C48" s="224"/>
      <c r="D48" s="224" t="s">
        <v>396</v>
      </c>
      <c r="E48" s="224"/>
      <c r="F48" s="224"/>
      <c r="G48" s="224"/>
      <c r="H48" s="224"/>
      <c r="I48" s="226"/>
      <c r="J48" s="229">
        <v>545</v>
      </c>
      <c r="K48" s="229">
        <v>0</v>
      </c>
      <c r="L48" s="229">
        <v>77</v>
      </c>
      <c r="M48" s="229">
        <v>0</v>
      </c>
      <c r="N48" s="229">
        <v>-13</v>
      </c>
      <c r="O48" s="230"/>
      <c r="P48" s="230">
        <f t="shared" ref="P48:P50" si="1">SUM(J48:N48)</f>
        <v>609</v>
      </c>
      <c r="Q48" s="34"/>
    </row>
    <row r="49" spans="1:23" s="36" customFormat="1" ht="15.6">
      <c r="A49" s="49" t="s">
        <v>1976</v>
      </c>
      <c r="B49" s="224"/>
      <c r="C49" s="224"/>
      <c r="D49" s="224" t="s">
        <v>1973</v>
      </c>
      <c r="E49" s="224"/>
      <c r="F49" s="224"/>
      <c r="G49" s="224"/>
      <c r="H49" s="224"/>
      <c r="I49" s="226"/>
      <c r="J49" s="229">
        <v>273</v>
      </c>
      <c r="K49" s="229">
        <v>0</v>
      </c>
      <c r="L49" s="229">
        <v>38</v>
      </c>
      <c r="M49" s="229">
        <v>0</v>
      </c>
      <c r="N49" s="229">
        <v>0</v>
      </c>
      <c r="O49" s="230"/>
      <c r="P49" s="230">
        <f t="shared" si="1"/>
        <v>311</v>
      </c>
      <c r="Q49" s="34"/>
      <c r="R49" s="33"/>
      <c r="S49" s="33"/>
      <c r="T49" s="33"/>
      <c r="U49" s="33"/>
      <c r="V49" s="33"/>
      <c r="W49" s="33"/>
    </row>
    <row r="50" spans="1:23" s="36" customFormat="1" ht="15.6">
      <c r="A50" s="1175" t="s">
        <v>146</v>
      </c>
      <c r="B50" s="231"/>
      <c r="C50" s="224"/>
      <c r="D50" s="232" t="s">
        <v>768</v>
      </c>
      <c r="E50" s="233"/>
      <c r="F50" s="233"/>
      <c r="G50" s="233"/>
      <c r="H50" s="224"/>
      <c r="I50" s="226"/>
      <c r="J50" s="229">
        <v>0</v>
      </c>
      <c r="K50" s="229">
        <v>0</v>
      </c>
      <c r="L50" s="229">
        <v>0</v>
      </c>
      <c r="M50" s="229">
        <v>0</v>
      </c>
      <c r="N50" s="229">
        <v>0</v>
      </c>
      <c r="O50" s="230"/>
      <c r="P50" s="230">
        <f t="shared" si="1"/>
        <v>0</v>
      </c>
      <c r="Q50" s="34"/>
      <c r="R50" s="33"/>
      <c r="S50" s="33"/>
      <c r="T50" s="33"/>
      <c r="U50" s="33"/>
      <c r="V50" s="33"/>
      <c r="W50" s="33"/>
    </row>
    <row r="51" spans="1:23" s="36" customFormat="1" ht="15">
      <c r="A51" s="49"/>
      <c r="B51" s="224"/>
      <c r="C51" s="224"/>
      <c r="D51" s="224"/>
      <c r="E51" s="224"/>
      <c r="F51" s="224"/>
      <c r="H51" s="224"/>
      <c r="I51" s="226"/>
      <c r="J51" s="230"/>
      <c r="K51" s="230"/>
      <c r="L51" s="230"/>
      <c r="M51" s="230"/>
      <c r="N51" s="230"/>
      <c r="O51" s="230"/>
      <c r="P51" s="230"/>
      <c r="Q51" s="34"/>
    </row>
    <row r="52" spans="1:23" s="36" customFormat="1" ht="15">
      <c r="A52" s="50">
        <v>6</v>
      </c>
      <c r="B52" s="224"/>
      <c r="C52" s="224"/>
      <c r="D52" s="224"/>
      <c r="E52" s="224"/>
      <c r="F52" s="224"/>
      <c r="G52" s="224" t="s">
        <v>1977</v>
      </c>
      <c r="H52" s="224"/>
      <c r="I52" s="239"/>
      <c r="J52" s="235">
        <f>+J44+SUM(J46:J50)</f>
        <v>4664</v>
      </c>
      <c r="K52" s="240"/>
      <c r="L52" s="235">
        <f>+L44+SUM(L46:L50)</f>
        <v>260</v>
      </c>
      <c r="M52" s="240"/>
      <c r="N52" s="235">
        <f>+N44+SUM(N46:N50)</f>
        <v>-668</v>
      </c>
      <c r="O52" s="240"/>
      <c r="P52" s="235">
        <f>+P44+SUM(P46:P50)</f>
        <v>4256</v>
      </c>
      <c r="Q52" s="39"/>
      <c r="R52" s="40"/>
    </row>
    <row r="53" spans="1:23" s="36" customFormat="1" ht="15">
      <c r="A53" s="49"/>
      <c r="B53" s="224"/>
      <c r="C53" s="224"/>
      <c r="D53" s="224"/>
      <c r="E53" s="224"/>
      <c r="F53" s="224"/>
      <c r="H53" s="224"/>
      <c r="I53" s="226"/>
      <c r="J53" s="230"/>
      <c r="K53" s="230"/>
      <c r="L53" s="230"/>
      <c r="M53" s="230"/>
      <c r="N53" s="230"/>
      <c r="O53" s="230"/>
      <c r="P53" s="230"/>
      <c r="Q53" s="34"/>
      <c r="R53" s="40"/>
    </row>
    <row r="54" spans="1:23" s="36" customFormat="1" ht="15">
      <c r="A54" s="50">
        <v>7</v>
      </c>
      <c r="B54" s="224"/>
      <c r="C54" s="224"/>
      <c r="D54" s="224"/>
      <c r="E54" s="224"/>
      <c r="F54" s="224"/>
      <c r="G54" s="224" t="s">
        <v>1978</v>
      </c>
      <c r="H54" s="224"/>
      <c r="I54" s="226"/>
      <c r="J54" s="235">
        <f>+J41-J52</f>
        <v>5509</v>
      </c>
      <c r="K54" s="230"/>
      <c r="L54" s="235">
        <f>+L41-L52</f>
        <v>275</v>
      </c>
      <c r="M54" s="230"/>
      <c r="N54" s="237">
        <f>+N41-N52</f>
        <v>-995</v>
      </c>
      <c r="O54" s="230"/>
      <c r="P54" s="235">
        <f>IF(SUM(J54:N54)=(P41-P52),SUM(J54:N54),"Off")</f>
        <v>4789</v>
      </c>
      <c r="Q54" s="39"/>
      <c r="R54" s="40"/>
      <c r="S54" s="40"/>
    </row>
    <row r="55" spans="1:23" s="36" customFormat="1" ht="15">
      <c r="A55" s="49"/>
      <c r="B55" s="224"/>
      <c r="C55" s="224"/>
      <c r="D55" s="224"/>
      <c r="E55" s="224"/>
      <c r="F55" s="224"/>
      <c r="G55" s="224"/>
      <c r="H55" s="224"/>
      <c r="I55" s="226"/>
      <c r="J55" s="230"/>
      <c r="K55" s="230"/>
      <c r="L55" s="230"/>
      <c r="M55" s="230"/>
      <c r="N55" s="230"/>
      <c r="O55" s="230"/>
      <c r="P55" s="230"/>
      <c r="Q55" s="39"/>
      <c r="R55" s="40"/>
    </row>
    <row r="56" spans="1:23" s="36" customFormat="1" ht="15.6" thickBot="1">
      <c r="A56" s="50">
        <v>8</v>
      </c>
      <c r="B56" s="224"/>
      <c r="C56" s="224"/>
      <c r="D56" s="224"/>
      <c r="E56" s="224"/>
      <c r="F56" s="224"/>
      <c r="G56" s="224" t="s">
        <v>1979</v>
      </c>
      <c r="H56" s="224"/>
      <c r="I56" s="226"/>
      <c r="J56" s="241">
        <f>+J54+J29</f>
        <v>6488</v>
      </c>
      <c r="K56" s="240"/>
      <c r="L56" s="241">
        <f>+L54+L29</f>
        <v>1045</v>
      </c>
      <c r="M56" s="240"/>
      <c r="N56" s="241">
        <f>+N54+N29</f>
        <v>-1717</v>
      </c>
      <c r="O56" s="240"/>
      <c r="P56" s="241">
        <f>+P54+P29</f>
        <v>5816</v>
      </c>
      <c r="Q56" s="39"/>
      <c r="R56" s="40"/>
    </row>
    <row r="57" spans="1:23" ht="16.2" thickTop="1">
      <c r="A57" s="1323"/>
      <c r="B57" s="3"/>
      <c r="C57" s="3"/>
      <c r="D57" s="3"/>
      <c r="E57" s="3"/>
      <c r="F57" s="3"/>
      <c r="G57" s="3"/>
      <c r="H57" s="3"/>
      <c r="I57" s="3"/>
      <c r="J57" s="30"/>
      <c r="K57" s="30"/>
      <c r="L57" s="30"/>
      <c r="M57" s="30"/>
      <c r="N57" s="30"/>
      <c r="O57" s="30"/>
      <c r="P57" s="30"/>
      <c r="Q57" s="3"/>
      <c r="R57" s="1324"/>
      <c r="S57" s="1325"/>
      <c r="T57" s="1325"/>
      <c r="U57" s="1325"/>
      <c r="V57" s="1325"/>
      <c r="W57" s="1325"/>
    </row>
    <row r="58" spans="1:23">
      <c r="A58" s="1325"/>
      <c r="B58" s="1325"/>
      <c r="C58" s="1325"/>
      <c r="D58" s="1325"/>
      <c r="E58" s="1325"/>
      <c r="F58" s="1325"/>
      <c r="G58" s="1325"/>
      <c r="H58" s="1325"/>
      <c r="I58" s="1325"/>
      <c r="J58" s="1326"/>
      <c r="K58" s="1326"/>
      <c r="L58" s="1326"/>
      <c r="M58" s="1326"/>
      <c r="N58" s="1326"/>
      <c r="O58" s="1326"/>
      <c r="P58" s="1326"/>
      <c r="Q58" s="1325"/>
      <c r="R58" s="1325"/>
      <c r="S58" s="1324"/>
      <c r="T58" s="1325"/>
      <c r="U58" s="1325"/>
      <c r="V58" s="1325"/>
      <c r="W58" s="1325"/>
    </row>
    <row r="59" spans="1:23">
      <c r="A59" s="1325"/>
      <c r="B59" s="1325"/>
      <c r="C59" s="1325"/>
      <c r="D59" s="1325"/>
      <c r="E59" s="1325"/>
      <c r="F59" s="1325"/>
      <c r="G59" s="1325"/>
      <c r="H59" s="1325"/>
      <c r="I59" s="1325"/>
      <c r="J59" s="1326"/>
      <c r="K59" s="1326"/>
      <c r="L59" s="1326"/>
      <c r="M59" s="1326"/>
      <c r="N59" s="1326"/>
      <c r="O59" s="1326"/>
      <c r="P59" s="1326"/>
      <c r="Q59" s="1325"/>
      <c r="R59" s="1325"/>
      <c r="S59" s="1325"/>
      <c r="T59" s="1325"/>
      <c r="U59" s="1325"/>
      <c r="V59" s="1325"/>
      <c r="W59" s="1325"/>
    </row>
  </sheetData>
  <customSheetViews>
    <customSheetView guid="{343BF296-013A-41F5-BDAB-AD6220EA7F78}" scale="70" showPageBreaks="1" printArea="1" view="pageBreakPreview">
      <selection activeCell="D33" sqref="D33"/>
      <pageMargins left="0" right="0" top="0" bottom="0" header="0" footer="0"/>
      <printOptions horizontalCentered="1"/>
      <pageSetup scale="63" orientation="portrait" cellComments="asDisplayed" r:id="rId1"/>
    </customSheetView>
    <customSheetView guid="{B321D76C-CDE5-48BB-9CDE-80FF97D58FCF}" scale="70" showPageBreaks="1" printArea="1" view="pageBreakPreview">
      <selection activeCell="D33" sqref="D33"/>
      <pageMargins left="0" right="0" top="0" bottom="0" header="0" footer="0"/>
      <printOptions horizontalCentered="1"/>
      <pageSetup scale="63" orientation="portrait" cellComments="asDisplayed" r:id="rId2"/>
    </customSheetView>
  </customSheetViews>
  <mergeCells count="5">
    <mergeCell ref="B9:Q9"/>
    <mergeCell ref="B5:P5"/>
    <mergeCell ref="B4:P4"/>
    <mergeCell ref="B6:P6"/>
    <mergeCell ref="B8:Q8"/>
  </mergeCells>
  <printOptions horizontalCentered="1"/>
  <pageMargins left="0.25" right="0.25" top="0.5" bottom="0.5" header="0.05" footer="0.05"/>
  <pageSetup scale="59" orientation="portrait" cellComments="asDisplayed" r:id="rId3"/>
  <drawing r:id="rId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tabColor theme="6"/>
  </sheetPr>
  <dimension ref="A1:T159"/>
  <sheetViews>
    <sheetView view="pageBreakPreview" zoomScale="90" zoomScaleNormal="100" zoomScaleSheetLayoutView="90" workbookViewId="0">
      <selection activeCell="Q91" sqref="Q91"/>
    </sheetView>
  </sheetViews>
  <sheetFormatPr defaultColWidth="9" defaultRowHeight="13.8"/>
  <cols>
    <col min="1" max="1" width="8" style="153" customWidth="1"/>
    <col min="2" max="2" width="5.109375" style="153" customWidth="1"/>
    <col min="3" max="3" width="11.77734375" style="153" customWidth="1"/>
    <col min="4" max="6" width="9" style="160"/>
    <col min="7" max="7" width="13.77734375" style="158" customWidth="1"/>
    <col min="8" max="8" width="14.77734375" style="158" bestFit="1" customWidth="1"/>
    <col min="9" max="9" width="15" style="158" bestFit="1" customWidth="1"/>
    <col min="10" max="10" width="15.21875" style="158" bestFit="1" customWidth="1"/>
    <col min="11" max="11" width="16.21875" style="158" customWidth="1"/>
    <col min="12" max="12" width="13.33203125" style="158" bestFit="1" customWidth="1"/>
    <col min="13" max="13" width="15" style="158" bestFit="1" customWidth="1"/>
    <col min="14" max="14" width="15.21875" style="160" bestFit="1" customWidth="1"/>
    <col min="15" max="15" width="12" style="160" bestFit="1" customWidth="1"/>
    <col min="16" max="16384" width="9" style="160"/>
  </cols>
  <sheetData>
    <row r="1" spans="1:20" s="149" customFormat="1" ht="15.6">
      <c r="A1" s="146"/>
      <c r="B1" s="147"/>
      <c r="C1" s="148"/>
      <c r="G1" s="150"/>
      <c r="H1" s="151"/>
      <c r="I1" s="150"/>
      <c r="J1" s="150"/>
      <c r="K1" s="150"/>
      <c r="L1" s="150"/>
      <c r="M1" s="150"/>
      <c r="N1" s="152"/>
      <c r="O1" s="152"/>
    </row>
    <row r="2" spans="1:20" ht="18">
      <c r="B2" s="1283"/>
      <c r="C2" s="154"/>
      <c r="D2" s="155"/>
      <c r="E2" s="156"/>
      <c r="F2" s="156"/>
      <c r="G2" s="157"/>
      <c r="H2" s="157"/>
      <c r="N2" s="159"/>
      <c r="O2" s="159"/>
    </row>
    <row r="3" spans="1:20" ht="18">
      <c r="B3" s="1283"/>
      <c r="C3" s="154"/>
      <c r="D3" s="155"/>
      <c r="E3" s="156"/>
      <c r="F3" s="156"/>
      <c r="G3" s="157"/>
      <c r="H3" s="157"/>
      <c r="N3" s="159"/>
      <c r="O3" s="159"/>
    </row>
    <row r="4" spans="1:20" ht="18">
      <c r="A4" s="1537" t="s">
        <v>0</v>
      </c>
      <c r="B4" s="1537"/>
      <c r="C4" s="1537"/>
      <c r="D4" s="1537"/>
      <c r="E4" s="1537"/>
      <c r="F4" s="1537"/>
      <c r="G4" s="1537"/>
      <c r="H4" s="1537"/>
      <c r="I4" s="1537"/>
      <c r="J4" s="1537"/>
      <c r="K4" s="1537"/>
      <c r="L4" s="1537"/>
      <c r="M4" s="1537"/>
      <c r="N4" s="1537"/>
      <c r="O4" s="1537"/>
      <c r="P4" s="161"/>
    </row>
    <row r="5" spans="1:20" ht="18">
      <c r="A5" s="1537" t="s">
        <v>1</v>
      </c>
      <c r="B5" s="1537"/>
      <c r="C5" s="1537"/>
      <c r="D5" s="1537"/>
      <c r="E5" s="1537"/>
      <c r="F5" s="1537"/>
      <c r="G5" s="1537"/>
      <c r="H5" s="1537"/>
      <c r="I5" s="1537"/>
      <c r="J5" s="1537"/>
      <c r="K5" s="1537"/>
      <c r="L5" s="1537"/>
      <c r="M5" s="1537"/>
      <c r="N5" s="1537"/>
      <c r="O5" s="1537"/>
    </row>
    <row r="6" spans="1:20" ht="18">
      <c r="A6" s="1538" t="str">
        <f>SUMMARY!A7</f>
        <v>YEAR ENDING DECEMBER 31, 2022</v>
      </c>
      <c r="B6" s="1538"/>
      <c r="C6" s="1538"/>
      <c r="D6" s="1538"/>
      <c r="E6" s="1538"/>
      <c r="F6" s="1538"/>
      <c r="G6" s="1538"/>
      <c r="H6" s="1538"/>
      <c r="I6" s="1538"/>
      <c r="J6" s="1538"/>
      <c r="K6" s="1538"/>
      <c r="L6" s="1538"/>
      <c r="M6" s="1538"/>
      <c r="N6" s="1538"/>
      <c r="O6" s="1538"/>
    </row>
    <row r="7" spans="1:20" ht="12" customHeight="1">
      <c r="A7" s="154"/>
      <c r="C7" s="154"/>
      <c r="D7" s="154"/>
      <c r="E7" s="156"/>
      <c r="F7" s="156"/>
      <c r="G7" s="157"/>
      <c r="H7" s="157"/>
      <c r="N7" s="159"/>
      <c r="O7" s="159"/>
    </row>
    <row r="8" spans="1:20" ht="18">
      <c r="A8" s="1537" t="s">
        <v>1980</v>
      </c>
      <c r="B8" s="1537"/>
      <c r="C8" s="1537"/>
      <c r="D8" s="1537"/>
      <c r="E8" s="1537"/>
      <c r="F8" s="1537"/>
      <c r="G8" s="1537"/>
      <c r="H8" s="1537"/>
      <c r="I8" s="1537"/>
      <c r="J8" s="1537"/>
      <c r="K8" s="1537"/>
      <c r="L8" s="1537"/>
      <c r="M8" s="1537"/>
      <c r="N8" s="1537"/>
      <c r="O8" s="1537"/>
      <c r="P8" s="1537"/>
    </row>
    <row r="9" spans="1:20" ht="18">
      <c r="A9" s="1537" t="s">
        <v>104</v>
      </c>
      <c r="B9" s="1537"/>
      <c r="C9" s="1537"/>
      <c r="D9" s="1537"/>
      <c r="E9" s="1537"/>
      <c r="F9" s="1537"/>
      <c r="G9" s="1537"/>
      <c r="H9" s="1537"/>
      <c r="I9" s="1537"/>
      <c r="J9" s="1537"/>
      <c r="K9" s="1537"/>
      <c r="L9" s="1537"/>
      <c r="M9" s="1537"/>
      <c r="N9" s="1537"/>
      <c r="O9" s="1537"/>
      <c r="P9" s="1537"/>
    </row>
    <row r="10" spans="1:20" s="164" customFormat="1" ht="13.2">
      <c r="A10" s="162" t="s">
        <v>351</v>
      </c>
      <c r="B10" s="163"/>
      <c r="C10" s="163"/>
      <c r="G10" s="104"/>
      <c r="H10" s="104"/>
      <c r="I10" s="104"/>
      <c r="J10" s="104"/>
      <c r="K10" s="104"/>
      <c r="L10" s="104"/>
      <c r="M10" s="104"/>
    </row>
    <row r="11" spans="1:20" s="164" customFormat="1" ht="18" customHeight="1">
      <c r="A11" s="165" t="s">
        <v>354</v>
      </c>
      <c r="B11" s="163"/>
      <c r="C11" s="163"/>
      <c r="F11" s="163"/>
      <c r="G11" s="166"/>
      <c r="H11" s="1532">
        <v>2022</v>
      </c>
      <c r="I11" s="1533"/>
      <c r="J11" s="1534"/>
      <c r="K11" s="104"/>
      <c r="L11" s="104"/>
      <c r="M11" s="104"/>
      <c r="P11" s="167"/>
      <c r="Q11" s="1536"/>
      <c r="R11" s="1536"/>
      <c r="S11" s="1536"/>
      <c r="T11" s="1536"/>
    </row>
    <row r="12" spans="1:20" s="164" customFormat="1" ht="18" customHeight="1">
      <c r="A12" s="165"/>
      <c r="B12" s="163"/>
      <c r="C12" s="168" t="s">
        <v>8</v>
      </c>
      <c r="F12" s="163"/>
      <c r="G12" s="166"/>
      <c r="H12" s="169" t="s">
        <v>9</v>
      </c>
      <c r="I12" s="169" t="s">
        <v>359</v>
      </c>
      <c r="J12" s="169" t="s">
        <v>360</v>
      </c>
      <c r="K12" s="169" t="s">
        <v>162</v>
      </c>
      <c r="L12" s="169" t="s">
        <v>163</v>
      </c>
      <c r="M12" s="169" t="s">
        <v>228</v>
      </c>
      <c r="N12" s="170" t="s">
        <v>361</v>
      </c>
      <c r="O12" s="170" t="s">
        <v>362</v>
      </c>
      <c r="P12" s="167"/>
      <c r="Q12" s="1282"/>
      <c r="R12" s="1282"/>
      <c r="S12" s="1282"/>
      <c r="T12" s="1282"/>
    </row>
    <row r="13" spans="1:20" s="164" customFormat="1" ht="18" customHeight="1">
      <c r="A13" s="165"/>
      <c r="B13" s="163"/>
      <c r="C13" s="170"/>
      <c r="F13" s="163"/>
      <c r="G13" s="166"/>
      <c r="H13" s="169"/>
      <c r="I13" s="169"/>
      <c r="J13" s="169"/>
      <c r="K13" s="104"/>
      <c r="L13" s="104"/>
      <c r="M13" s="104"/>
      <c r="P13" s="167"/>
      <c r="Q13" s="1282"/>
      <c r="R13" s="1282"/>
      <c r="S13" s="1282"/>
      <c r="T13" s="1282"/>
    </row>
    <row r="14" spans="1:20" s="164" customFormat="1" ht="13.5" customHeight="1">
      <c r="B14" s="1282">
        <v>1</v>
      </c>
      <c r="C14" s="171" t="s">
        <v>1981</v>
      </c>
      <c r="F14" s="163"/>
      <c r="G14" s="166"/>
      <c r="H14" s="172"/>
      <c r="I14" s="172"/>
      <c r="J14" s="172"/>
      <c r="K14" s="172"/>
      <c r="L14" s="166"/>
      <c r="M14" s="166"/>
      <c r="P14" s="167"/>
      <c r="Q14" s="167"/>
      <c r="R14" s="167"/>
      <c r="T14" s="1282"/>
    </row>
    <row r="15" spans="1:20" s="164" customFormat="1" ht="13.5" customHeight="1">
      <c r="A15" s="163"/>
      <c r="B15" s="163"/>
      <c r="F15" s="163"/>
      <c r="G15" s="166"/>
      <c r="H15" s="173" t="s">
        <v>835</v>
      </c>
      <c r="I15" s="173" t="s">
        <v>860</v>
      </c>
      <c r="J15" s="173" t="s">
        <v>1982</v>
      </c>
      <c r="K15" s="166"/>
      <c r="L15" s="166"/>
      <c r="M15" s="166"/>
      <c r="P15" s="167"/>
      <c r="Q15" s="167"/>
      <c r="R15" s="167"/>
      <c r="T15" s="1282"/>
    </row>
    <row r="16" spans="1:20" s="164" customFormat="1" ht="13.5" customHeight="1">
      <c r="A16" s="163"/>
      <c r="B16" s="163"/>
      <c r="F16" s="163"/>
      <c r="G16" s="166"/>
      <c r="H16" s="166"/>
      <c r="I16" s="174"/>
      <c r="J16" s="174"/>
      <c r="K16" s="174"/>
      <c r="L16" s="166"/>
      <c r="M16" s="166"/>
      <c r="P16" s="167"/>
      <c r="Q16" s="167"/>
      <c r="R16" s="167"/>
      <c r="T16" s="1282"/>
    </row>
    <row r="17" spans="1:20" s="164" customFormat="1" ht="13.5" customHeight="1">
      <c r="A17" s="163" t="s">
        <v>167</v>
      </c>
      <c r="B17" s="163"/>
      <c r="C17" s="175" t="s">
        <v>1983</v>
      </c>
      <c r="F17" s="163"/>
      <c r="G17" s="166"/>
      <c r="H17" s="166">
        <f>'WP-AR-IS'!G28</f>
        <v>599</v>
      </c>
      <c r="I17" s="166">
        <f>'WP-AR-IS'!G29</f>
        <v>157</v>
      </c>
      <c r="J17" s="166">
        <f>H17+I17</f>
        <v>756</v>
      </c>
      <c r="K17" s="172"/>
      <c r="L17" s="166"/>
      <c r="M17" s="166"/>
      <c r="P17" s="167"/>
      <c r="Q17" s="167"/>
      <c r="R17" s="167"/>
      <c r="T17" s="1282"/>
    </row>
    <row r="18" spans="1:20" s="164" customFormat="1" ht="13.5" customHeight="1">
      <c r="B18" s="163"/>
      <c r="C18" s="175" t="s">
        <v>1984</v>
      </c>
      <c r="G18" s="166"/>
      <c r="H18" s="166"/>
      <c r="I18" s="166"/>
      <c r="J18" s="166"/>
      <c r="K18" s="166"/>
      <c r="L18" s="166"/>
      <c r="M18" s="166"/>
      <c r="P18" s="167"/>
      <c r="Q18" s="167"/>
      <c r="R18" s="167"/>
      <c r="T18" s="1282"/>
    </row>
    <row r="19" spans="1:20" s="164" customFormat="1" ht="13.5" customHeight="1">
      <c r="A19" s="163" t="s">
        <v>171</v>
      </c>
      <c r="B19" s="163"/>
      <c r="C19" s="176" t="s">
        <v>1342</v>
      </c>
      <c r="G19" s="166"/>
      <c r="H19" s="177">
        <f>-SUM('WP-AA'!C19:C26)/10^6</f>
        <v>-75.93290528</v>
      </c>
      <c r="I19" s="177">
        <f>-SUM('WP-AA'!C53:C63)/10^6</f>
        <v>-113.18918078</v>
      </c>
      <c r="J19" s="166">
        <f t="shared" ref="J19:J42" si="0">H19+I19</f>
        <v>-189.12208606000002</v>
      </c>
      <c r="K19" s="166"/>
      <c r="L19" s="166"/>
      <c r="M19" s="166"/>
      <c r="P19" s="167"/>
      <c r="Q19" s="167"/>
      <c r="R19" s="167"/>
      <c r="T19" s="1282"/>
    </row>
    <row r="20" spans="1:20" s="164" customFormat="1" ht="13.5" customHeight="1">
      <c r="A20" s="163" t="s">
        <v>174</v>
      </c>
      <c r="B20" s="163"/>
      <c r="C20" s="176" t="s">
        <v>1985</v>
      </c>
      <c r="G20" s="166"/>
      <c r="H20" s="166">
        <f>-'WP-AA'!E26/10^6</f>
        <v>-8.5276039800000003</v>
      </c>
      <c r="I20" s="166">
        <v>0</v>
      </c>
      <c r="J20" s="166">
        <f t="shared" si="0"/>
        <v>-8.5276039800000003</v>
      </c>
      <c r="K20" s="166"/>
      <c r="L20" s="166"/>
      <c r="M20" s="166"/>
      <c r="P20" s="167"/>
      <c r="Q20" s="167"/>
      <c r="R20" s="167"/>
      <c r="T20" s="1282"/>
    </row>
    <row r="21" spans="1:20" s="164" customFormat="1" ht="13.5" customHeight="1">
      <c r="A21" s="163" t="s">
        <v>177</v>
      </c>
      <c r="B21" s="163"/>
      <c r="C21" s="176" t="s">
        <v>1986</v>
      </c>
      <c r="G21" s="166"/>
      <c r="H21" s="166">
        <f>-'WP-AA'!F31/10^6-'WP-AA'!F32/10^6</f>
        <v>-195.56508178000001</v>
      </c>
      <c r="I21" s="166">
        <v>0</v>
      </c>
      <c r="J21" s="166">
        <f t="shared" si="0"/>
        <v>-195.56508178000001</v>
      </c>
      <c r="K21" s="166"/>
      <c r="L21" s="166"/>
      <c r="M21" s="166"/>
      <c r="P21" s="167"/>
      <c r="Q21" s="167"/>
      <c r="R21" s="167"/>
      <c r="T21" s="1282"/>
    </row>
    <row r="22" spans="1:20" s="164" customFormat="1" ht="13.5" customHeight="1">
      <c r="A22" s="163" t="s">
        <v>237</v>
      </c>
      <c r="B22" s="163"/>
      <c r="C22" s="176" t="s">
        <v>1987</v>
      </c>
      <c r="G22" s="166"/>
      <c r="H22" s="166">
        <f>-'WP-AA'!F33/10^6</f>
        <v>-17.996105199999999</v>
      </c>
      <c r="I22" s="166">
        <v>0</v>
      </c>
      <c r="J22" s="166">
        <f t="shared" si="0"/>
        <v>-17.996105199999999</v>
      </c>
      <c r="K22" s="166"/>
      <c r="L22" s="166"/>
      <c r="M22" s="166"/>
      <c r="P22" s="167"/>
      <c r="Q22" s="167"/>
      <c r="R22" s="167"/>
      <c r="T22" s="1282"/>
    </row>
    <row r="23" spans="1:20" s="164" customFormat="1" ht="13.5" customHeight="1">
      <c r="A23" s="196" t="s">
        <v>241</v>
      </c>
      <c r="B23" s="163"/>
      <c r="C23" s="178" t="s">
        <v>2085</v>
      </c>
      <c r="D23" s="179"/>
      <c r="E23" s="179"/>
      <c r="F23" s="179"/>
      <c r="G23" s="177"/>
      <c r="H23" s="177">
        <f>-SUM('WP-AA'!F49:F51)/10^6</f>
        <v>-93.778804590000007</v>
      </c>
      <c r="I23" s="177"/>
      <c r="J23" s="166">
        <f t="shared" si="0"/>
        <v>-93.778804590000007</v>
      </c>
      <c r="K23" s="166"/>
      <c r="L23" s="166"/>
      <c r="M23" s="166"/>
      <c r="P23" s="167"/>
      <c r="Q23" s="167"/>
      <c r="R23" s="167"/>
      <c r="T23" s="1282"/>
    </row>
    <row r="24" spans="1:20" s="164" customFormat="1" ht="13.5" customHeight="1">
      <c r="A24" s="196" t="s">
        <v>246</v>
      </c>
      <c r="B24" s="163"/>
      <c r="C24" s="178"/>
      <c r="D24" s="179"/>
      <c r="E24" s="179"/>
      <c r="F24" s="179"/>
      <c r="G24" s="177"/>
      <c r="H24" s="177"/>
      <c r="I24" s="177"/>
      <c r="J24" s="1176">
        <f>H24+I24</f>
        <v>0</v>
      </c>
      <c r="K24" s="166"/>
      <c r="L24" s="166"/>
      <c r="M24" s="166"/>
      <c r="P24" s="167"/>
      <c r="Q24" s="167"/>
      <c r="R24" s="167"/>
      <c r="T24" s="1282"/>
    </row>
    <row r="25" spans="1:20" s="164" customFormat="1" ht="13.5" customHeight="1">
      <c r="A25" s="163" t="s">
        <v>249</v>
      </c>
      <c r="B25" s="163"/>
      <c r="C25" s="176" t="s">
        <v>1988</v>
      </c>
      <c r="G25" s="166"/>
      <c r="H25" s="177">
        <f>-(SUM('WP-AA'!F34:F48)/10^6+H28+H29+H31+H32)*(1-'WP-EA'!L28)</f>
        <v>-100.35355600128018</v>
      </c>
      <c r="I25" s="177">
        <v>0</v>
      </c>
      <c r="J25" s="166">
        <f t="shared" si="0"/>
        <v>-100.35355600128018</v>
      </c>
      <c r="K25" s="166"/>
      <c r="L25" s="166"/>
      <c r="M25" s="166"/>
      <c r="P25" s="167"/>
      <c r="Q25" s="167"/>
      <c r="R25" s="167"/>
      <c r="T25" s="1282"/>
    </row>
    <row r="26" spans="1:20" s="164" customFormat="1" ht="13.5" customHeight="1">
      <c r="B26" s="163"/>
      <c r="C26" s="176"/>
      <c r="G26" s="166"/>
      <c r="H26" s="166"/>
      <c r="I26" s="166"/>
      <c r="J26" s="166"/>
      <c r="K26" s="166"/>
      <c r="L26" s="166"/>
      <c r="M26" s="166"/>
      <c r="P26" s="167"/>
      <c r="Q26" s="167"/>
      <c r="R26" s="167"/>
      <c r="T26" s="1282"/>
    </row>
    <row r="27" spans="1:20" s="164" customFormat="1" ht="13.5" customHeight="1">
      <c r="B27" s="163"/>
      <c r="C27" s="175" t="s">
        <v>331</v>
      </c>
      <c r="G27" s="166"/>
      <c r="H27" s="166"/>
      <c r="I27" s="166"/>
      <c r="J27" s="166">
        <f t="shared" si="0"/>
        <v>0</v>
      </c>
      <c r="K27" s="166"/>
      <c r="L27" s="166"/>
      <c r="M27" s="166"/>
      <c r="P27" s="167"/>
      <c r="Q27" s="167"/>
      <c r="R27" s="167"/>
      <c r="T27" s="1282"/>
    </row>
    <row r="28" spans="1:20" s="164" customFormat="1" ht="13.5" customHeight="1">
      <c r="A28" s="163" t="s">
        <v>253</v>
      </c>
      <c r="B28" s="163"/>
      <c r="C28" s="176" t="s">
        <v>1989</v>
      </c>
      <c r="G28" s="166"/>
      <c r="H28" s="166">
        <f>-'WP-AA'!F38/10^6</f>
        <v>-7.0174424399999991</v>
      </c>
      <c r="I28" s="166">
        <v>0</v>
      </c>
      <c r="J28" s="166">
        <f t="shared" si="0"/>
        <v>-7.0174424399999991</v>
      </c>
      <c r="K28" s="166"/>
      <c r="L28" s="166"/>
      <c r="M28" s="166"/>
      <c r="P28" s="167"/>
      <c r="Q28" s="167"/>
      <c r="R28" s="167"/>
      <c r="T28" s="1282"/>
    </row>
    <row r="29" spans="1:20" s="164" customFormat="1" ht="13.5" customHeight="1">
      <c r="A29" s="163" t="s">
        <v>257</v>
      </c>
      <c r="B29" s="163"/>
      <c r="C29" s="176" t="s">
        <v>1990</v>
      </c>
      <c r="G29" s="166"/>
      <c r="H29" s="166">
        <f>-'WP-AA'!F39/10^6</f>
        <v>-2.8245955699999996</v>
      </c>
      <c r="I29" s="166">
        <v>0</v>
      </c>
      <c r="J29" s="166">
        <f t="shared" si="0"/>
        <v>-2.8245955699999996</v>
      </c>
      <c r="K29" s="166"/>
      <c r="L29" s="166"/>
      <c r="M29" s="166"/>
      <c r="P29" s="167"/>
      <c r="Q29" s="167"/>
      <c r="R29" s="167"/>
      <c r="T29" s="1282"/>
    </row>
    <row r="30" spans="1:20" s="164" customFormat="1" ht="13.5" customHeight="1">
      <c r="A30" s="163" t="s">
        <v>261</v>
      </c>
      <c r="B30" s="163"/>
      <c r="C30" s="176" t="s">
        <v>281</v>
      </c>
      <c r="G30" s="166"/>
      <c r="H30" s="166">
        <f>'A2-A&amp;G'!H35/10^6</f>
        <v>0</v>
      </c>
      <c r="I30" s="166">
        <v>0</v>
      </c>
      <c r="J30" s="166">
        <f t="shared" si="0"/>
        <v>0</v>
      </c>
      <c r="K30" s="166"/>
      <c r="L30" s="166"/>
      <c r="M30" s="166"/>
      <c r="P30" s="167"/>
      <c r="Q30" s="167"/>
      <c r="R30" s="167"/>
      <c r="T30" s="1282"/>
    </row>
    <row r="31" spans="1:20" s="164" customFormat="1" ht="13.5" customHeight="1">
      <c r="A31" s="163" t="s">
        <v>265</v>
      </c>
      <c r="B31" s="163"/>
      <c r="C31" s="176" t="s">
        <v>1991</v>
      </c>
      <c r="G31" s="166"/>
      <c r="H31" s="166">
        <f>-'WP-AA'!F42/10^6</f>
        <v>-5.9752799999999997</v>
      </c>
      <c r="I31" s="166">
        <v>0</v>
      </c>
      <c r="J31" s="166">
        <f t="shared" si="0"/>
        <v>-5.9752799999999997</v>
      </c>
      <c r="K31" s="166"/>
      <c r="L31" s="166"/>
      <c r="M31" s="166"/>
      <c r="P31" s="167"/>
      <c r="Q31" s="167"/>
      <c r="R31" s="167"/>
      <c r="T31" s="1282"/>
    </row>
    <row r="32" spans="1:20" s="164" customFormat="1" ht="13.5" customHeight="1">
      <c r="A32" s="163" t="s">
        <v>270</v>
      </c>
      <c r="B32" s="163"/>
      <c r="C32" s="176" t="s">
        <v>1992</v>
      </c>
      <c r="G32" s="166"/>
      <c r="H32" s="166">
        <f>-'WP-AA'!F46/10^6</f>
        <v>-8.0353108399999993</v>
      </c>
      <c r="I32" s="166">
        <v>0</v>
      </c>
      <c r="J32" s="166">
        <f t="shared" si="0"/>
        <v>-8.0353108399999993</v>
      </c>
      <c r="K32" s="166"/>
      <c r="L32" s="166"/>
      <c r="M32" s="166"/>
      <c r="P32" s="167"/>
      <c r="Q32" s="167"/>
      <c r="R32" s="167"/>
      <c r="T32" s="1282"/>
    </row>
    <row r="33" spans="1:20" s="164" customFormat="1" ht="13.5" customHeight="1">
      <c r="A33" s="163" t="s">
        <v>273</v>
      </c>
      <c r="B33" s="163"/>
      <c r="C33" s="176" t="s">
        <v>288</v>
      </c>
      <c r="G33" s="166"/>
      <c r="H33" s="166">
        <f>'WP-AF'!H21/10^6*'E1-Allocator'!F21</f>
        <v>13.595439500463934</v>
      </c>
      <c r="I33" s="166">
        <v>0</v>
      </c>
      <c r="J33" s="166">
        <f t="shared" si="0"/>
        <v>13.595439500463934</v>
      </c>
      <c r="K33" s="166"/>
      <c r="L33" s="166"/>
      <c r="M33" s="166"/>
      <c r="P33" s="167"/>
      <c r="Q33" s="167"/>
      <c r="R33" s="167"/>
      <c r="T33" s="1282"/>
    </row>
    <row r="34" spans="1:20" s="164" customFormat="1" ht="13.5" customHeight="1">
      <c r="A34" s="163" t="s">
        <v>640</v>
      </c>
      <c r="B34" s="163"/>
      <c r="C34" s="176" t="s">
        <v>1993</v>
      </c>
      <c r="E34" s="71"/>
      <c r="F34" s="71"/>
      <c r="G34" s="166"/>
      <c r="H34" s="166">
        <f>'A2-A&amp;G'!J20/10^6</f>
        <v>1.8600969771750637</v>
      </c>
      <c r="I34" s="166">
        <v>0</v>
      </c>
      <c r="J34" s="166">
        <f t="shared" si="0"/>
        <v>1.8600969771750637</v>
      </c>
      <c r="K34" s="166"/>
      <c r="L34" s="166"/>
      <c r="M34" s="166"/>
      <c r="P34" s="167"/>
      <c r="Q34" s="167"/>
      <c r="R34" s="167"/>
      <c r="T34" s="1282"/>
    </row>
    <row r="35" spans="1:20" s="164" customFormat="1" ht="13.5" customHeight="1">
      <c r="A35" s="163" t="s">
        <v>1006</v>
      </c>
      <c r="B35" s="163"/>
      <c r="C35" s="176" t="s">
        <v>1994</v>
      </c>
      <c r="E35" s="71"/>
      <c r="F35" s="71"/>
      <c r="G35" s="166"/>
      <c r="H35" s="166">
        <f>'A2-A&amp;G'!J21/10^6</f>
        <v>1.1983658704859539</v>
      </c>
      <c r="I35" s="166">
        <v>0</v>
      </c>
      <c r="J35" s="166">
        <f t="shared" si="0"/>
        <v>1.1983658704859539</v>
      </c>
      <c r="K35" s="166"/>
      <c r="L35" s="166"/>
      <c r="M35" s="166"/>
      <c r="P35" s="167"/>
      <c r="Q35" s="167"/>
      <c r="R35" s="167"/>
      <c r="T35" s="1282"/>
    </row>
    <row r="36" spans="1:20" s="164" customFormat="1" ht="13.5" customHeight="1">
      <c r="A36" s="163" t="s">
        <v>1008</v>
      </c>
      <c r="B36" s="163"/>
      <c r="C36" s="176" t="s">
        <v>1995</v>
      </c>
      <c r="E36" s="71"/>
      <c r="F36" s="71"/>
      <c r="G36" s="166"/>
      <c r="H36" s="166">
        <f>'A2-A&amp;G'!J27/10^6</f>
        <v>3.3374049335191986</v>
      </c>
      <c r="I36" s="166"/>
      <c r="J36" s="166"/>
      <c r="K36" s="166"/>
      <c r="L36" s="166"/>
      <c r="M36" s="166"/>
      <c r="P36" s="167"/>
      <c r="Q36" s="167"/>
      <c r="R36" s="167"/>
      <c r="T36" s="1282"/>
    </row>
    <row r="37" spans="1:20" s="164" customFormat="1" ht="13.5" customHeight="1">
      <c r="A37" s="163" t="s">
        <v>1010</v>
      </c>
      <c r="B37" s="163"/>
      <c r="C37" s="176" t="s">
        <v>205</v>
      </c>
      <c r="E37" s="71"/>
      <c r="F37" s="71"/>
      <c r="G37" s="166"/>
      <c r="H37" s="166">
        <v>0</v>
      </c>
      <c r="I37" s="166">
        <f>'A1-O&amp;M'!J35/10^6</f>
        <v>-1.0488347438144912</v>
      </c>
      <c r="J37" s="166">
        <f t="shared" si="0"/>
        <v>-1.0488347438144912</v>
      </c>
      <c r="K37" s="166"/>
      <c r="L37" s="166"/>
      <c r="M37" s="166"/>
      <c r="P37" s="167"/>
      <c r="Q37" s="167"/>
      <c r="R37" s="167"/>
      <c r="T37" s="1282"/>
    </row>
    <row r="38" spans="1:20" s="164" customFormat="1" ht="13.5" customHeight="1">
      <c r="A38" s="163" t="s">
        <v>1012</v>
      </c>
      <c r="B38" s="163"/>
      <c r="C38" s="176" t="s">
        <v>336</v>
      </c>
      <c r="F38" s="163"/>
      <c r="G38" s="166"/>
      <c r="H38" s="166">
        <v>0</v>
      </c>
      <c r="I38" s="166">
        <f>'A1-O&amp;M'!J36/10^6</f>
        <v>-0.62840554764581136</v>
      </c>
      <c r="J38" s="166">
        <f t="shared" si="0"/>
        <v>-0.62840554764581136</v>
      </c>
      <c r="K38" s="166"/>
      <c r="L38" s="166"/>
      <c r="M38" s="166"/>
      <c r="P38" s="167"/>
      <c r="Q38" s="167"/>
      <c r="R38" s="167"/>
      <c r="T38" s="1282"/>
    </row>
    <row r="39" spans="1:20" s="164" customFormat="1" ht="13.5" customHeight="1">
      <c r="A39" s="163" t="s">
        <v>1014</v>
      </c>
      <c r="B39" s="163"/>
      <c r="C39" s="176" t="s">
        <v>211</v>
      </c>
      <c r="F39" s="163"/>
      <c r="G39" s="166"/>
      <c r="H39" s="166">
        <v>0</v>
      </c>
      <c r="I39" s="166">
        <f>'A1-O&amp;M'!J37/10^6</f>
        <v>-0.214309</v>
      </c>
      <c r="J39" s="166">
        <f t="shared" si="0"/>
        <v>-0.214309</v>
      </c>
      <c r="K39" s="166"/>
      <c r="L39" s="166"/>
      <c r="M39" s="166"/>
      <c r="P39" s="167"/>
      <c r="Q39" s="167"/>
      <c r="R39" s="167"/>
      <c r="T39" s="1282"/>
    </row>
    <row r="40" spans="1:20" s="164" customFormat="1" ht="13.5" customHeight="1">
      <c r="A40" s="196" t="s">
        <v>146</v>
      </c>
      <c r="B40" s="163"/>
      <c r="C40" s="178" t="s">
        <v>146</v>
      </c>
      <c r="D40" s="179"/>
      <c r="E40" s="179"/>
      <c r="F40" s="179"/>
      <c r="G40" s="177"/>
      <c r="H40" s="177"/>
      <c r="I40" s="177"/>
      <c r="J40" s="166">
        <f t="shared" ref="J40" si="1">H40+I40</f>
        <v>0</v>
      </c>
      <c r="K40" s="166"/>
      <c r="L40" s="166"/>
      <c r="M40" s="166"/>
      <c r="P40" s="167"/>
      <c r="Q40" s="167"/>
      <c r="R40" s="167"/>
      <c r="T40" s="1282"/>
    </row>
    <row r="41" spans="1:20" s="164" customFormat="1" ht="13.5" customHeight="1">
      <c r="A41" s="196" t="s">
        <v>146</v>
      </c>
      <c r="B41" s="163"/>
      <c r="C41" s="178" t="s">
        <v>146</v>
      </c>
      <c r="D41" s="179"/>
      <c r="E41" s="179"/>
      <c r="F41" s="179"/>
      <c r="G41" s="177"/>
      <c r="H41" s="177"/>
      <c r="I41" s="177"/>
      <c r="J41" s="1176">
        <f t="shared" si="0"/>
        <v>0</v>
      </c>
      <c r="K41" s="166"/>
      <c r="L41" s="166"/>
      <c r="M41" s="166"/>
      <c r="P41" s="167"/>
      <c r="Q41" s="167"/>
      <c r="R41" s="167"/>
      <c r="T41" s="1282"/>
    </row>
    <row r="42" spans="1:20" s="164" customFormat="1" ht="13.5" customHeight="1">
      <c r="A42" s="163" t="s">
        <v>1020</v>
      </c>
      <c r="B42" s="163"/>
      <c r="C42" s="176" t="s">
        <v>1996</v>
      </c>
      <c r="E42" s="71"/>
      <c r="F42" s="71"/>
      <c r="G42" s="166"/>
      <c r="H42" s="177">
        <v>0</v>
      </c>
      <c r="I42" s="177">
        <f>-H42</f>
        <v>0</v>
      </c>
      <c r="J42" s="166">
        <f t="shared" si="0"/>
        <v>0</v>
      </c>
      <c r="K42" s="166"/>
      <c r="L42" s="166"/>
      <c r="M42" s="166"/>
      <c r="P42" s="167"/>
      <c r="Q42" s="167"/>
      <c r="R42" s="167"/>
      <c r="T42" s="1282"/>
    </row>
    <row r="43" spans="1:20" s="164" customFormat="1" ht="13.5" customHeight="1" thickBot="1">
      <c r="A43" s="163" t="s">
        <v>1022</v>
      </c>
      <c r="B43" s="163"/>
      <c r="C43" s="175" t="s">
        <v>1997</v>
      </c>
      <c r="E43" s="71"/>
      <c r="F43" s="71"/>
      <c r="G43" s="166"/>
      <c r="H43" s="180">
        <f>H17+SUM(H19:H25)+SUM(H28:H42)</f>
        <v>102.98462160036398</v>
      </c>
      <c r="I43" s="180">
        <f>I17+SUM(I19:I25)+SUM(I28:I42)</f>
        <v>41.919269928539698</v>
      </c>
      <c r="J43" s="180">
        <f>H43+I43</f>
        <v>144.90389152890367</v>
      </c>
      <c r="K43" s="166"/>
      <c r="L43" s="166"/>
      <c r="M43" s="166"/>
      <c r="P43" s="167"/>
      <c r="Q43" s="167"/>
      <c r="R43" s="167"/>
      <c r="T43" s="1282"/>
    </row>
    <row r="44" spans="1:20" s="183" customFormat="1" ht="13.5" customHeight="1" thickTop="1">
      <c r="A44" s="163"/>
      <c r="B44" s="181"/>
      <c r="C44" s="182" t="s">
        <v>1998</v>
      </c>
      <c r="E44" s="184"/>
      <c r="F44" s="184"/>
      <c r="G44" s="185"/>
      <c r="H44" s="185">
        <f>('A1-O&amp;M'!H21+'A2-A&amp;G'!J42)/10^6-H43</f>
        <v>-0.16033146180657809</v>
      </c>
      <c r="I44" s="185">
        <f>('A1-O&amp;M'!H31+'A1-O&amp;M'!J35+'A1-O&amp;M'!J36+'A1-O&amp;M'!J37)/10^6-I43</f>
        <v>-0.30397300000000627</v>
      </c>
      <c r="J44" s="185">
        <f>H44+I44</f>
        <v>-0.46430446180658436</v>
      </c>
      <c r="K44" s="185"/>
      <c r="L44" s="185"/>
      <c r="M44" s="185"/>
      <c r="P44" s="186"/>
      <c r="Q44" s="186"/>
      <c r="R44" s="186"/>
      <c r="T44" s="187"/>
    </row>
    <row r="45" spans="1:20" s="164" customFormat="1" ht="13.5" customHeight="1">
      <c r="A45" s="163"/>
      <c r="B45" s="163"/>
      <c r="C45" s="163"/>
      <c r="F45" s="163"/>
      <c r="G45" s="188"/>
      <c r="H45" s="188"/>
      <c r="I45" s="188"/>
      <c r="J45" s="188"/>
      <c r="K45" s="172"/>
      <c r="L45" s="188"/>
      <c r="M45" s="188"/>
      <c r="P45" s="167"/>
      <c r="Q45" s="167"/>
      <c r="R45" s="167"/>
      <c r="T45" s="1282"/>
    </row>
    <row r="46" spans="1:20" s="164" customFormat="1" ht="13.5" customHeight="1">
      <c r="A46" s="163"/>
      <c r="B46" s="1282">
        <v>2</v>
      </c>
      <c r="C46" s="189" t="s">
        <v>1999</v>
      </c>
      <c r="F46" s="163"/>
      <c r="G46" s="166"/>
      <c r="H46" s="166"/>
      <c r="I46" s="166"/>
      <c r="J46" s="166"/>
      <c r="K46" s="172"/>
      <c r="L46" s="166"/>
      <c r="M46" s="166"/>
      <c r="P46" s="167"/>
      <c r="Q46" s="167"/>
      <c r="R46" s="167"/>
      <c r="T46" s="1282"/>
    </row>
    <row r="47" spans="1:20" s="164" customFormat="1" ht="18" customHeight="1">
      <c r="A47" s="163"/>
      <c r="B47" s="163"/>
      <c r="C47" s="163"/>
      <c r="F47" s="163"/>
      <c r="G47" s="166"/>
      <c r="H47" s="1406"/>
      <c r="I47" s="1416">
        <v>2022</v>
      </c>
      <c r="J47" s="1407"/>
      <c r="K47" s="1408"/>
      <c r="L47" s="1529">
        <v>2021</v>
      </c>
      <c r="M47" s="1530"/>
      <c r="N47" s="1530"/>
      <c r="O47" s="1531"/>
      <c r="P47" s="167"/>
      <c r="Q47" s="167"/>
      <c r="R47" s="167"/>
      <c r="T47" s="1282"/>
    </row>
    <row r="48" spans="1:20" s="164" customFormat="1" ht="18" customHeight="1">
      <c r="A48" s="163"/>
      <c r="B48" s="1282"/>
      <c r="C48" s="163"/>
      <c r="F48" s="163"/>
      <c r="G48" s="166"/>
      <c r="H48" s="190" t="s">
        <v>2000</v>
      </c>
      <c r="I48" s="190" t="s">
        <v>353</v>
      </c>
      <c r="J48" s="190" t="s">
        <v>2000</v>
      </c>
      <c r="K48" s="190" t="s">
        <v>305</v>
      </c>
      <c r="L48" s="190" t="s">
        <v>2000</v>
      </c>
      <c r="M48" s="190" t="s">
        <v>353</v>
      </c>
      <c r="N48" s="1282" t="s">
        <v>2000</v>
      </c>
      <c r="O48" s="1282" t="s">
        <v>305</v>
      </c>
      <c r="P48" s="167"/>
      <c r="Q48" s="1282"/>
      <c r="R48" s="1282"/>
      <c r="S48" s="167"/>
      <c r="T48" s="1282"/>
    </row>
    <row r="49" spans="1:20" s="164" customFormat="1" ht="18" customHeight="1">
      <c r="A49" s="163"/>
      <c r="B49" s="191"/>
      <c r="C49" s="163"/>
      <c r="F49" s="191"/>
      <c r="G49" s="192"/>
      <c r="H49" s="193" t="s">
        <v>355</v>
      </c>
      <c r="I49" s="193" t="s">
        <v>356</v>
      </c>
      <c r="J49" s="193" t="s">
        <v>357</v>
      </c>
      <c r="K49" s="193" t="s">
        <v>358</v>
      </c>
      <c r="L49" s="193" t="s">
        <v>355</v>
      </c>
      <c r="M49" s="193" t="s">
        <v>356</v>
      </c>
      <c r="N49" s="191" t="s">
        <v>357</v>
      </c>
      <c r="O49" s="191" t="s">
        <v>358</v>
      </c>
      <c r="P49" s="171"/>
      <c r="Q49" s="191"/>
      <c r="R49" s="191"/>
      <c r="S49" s="191"/>
      <c r="T49" s="191"/>
    </row>
    <row r="50" spans="1:20" s="164" customFormat="1" ht="13.5" customHeight="1">
      <c r="A50" s="163"/>
      <c r="B50" s="163"/>
      <c r="C50" s="163"/>
      <c r="D50" s="171"/>
      <c r="F50" s="163"/>
      <c r="G50" s="104"/>
      <c r="H50" s="104"/>
      <c r="I50" s="104"/>
      <c r="J50" s="104"/>
      <c r="K50" s="104"/>
      <c r="L50" s="104"/>
      <c r="M50" s="104"/>
    </row>
    <row r="51" spans="1:20" s="164" customFormat="1" ht="13.5" customHeight="1">
      <c r="A51" s="163" t="s">
        <v>769</v>
      </c>
      <c r="B51" s="163"/>
      <c r="C51" s="164" t="s">
        <v>2001</v>
      </c>
      <c r="F51" s="163"/>
      <c r="G51" s="104"/>
      <c r="H51" s="104"/>
      <c r="I51" s="104"/>
      <c r="J51" s="104"/>
      <c r="K51" s="104"/>
      <c r="L51" s="104"/>
      <c r="M51" s="104"/>
    </row>
    <row r="52" spans="1:20" s="164" customFormat="1" ht="13.5" customHeight="1">
      <c r="A52" s="163" t="s">
        <v>771</v>
      </c>
      <c r="B52" s="163"/>
      <c r="C52" s="176" t="s">
        <v>2002</v>
      </c>
      <c r="F52" s="163"/>
      <c r="G52" s="104"/>
      <c r="H52" s="188">
        <f>'WP-AR-Cap Assets'!P29</f>
        <v>1027</v>
      </c>
      <c r="I52" s="188">
        <v>0</v>
      </c>
      <c r="J52" s="188">
        <f>H52-I52</f>
        <v>1027</v>
      </c>
      <c r="K52" s="188">
        <v>0</v>
      </c>
      <c r="L52" s="188">
        <f>'WP-AR-Cap Assets'!J29</f>
        <v>979</v>
      </c>
      <c r="M52" s="188">
        <v>0</v>
      </c>
      <c r="N52" s="188">
        <f>L52-M52</f>
        <v>979</v>
      </c>
      <c r="O52" s="188">
        <v>0</v>
      </c>
    </row>
    <row r="53" spans="1:20" s="164" customFormat="1" ht="13.5" customHeight="1">
      <c r="A53" s="163" t="s">
        <v>773</v>
      </c>
      <c r="B53" s="163"/>
      <c r="C53" s="176" t="s">
        <v>2003</v>
      </c>
      <c r="F53" s="163"/>
      <c r="G53" s="104"/>
      <c r="H53" s="194">
        <f>'WP-AR-Cap Assets'!P41</f>
        <v>9045</v>
      </c>
      <c r="I53" s="194">
        <f>'WP-AR-Cap Assets'!P52</f>
        <v>4256</v>
      </c>
      <c r="J53" s="194">
        <f>H53-I53</f>
        <v>4789</v>
      </c>
      <c r="K53" s="194">
        <f>'WP-AR-IS'!G30</f>
        <v>411</v>
      </c>
      <c r="L53" s="194">
        <f>'WP-AR-Cap Assets'!J41</f>
        <v>10173</v>
      </c>
      <c r="M53" s="194">
        <f>'WP-AR-Cap Assets'!J52</f>
        <v>4664</v>
      </c>
      <c r="N53" s="194">
        <f>L53-M53</f>
        <v>5509</v>
      </c>
      <c r="O53" s="194">
        <f>'WP-AR-IS'!H30</f>
        <v>281</v>
      </c>
    </row>
    <row r="54" spans="1:20" s="164" customFormat="1" ht="13.5" customHeight="1">
      <c r="A54" s="163" t="s">
        <v>775</v>
      </c>
      <c r="B54" s="163"/>
      <c r="C54" s="176" t="s">
        <v>2004</v>
      </c>
      <c r="F54" s="163"/>
      <c r="G54" s="104"/>
      <c r="H54" s="188">
        <f>SUM(H52:H53)</f>
        <v>10072</v>
      </c>
      <c r="I54" s="188">
        <f>SUM(I52:I53)</f>
        <v>4256</v>
      </c>
      <c r="J54" s="188">
        <f t="shared" ref="J54:O54" si="2">SUM(J52:J53)</f>
        <v>5816</v>
      </c>
      <c r="K54" s="188">
        <f t="shared" si="2"/>
        <v>411</v>
      </c>
      <c r="L54" s="188">
        <f t="shared" si="2"/>
        <v>11152</v>
      </c>
      <c r="M54" s="188">
        <f t="shared" si="2"/>
        <v>4664</v>
      </c>
      <c r="N54" s="188">
        <f t="shared" si="2"/>
        <v>6488</v>
      </c>
      <c r="O54" s="188">
        <f t="shared" si="2"/>
        <v>281</v>
      </c>
    </row>
    <row r="55" spans="1:20" s="164" customFormat="1" ht="13.5" customHeight="1">
      <c r="A55" s="163" t="s">
        <v>777</v>
      </c>
      <c r="B55" s="163"/>
      <c r="C55" s="176" t="s">
        <v>2005</v>
      </c>
      <c r="F55" s="163"/>
      <c r="G55" s="104"/>
      <c r="H55" s="188">
        <f>-'WP-AR-Cap Assets'!P23</f>
        <v>-793</v>
      </c>
      <c r="I55" s="188">
        <v>0</v>
      </c>
      <c r="J55" s="188">
        <f>H55-I55</f>
        <v>-793</v>
      </c>
      <c r="K55" s="188">
        <v>0</v>
      </c>
      <c r="L55" s="188">
        <f>-'WP-AR-Cap Assets'!J23</f>
        <v>-713</v>
      </c>
      <c r="M55" s="188">
        <v>0</v>
      </c>
      <c r="N55" s="188">
        <f>L55-M55</f>
        <v>-713</v>
      </c>
      <c r="O55" s="188">
        <f>-'WP-BC'!N60</f>
        <v>0</v>
      </c>
    </row>
    <row r="56" spans="1:20" s="164" customFormat="1" ht="13.5" customHeight="1">
      <c r="A56" s="163" t="s">
        <v>777</v>
      </c>
      <c r="B56" s="163"/>
      <c r="C56" s="176" t="s">
        <v>2006</v>
      </c>
      <c r="F56" s="163"/>
      <c r="G56" s="104"/>
      <c r="H56" s="188">
        <f>-'WP-AR-Cap Assets'!P25</f>
        <v>-41</v>
      </c>
      <c r="I56" s="188">
        <v>0</v>
      </c>
      <c r="J56" s="188">
        <f>H56-I56</f>
        <v>-41</v>
      </c>
      <c r="K56" s="188">
        <v>0</v>
      </c>
      <c r="L56" s="188">
        <f>-'WP-AR-Cap Assets'!J25</f>
        <v>-73</v>
      </c>
      <c r="M56" s="188">
        <v>0</v>
      </c>
      <c r="N56" s="188">
        <f>L56-M56</f>
        <v>-73</v>
      </c>
      <c r="O56" s="188">
        <v>0</v>
      </c>
    </row>
    <row r="57" spans="1:20" s="164" customFormat="1" ht="13.5" customHeight="1">
      <c r="A57" s="163" t="s">
        <v>779</v>
      </c>
      <c r="B57" s="163"/>
      <c r="C57" s="176" t="s">
        <v>2007</v>
      </c>
      <c r="F57" s="163"/>
      <c r="G57" s="104"/>
      <c r="H57" s="188">
        <f>-'WP-AR-Cap Assets'!P24-'WP-AR-Cap Assets'!P37</f>
        <v>-1006</v>
      </c>
      <c r="I57" s="188">
        <f>-'WP-AR-Cap Assets'!P49</f>
        <v>-311</v>
      </c>
      <c r="J57" s="188">
        <f>H57-I57</f>
        <v>-695</v>
      </c>
      <c r="K57" s="195">
        <f>-'WP-AR-Cap Assets'!L49</f>
        <v>-38</v>
      </c>
      <c r="L57" s="188">
        <f>-'WP-AR-Cap Assets'!J24-'WP-AR-Cap Assets'!J37</f>
        <v>-948</v>
      </c>
      <c r="M57" s="188">
        <f>-'WP-AR-Cap Assets'!J49</f>
        <v>-273</v>
      </c>
      <c r="N57" s="188">
        <f>L57-M57</f>
        <v>-675</v>
      </c>
      <c r="O57" s="195">
        <v>-33</v>
      </c>
    </row>
    <row r="58" spans="1:20" s="164" customFormat="1" ht="13.5" customHeight="1">
      <c r="A58" s="196" t="s">
        <v>146</v>
      </c>
      <c r="B58" s="163"/>
      <c r="C58" s="178" t="s">
        <v>146</v>
      </c>
      <c r="D58" s="179"/>
      <c r="E58" s="179"/>
      <c r="F58" s="196"/>
      <c r="G58" s="104"/>
      <c r="H58" s="197"/>
      <c r="I58" s="197"/>
      <c r="J58" s="197"/>
      <c r="K58" s="197"/>
      <c r="L58" s="197"/>
      <c r="M58" s="197"/>
      <c r="N58" s="197"/>
      <c r="O58" s="197"/>
    </row>
    <row r="59" spans="1:20" s="164" customFormat="1" ht="13.5" customHeight="1">
      <c r="A59" s="163" t="s">
        <v>781</v>
      </c>
      <c r="B59" s="163"/>
      <c r="C59" s="176" t="s">
        <v>2008</v>
      </c>
      <c r="F59" s="163"/>
      <c r="G59" s="104"/>
      <c r="H59" s="188">
        <f>SUM(H54:H58)</f>
        <v>8232</v>
      </c>
      <c r="I59" s="188">
        <f t="shared" ref="I59:N59" si="3">SUM(I54:I58)</f>
        <v>3945</v>
      </c>
      <c r="J59" s="188">
        <f t="shared" si="3"/>
        <v>4287</v>
      </c>
      <c r="K59" s="188">
        <f t="shared" si="3"/>
        <v>373</v>
      </c>
      <c r="L59" s="188">
        <f t="shared" si="3"/>
        <v>9418</v>
      </c>
      <c r="M59" s="188">
        <f t="shared" si="3"/>
        <v>4391</v>
      </c>
      <c r="N59" s="188">
        <f t="shared" si="3"/>
        <v>5027</v>
      </c>
      <c r="O59" s="188">
        <f>SUM(O54:O58)</f>
        <v>248</v>
      </c>
    </row>
    <row r="60" spans="1:20" s="164" customFormat="1" ht="13.5" customHeight="1">
      <c r="A60" s="163" t="s">
        <v>783</v>
      </c>
      <c r="B60" s="163"/>
      <c r="C60" s="175" t="s">
        <v>2009</v>
      </c>
      <c r="F60" s="163"/>
      <c r="G60" s="104"/>
      <c r="H60" s="188"/>
      <c r="I60" s="188"/>
      <c r="J60" s="188"/>
      <c r="K60" s="188"/>
      <c r="L60" s="188"/>
      <c r="M60" s="188"/>
      <c r="N60" s="188"/>
      <c r="O60" s="188"/>
    </row>
    <row r="61" spans="1:20" s="164" customFormat="1" ht="13.5" customHeight="1">
      <c r="A61" s="163" t="s">
        <v>785</v>
      </c>
      <c r="B61" s="163"/>
      <c r="C61" s="176" t="s">
        <v>2010</v>
      </c>
      <c r="F61" s="163"/>
      <c r="G61" s="104"/>
      <c r="H61" s="188"/>
      <c r="I61" s="188"/>
      <c r="J61" s="188"/>
      <c r="K61" s="188"/>
      <c r="L61" s="188"/>
      <c r="M61" s="188"/>
      <c r="N61" s="188"/>
      <c r="O61" s="188"/>
    </row>
    <row r="62" spans="1:20" s="164" customFormat="1" ht="13.5" customHeight="1">
      <c r="A62" s="163" t="s">
        <v>787</v>
      </c>
      <c r="B62" s="163"/>
      <c r="C62" s="198" t="s">
        <v>220</v>
      </c>
      <c r="F62" s="163"/>
      <c r="G62" s="104"/>
      <c r="H62" s="188">
        <f>'B2-Plant'!I28/10^6</f>
        <v>0</v>
      </c>
      <c r="I62" s="188">
        <f>'B2-Plant'!J28/10^6</f>
        <v>156.19032300000001</v>
      </c>
      <c r="J62" s="188">
        <f t="shared" ref="J62:J74" si="4">H62-I62</f>
        <v>-156.19032300000001</v>
      </c>
      <c r="K62" s="188">
        <f>'B2-Plant'!L28/10^6</f>
        <v>0</v>
      </c>
      <c r="L62" s="188">
        <f>'B2-Plant'!M28/10^6</f>
        <v>0</v>
      </c>
      <c r="M62" s="188">
        <f>'B2-Plant'!N28/10^6</f>
        <v>143.88651999999999</v>
      </c>
      <c r="N62" s="188">
        <f t="shared" ref="N62:N74" si="5">L62-M62</f>
        <v>-143.88651999999999</v>
      </c>
      <c r="O62" s="188">
        <f>'B2-Plant'!P28/10^6</f>
        <v>0</v>
      </c>
    </row>
    <row r="63" spans="1:20" s="164" customFormat="1" ht="13.5" customHeight="1">
      <c r="A63" s="163" t="s">
        <v>789</v>
      </c>
      <c r="B63" s="163"/>
      <c r="C63" s="198" t="s">
        <v>396</v>
      </c>
      <c r="F63" s="163"/>
      <c r="G63" s="104"/>
      <c r="H63" s="194">
        <f>'B2-Plant'!I50/10^6</f>
        <v>0</v>
      </c>
      <c r="I63" s="194">
        <f>'B2-Plant'!J50/10^6</f>
        <v>3.69509</v>
      </c>
      <c r="J63" s="194">
        <f t="shared" si="4"/>
        <v>-3.69509</v>
      </c>
      <c r="K63" s="194">
        <f>'B2-Plant'!L50/10^6</f>
        <v>0</v>
      </c>
      <c r="L63" s="194">
        <f>'B2-Plant'!M50/10^6</f>
        <v>0</v>
      </c>
      <c r="M63" s="194">
        <f>'B2-Plant'!N50/10^6</f>
        <v>3.6919870000000001</v>
      </c>
      <c r="N63" s="194">
        <f t="shared" si="5"/>
        <v>-3.6919870000000001</v>
      </c>
      <c r="O63" s="194">
        <f>'B2-Plant'!P50/10^6</f>
        <v>0</v>
      </c>
    </row>
    <row r="64" spans="1:20" s="164" customFormat="1" ht="13.5" customHeight="1">
      <c r="A64" s="163" t="s">
        <v>791</v>
      </c>
      <c r="B64" s="163"/>
      <c r="C64" s="198" t="s">
        <v>157</v>
      </c>
      <c r="F64" s="163"/>
      <c r="G64" s="104"/>
      <c r="H64" s="188">
        <f>SUM(H62:H63)</f>
        <v>0</v>
      </c>
      <c r="I64" s="188">
        <f>SUM(I62:I63)</f>
        <v>159.885413</v>
      </c>
      <c r="J64" s="188">
        <f t="shared" si="4"/>
        <v>-159.885413</v>
      </c>
      <c r="K64" s="188">
        <f>SUM(K62:K63)</f>
        <v>0</v>
      </c>
      <c r="L64" s="188">
        <f>SUM(L62:L63)</f>
        <v>0</v>
      </c>
      <c r="M64" s="188">
        <f>SUM(M62:M63)</f>
        <v>147.578507</v>
      </c>
      <c r="N64" s="188">
        <f t="shared" si="5"/>
        <v>-147.578507</v>
      </c>
      <c r="O64" s="188">
        <f>SUM(O62:O63)</f>
        <v>0</v>
      </c>
    </row>
    <row r="65" spans="1:16" s="164" customFormat="1" ht="13.5" customHeight="1">
      <c r="A65" s="163" t="s">
        <v>795</v>
      </c>
      <c r="B65" s="163"/>
      <c r="C65" s="176" t="s">
        <v>2011</v>
      </c>
      <c r="F65" s="163"/>
      <c r="G65" s="104"/>
      <c r="H65" s="188"/>
      <c r="I65" s="188"/>
      <c r="J65" s="188"/>
      <c r="K65" s="188"/>
      <c r="L65" s="188"/>
      <c r="M65" s="188"/>
      <c r="N65" s="188"/>
      <c r="O65" s="188"/>
    </row>
    <row r="66" spans="1:16" s="164" customFormat="1" ht="13.5" customHeight="1">
      <c r="A66" s="163" t="s">
        <v>793</v>
      </c>
      <c r="B66" s="163"/>
      <c r="C66" s="198" t="s">
        <v>220</v>
      </c>
      <c r="F66" s="163"/>
      <c r="G66" s="104"/>
      <c r="H66" s="188">
        <f>'B2-Plant'!I30/10^6</f>
        <v>-284.11831699999999</v>
      </c>
      <c r="I66" s="188">
        <f>'B2-Plant'!J30/10^6</f>
        <v>-204.69336200000001</v>
      </c>
      <c r="J66" s="188">
        <f t="shared" si="4"/>
        <v>-79.424954999999983</v>
      </c>
      <c r="K66" s="188">
        <f>'B2-Plant'!L30/10^6</f>
        <v>-6.2525810000000002</v>
      </c>
      <c r="L66" s="188">
        <f>'B2-Plant'!M30/10^6</f>
        <v>-362.39266938999998</v>
      </c>
      <c r="M66" s="188">
        <f>'B2-Plant'!N30/10^6</f>
        <v>-243.05563728999996</v>
      </c>
      <c r="N66" s="188">
        <f t="shared" si="5"/>
        <v>-119.33703210000002</v>
      </c>
      <c r="O66" s="188">
        <f>'B2-Plant'!P30/10^6</f>
        <v>-8.7499880000000001</v>
      </c>
    </row>
    <row r="67" spans="1:16" s="164" customFormat="1" ht="13.5" customHeight="1">
      <c r="A67" s="163" t="s">
        <v>797</v>
      </c>
      <c r="B67" s="163"/>
      <c r="C67" s="198" t="s">
        <v>396</v>
      </c>
      <c r="F67" s="163"/>
      <c r="G67" s="104"/>
      <c r="H67" s="194">
        <f>'B2-Plant'!I52/10^6</f>
        <v>-57.457286150000002</v>
      </c>
      <c r="I67" s="194">
        <f>'B2-Plant'!J52/10^6</f>
        <v>-20.665476000000002</v>
      </c>
      <c r="J67" s="194">
        <f t="shared" si="4"/>
        <v>-36.791810150000003</v>
      </c>
      <c r="K67" s="194">
        <f>'B2-Plant'!L52/10^6</f>
        <v>-2.9979322000000002</v>
      </c>
      <c r="L67" s="194">
        <f>'B2-Plant'!M52/10^6</f>
        <v>-39.971173625800006</v>
      </c>
      <c r="M67" s="194">
        <f>'B2-Plant'!N52/10^6</f>
        <v>-17.852236615799999</v>
      </c>
      <c r="N67" s="194">
        <f t="shared" si="5"/>
        <v>-22.118937010000007</v>
      </c>
      <c r="O67" s="194">
        <f>'B2-Plant'!P52/10^6</f>
        <v>-1.4931080799999998</v>
      </c>
      <c r="P67" s="167"/>
    </row>
    <row r="68" spans="1:16" s="164" customFormat="1" ht="13.5" customHeight="1">
      <c r="A68" s="163" t="s">
        <v>799</v>
      </c>
      <c r="B68" s="163"/>
      <c r="C68" s="198" t="s">
        <v>157</v>
      </c>
      <c r="F68" s="163"/>
      <c r="G68" s="104"/>
      <c r="H68" s="188">
        <f>SUM(H66:H67)</f>
        <v>-341.57560315000001</v>
      </c>
      <c r="I68" s="188">
        <f>SUM(I66:I67)</f>
        <v>-225.35883800000002</v>
      </c>
      <c r="J68" s="188">
        <f t="shared" si="4"/>
        <v>-116.21676514999999</v>
      </c>
      <c r="K68" s="188">
        <f>SUM(K66:K67)</f>
        <v>-9.2505132000000003</v>
      </c>
      <c r="L68" s="188">
        <f>SUM(L66:L67)</f>
        <v>-402.3638430158</v>
      </c>
      <c r="M68" s="188">
        <f>SUM(M66:M67)</f>
        <v>-260.90787390579999</v>
      </c>
      <c r="N68" s="188">
        <f t="shared" si="5"/>
        <v>-141.45596911000001</v>
      </c>
      <c r="O68" s="188">
        <f>SUM(O66:O67)</f>
        <v>-10.243096080000001</v>
      </c>
      <c r="P68" s="167"/>
    </row>
    <row r="69" spans="1:16" s="164" customFormat="1" ht="13.5" customHeight="1">
      <c r="A69" s="163" t="s">
        <v>801</v>
      </c>
      <c r="B69" s="163"/>
      <c r="C69" s="176" t="s">
        <v>2012</v>
      </c>
      <c r="F69" s="163"/>
      <c r="G69" s="104"/>
      <c r="H69" s="188"/>
      <c r="I69" s="188"/>
      <c r="J69" s="188"/>
      <c r="K69" s="188"/>
      <c r="L69" s="188"/>
      <c r="M69" s="188"/>
      <c r="N69" s="188"/>
      <c r="O69" s="188"/>
    </row>
    <row r="70" spans="1:16" s="164" customFormat="1" ht="13.5" customHeight="1">
      <c r="A70" s="163" t="s">
        <v>803</v>
      </c>
      <c r="B70" s="163"/>
      <c r="C70" s="198" t="s">
        <v>220</v>
      </c>
      <c r="F70" s="163"/>
      <c r="G70" s="104"/>
      <c r="H70" s="188">
        <f>'B2-Plant'!I39/10^6</f>
        <v>-171.654369</v>
      </c>
      <c r="I70" s="188">
        <f>'B2-Plant'!J39/10^6</f>
        <v>-60.570982000000001</v>
      </c>
      <c r="J70" s="188">
        <f t="shared" si="4"/>
        <v>-111.083387</v>
      </c>
      <c r="K70" s="188">
        <f>'B2-Plant'!L39/10^6</f>
        <v>-1.87641144</v>
      </c>
      <c r="L70" s="188">
        <f>'B2-Plant'!M39/10^6</f>
        <v>-173.43865615999999</v>
      </c>
      <c r="M70" s="188">
        <f>'B2-Plant'!N39/10^6</f>
        <v>-58.224437159999994</v>
      </c>
      <c r="N70" s="188">
        <f t="shared" si="5"/>
        <v>-115.214219</v>
      </c>
      <c r="O70" s="188">
        <f>'B2-Plant'!P39/10^6</f>
        <v>-1.8968717799999999</v>
      </c>
    </row>
    <row r="71" spans="1:16" s="164" customFormat="1" ht="13.5" customHeight="1">
      <c r="A71" s="163" t="s">
        <v>805</v>
      </c>
      <c r="B71" s="163"/>
      <c r="C71" s="198" t="s">
        <v>396</v>
      </c>
      <c r="F71" s="163"/>
      <c r="G71" s="104"/>
      <c r="H71" s="194">
        <f>'B2-Plant'!I54/10^6-H63-H67</f>
        <v>-728.68377599999997</v>
      </c>
      <c r="I71" s="194">
        <f>'B2-Plant'!J54/10^6-I63-I67</f>
        <v>-251.43090799999999</v>
      </c>
      <c r="J71" s="194">
        <f t="shared" si="4"/>
        <v>-477.25286799999998</v>
      </c>
      <c r="K71" s="194">
        <f>'B2-Plant'!L54/10^6-K63-K67</f>
        <v>-19.394938999999997</v>
      </c>
      <c r="L71" s="194">
        <f>'B2-Plant'!M54/10^6-L63-L67</f>
        <v>-726.37380602999997</v>
      </c>
      <c r="M71" s="194">
        <f>'B2-Plant'!N54/10^6-M63-M67</f>
        <v>-232.03596803000002</v>
      </c>
      <c r="N71" s="194">
        <f t="shared" si="5"/>
        <v>-494.33783799999992</v>
      </c>
      <c r="O71" s="194">
        <f>'B2-Plant'!P54/10^6-O63-O67</f>
        <v>-16.918105529999998</v>
      </c>
    </row>
    <row r="72" spans="1:16" s="164" customFormat="1" ht="13.5" customHeight="1">
      <c r="A72" s="163" t="s">
        <v>807</v>
      </c>
      <c r="B72" s="163"/>
      <c r="C72" s="198" t="s">
        <v>157</v>
      </c>
      <c r="F72" s="163"/>
      <c r="G72" s="104"/>
      <c r="H72" s="188">
        <f>SUM(H70:H71)</f>
        <v>-900.33814499999994</v>
      </c>
      <c r="I72" s="188">
        <f>SUM(I70:I71)</f>
        <v>-312.00189</v>
      </c>
      <c r="J72" s="188">
        <f t="shared" si="4"/>
        <v>-588.33625499999994</v>
      </c>
      <c r="K72" s="188">
        <f>SUM(K70:K71)</f>
        <v>-21.271350439999999</v>
      </c>
      <c r="L72" s="188">
        <f>SUM(L70:L71)</f>
        <v>-899.81246218999991</v>
      </c>
      <c r="M72" s="188">
        <f>SUM(M70:M71)</f>
        <v>-290.26040519000003</v>
      </c>
      <c r="N72" s="188">
        <f t="shared" si="5"/>
        <v>-609.55205699999988</v>
      </c>
      <c r="O72" s="188">
        <f>SUM(O70:O71)</f>
        <v>-18.81497731</v>
      </c>
    </row>
    <row r="73" spans="1:16" s="164" customFormat="1" ht="13.5" customHeight="1">
      <c r="A73" s="163" t="s">
        <v>809</v>
      </c>
      <c r="B73" s="163"/>
      <c r="C73" s="176"/>
      <c r="F73" s="163"/>
      <c r="G73" s="104"/>
      <c r="H73" s="188"/>
      <c r="I73" s="188"/>
      <c r="J73" s="188"/>
      <c r="K73" s="188"/>
      <c r="L73" s="188"/>
      <c r="M73" s="188"/>
      <c r="N73" s="188"/>
      <c r="O73" s="188"/>
    </row>
    <row r="74" spans="1:16" s="164" customFormat="1" ht="13.5" customHeight="1" thickBot="1">
      <c r="A74" s="163" t="s">
        <v>811</v>
      </c>
      <c r="B74" s="163"/>
      <c r="C74" s="164" t="s">
        <v>2013</v>
      </c>
      <c r="F74" s="163"/>
      <c r="G74" s="104"/>
      <c r="H74" s="199">
        <f>H59+H64+H68+H72</f>
        <v>6990.0862518499998</v>
      </c>
      <c r="I74" s="199">
        <f>I59+I64+I68+I72</f>
        <v>3567.5246849999999</v>
      </c>
      <c r="J74" s="199">
        <f t="shared" si="4"/>
        <v>3422.56156685</v>
      </c>
      <c r="K74" s="199">
        <f>K59+K64+K68+K72</f>
        <v>342.47813636000001</v>
      </c>
      <c r="L74" s="199">
        <f>L59+L64+L68+L72</f>
        <v>8115.8236947941996</v>
      </c>
      <c r="M74" s="199">
        <f>M59+M64+M68+M72</f>
        <v>3987.4102279041999</v>
      </c>
      <c r="N74" s="199">
        <f t="shared" si="5"/>
        <v>4128.4134668899997</v>
      </c>
      <c r="O74" s="199">
        <f>O59+O64+O68+O72</f>
        <v>218.94192661000002</v>
      </c>
    </row>
    <row r="75" spans="1:16" s="164" customFormat="1" ht="13.5" customHeight="1" thickTop="1">
      <c r="A75" s="163" t="s">
        <v>813</v>
      </c>
      <c r="B75" s="163"/>
      <c r="C75" s="164" t="s">
        <v>2014</v>
      </c>
      <c r="F75" s="163"/>
      <c r="G75" s="104"/>
      <c r="H75" s="188"/>
      <c r="I75" s="188"/>
      <c r="J75" s="188"/>
      <c r="K75" s="188"/>
      <c r="L75" s="188"/>
      <c r="M75" s="188"/>
      <c r="N75" s="188"/>
      <c r="O75" s="188"/>
    </row>
    <row r="76" spans="1:16" s="164" customFormat="1" ht="13.5" customHeight="1">
      <c r="A76" s="163" t="s">
        <v>815</v>
      </c>
      <c r="B76" s="163"/>
      <c r="C76" s="176" t="s">
        <v>1342</v>
      </c>
      <c r="F76" s="163"/>
      <c r="G76" s="104"/>
      <c r="H76" s="188">
        <f>'B2-Plant'!I21/10^6</f>
        <v>3803.8830670000002</v>
      </c>
      <c r="I76" s="188">
        <f>'B2-Plant'!J21/10^6</f>
        <v>1917.531195</v>
      </c>
      <c r="J76" s="188">
        <f>'B2-Plant'!K21/10^6</f>
        <v>1886.3518670000001</v>
      </c>
      <c r="K76" s="188">
        <f>'B2-Plant'!L21/10^6</f>
        <v>242.72681661999999</v>
      </c>
      <c r="L76" s="188">
        <f>'B2-Plant'!M21/10^6</f>
        <v>4929.9128207299991</v>
      </c>
      <c r="M76" s="188">
        <f>'B2-Plant'!N21/10^6</f>
        <v>2440.3955865500002</v>
      </c>
      <c r="N76" s="188">
        <f>'B2-Plant'!O21/10^6</f>
        <v>2489.5172341799994</v>
      </c>
      <c r="O76" s="188">
        <f>'B2-Plant'!P21/10^6</f>
        <v>139.31569118000002</v>
      </c>
    </row>
    <row r="77" spans="1:16" s="164" customFormat="1" ht="13.5" customHeight="1">
      <c r="A77" s="163" t="s">
        <v>817</v>
      </c>
      <c r="B77" s="163"/>
      <c r="C77" s="176" t="s">
        <v>220</v>
      </c>
      <c r="F77" s="163"/>
      <c r="G77" s="104"/>
      <c r="H77" s="188">
        <f>'B2-Plant'!I41/10^6</f>
        <v>2719.3474769999998</v>
      </c>
      <c r="I77" s="188">
        <f>'B2-Plant'!J41/10^6</f>
        <v>1295.093028</v>
      </c>
      <c r="J77" s="188">
        <f>'B2-Plant'!K41/10^6</f>
        <v>1424.2544479999999</v>
      </c>
      <c r="K77" s="188">
        <f>'B2-Plant'!L41/10^6</f>
        <v>47.173967560000001</v>
      </c>
      <c r="L77" s="188">
        <f>'B2-Plant'!M41/10^6</f>
        <v>2424.5864609999994</v>
      </c>
      <c r="M77" s="188">
        <f>'B2-Plant'!N41/10^6</f>
        <v>1247.7071316600002</v>
      </c>
      <c r="N77" s="188">
        <f>'B2-Plant'!O41/10^6</f>
        <v>1176.8793293400001</v>
      </c>
      <c r="O77" s="188">
        <f>'B2-Plant'!P41/10^6</f>
        <v>39.876129889999994</v>
      </c>
    </row>
    <row r="78" spans="1:16" s="164" customFormat="1" ht="13.5" customHeight="1">
      <c r="A78" s="163" t="s">
        <v>819</v>
      </c>
      <c r="B78" s="163"/>
      <c r="C78" s="176" t="s">
        <v>396</v>
      </c>
      <c r="F78" s="163"/>
      <c r="G78" s="104"/>
      <c r="H78" s="188">
        <f>'B2-Plant'!I56/10^6</f>
        <v>870.86234500000012</v>
      </c>
      <c r="I78" s="188">
        <f>'B2-Plant'!J56/10^6</f>
        <v>345.42198254999994</v>
      </c>
      <c r="J78" s="188">
        <f>'B2-Plant'!K56/10^6</f>
        <v>525.44036000000006</v>
      </c>
      <c r="K78" s="188">
        <f>'B2-Plant'!L56/10^6</f>
        <v>52.565972000000002</v>
      </c>
      <c r="L78" s="188">
        <f>'B2-Plant'!M56/10^6</f>
        <v>761.57086685419972</v>
      </c>
      <c r="M78" s="188">
        <f>'B2-Plant'!N56/10^6</f>
        <v>300.80307043999994</v>
      </c>
      <c r="N78" s="188">
        <f>'B2-Plant'!O56/10^6</f>
        <v>460.76779656000008</v>
      </c>
      <c r="O78" s="188">
        <f>'B2-Plant'!P56/10^6</f>
        <v>40.621317400000024</v>
      </c>
    </row>
    <row r="79" spans="1:16" s="164" customFormat="1" ht="13.5" customHeight="1" thickBot="1">
      <c r="A79" s="163" t="s">
        <v>821</v>
      </c>
      <c r="B79" s="163"/>
      <c r="C79" s="176" t="s">
        <v>157</v>
      </c>
      <c r="F79" s="163"/>
      <c r="G79" s="104"/>
      <c r="H79" s="180">
        <f t="shared" ref="H79:O79" si="6">SUM(H76:H78)</f>
        <v>7394.0928890000005</v>
      </c>
      <c r="I79" s="180">
        <f t="shared" si="6"/>
        <v>3558.0462055499997</v>
      </c>
      <c r="J79" s="180">
        <f t="shared" si="6"/>
        <v>3836.0466750000001</v>
      </c>
      <c r="K79" s="180">
        <f t="shared" si="6"/>
        <v>342.46675618</v>
      </c>
      <c r="L79" s="180">
        <f t="shared" si="6"/>
        <v>8116.0701485841983</v>
      </c>
      <c r="M79" s="180">
        <f t="shared" si="6"/>
        <v>3988.9057886500004</v>
      </c>
      <c r="N79" s="180">
        <f t="shared" si="6"/>
        <v>4127.1643600799998</v>
      </c>
      <c r="O79" s="180">
        <f t="shared" si="6"/>
        <v>219.81313847000001</v>
      </c>
    </row>
    <row r="80" spans="1:16" s="164" customFormat="1" ht="13.5" customHeight="1" thickTop="1">
      <c r="B80" s="163"/>
      <c r="C80" s="183" t="s">
        <v>1998</v>
      </c>
      <c r="F80" s="163"/>
      <c r="G80" s="200" t="s">
        <v>2015</v>
      </c>
      <c r="H80" s="201">
        <f t="shared" ref="H80:O80" si="7">H74-H79</f>
        <v>-404.00663715000064</v>
      </c>
      <c r="I80" s="201">
        <f t="shared" si="7"/>
        <v>9.4784794500001226</v>
      </c>
      <c r="J80" s="201">
        <f t="shared" si="7"/>
        <v>-413.48510815000009</v>
      </c>
      <c r="K80" s="201">
        <f t="shared" si="7"/>
        <v>1.1380180000003293E-2</v>
      </c>
      <c r="L80" s="201">
        <f t="shared" si="7"/>
        <v>-0.24645378999866807</v>
      </c>
      <c r="M80" s="201">
        <f t="shared" si="7"/>
        <v>-1.4955607458005034</v>
      </c>
      <c r="N80" s="201">
        <f t="shared" si="7"/>
        <v>1.2491068099998301</v>
      </c>
      <c r="O80" s="201">
        <f t="shared" si="7"/>
        <v>-0.87121185999998829</v>
      </c>
    </row>
    <row r="81" spans="1:13" s="164" customFormat="1" ht="13.2">
      <c r="A81" s="163"/>
      <c r="B81" s="163"/>
      <c r="C81" s="163"/>
      <c r="G81" s="104"/>
      <c r="H81" s="104"/>
      <c r="I81" s="104"/>
      <c r="J81" s="104"/>
      <c r="K81" s="104"/>
      <c r="L81" s="104"/>
      <c r="M81" s="104"/>
    </row>
    <row r="82" spans="1:13" s="164" customFormat="1" ht="13.2">
      <c r="A82" s="163"/>
      <c r="B82" s="163"/>
      <c r="C82" s="202" t="s">
        <v>6</v>
      </c>
      <c r="G82" s="104"/>
      <c r="H82" s="104"/>
      <c r="I82" s="104"/>
      <c r="J82" s="104"/>
      <c r="K82" s="104"/>
      <c r="L82" s="104"/>
      <c r="M82" s="104"/>
    </row>
    <row r="83" spans="1:13" s="164" customFormat="1" ht="13.2">
      <c r="A83" s="163" t="s">
        <v>823</v>
      </c>
      <c r="B83" s="163"/>
      <c r="C83" s="163">
        <v>1</v>
      </c>
      <c r="D83" s="164" t="s">
        <v>2016</v>
      </c>
      <c r="G83" s="104"/>
      <c r="H83" s="104"/>
      <c r="I83" s="104"/>
      <c r="J83" s="104"/>
      <c r="K83" s="104"/>
      <c r="L83" s="104"/>
      <c r="M83" s="104"/>
    </row>
    <row r="84" spans="1:13" s="164" customFormat="1" ht="13.2">
      <c r="A84" s="163" t="s">
        <v>825</v>
      </c>
      <c r="B84" s="163"/>
      <c r="C84" s="163">
        <v>2</v>
      </c>
      <c r="D84" s="164" t="s">
        <v>2017</v>
      </c>
      <c r="G84" s="104"/>
      <c r="H84" s="104"/>
      <c r="I84" s="104"/>
      <c r="J84" s="104"/>
      <c r="K84" s="104"/>
      <c r="L84" s="104"/>
      <c r="M84" s="104"/>
    </row>
    <row r="85" spans="1:13" s="164" customFormat="1" ht="13.2">
      <c r="A85" s="163" t="s">
        <v>827</v>
      </c>
      <c r="B85" s="163"/>
      <c r="C85" s="163">
        <v>3</v>
      </c>
      <c r="D85" s="164" t="s">
        <v>2018</v>
      </c>
      <c r="G85" s="104"/>
      <c r="H85" s="104"/>
      <c r="I85" s="104"/>
      <c r="J85" s="104"/>
      <c r="K85" s="104"/>
      <c r="L85" s="104"/>
      <c r="M85" s="104"/>
    </row>
    <row r="86" spans="1:13" s="164" customFormat="1" ht="13.2">
      <c r="A86" s="163"/>
      <c r="B86" s="163"/>
      <c r="C86" s="163"/>
      <c r="G86" s="104"/>
      <c r="H86" s="104"/>
      <c r="I86" s="104"/>
      <c r="J86" s="104"/>
      <c r="K86" s="104"/>
      <c r="L86" s="104"/>
      <c r="M86" s="104"/>
    </row>
    <row r="87" spans="1:13" s="164" customFormat="1" ht="13.2">
      <c r="A87" s="163"/>
      <c r="B87" s="1282">
        <v>3</v>
      </c>
      <c r="C87" s="189" t="s">
        <v>2019</v>
      </c>
      <c r="G87" s="104"/>
      <c r="H87" s="104"/>
      <c r="I87" s="104"/>
      <c r="J87" s="104"/>
      <c r="K87" s="104"/>
      <c r="L87" s="104"/>
      <c r="M87" s="104"/>
    </row>
    <row r="88" spans="1:13" s="164" customFormat="1" ht="13.2">
      <c r="A88" s="163"/>
      <c r="B88" s="1282"/>
      <c r="C88" s="189"/>
      <c r="G88" s="104"/>
      <c r="H88" s="1417">
        <v>2022</v>
      </c>
      <c r="I88" s="1418">
        <v>2021</v>
      </c>
      <c r="J88" s="104"/>
      <c r="K88" s="104"/>
      <c r="L88" s="104"/>
      <c r="M88" s="104"/>
    </row>
    <row r="89" spans="1:13" s="164" customFormat="1" ht="13.2">
      <c r="A89" s="163" t="s">
        <v>183</v>
      </c>
      <c r="B89" s="163"/>
      <c r="C89" s="164" t="s">
        <v>2020</v>
      </c>
      <c r="G89" s="104"/>
      <c r="H89" s="104"/>
      <c r="I89" s="104"/>
      <c r="J89" s="104"/>
      <c r="K89" s="104"/>
      <c r="L89" s="104"/>
      <c r="M89" s="104"/>
    </row>
    <row r="90" spans="1:13" s="164" customFormat="1" ht="13.2">
      <c r="A90" s="163" t="s">
        <v>185</v>
      </c>
      <c r="B90" s="163"/>
      <c r="C90" s="176" t="s">
        <v>2021</v>
      </c>
      <c r="G90" s="104"/>
      <c r="H90" s="104">
        <f>'WP-AR-BS'!D23</f>
        <v>74</v>
      </c>
      <c r="I90" s="104">
        <f>'WP-AR-BS'!E23</f>
        <v>85.400309730000004</v>
      </c>
      <c r="J90" s="104"/>
      <c r="K90" s="104"/>
      <c r="L90" s="104"/>
      <c r="M90" s="104"/>
    </row>
    <row r="91" spans="1:13" s="164" customFormat="1" ht="13.2">
      <c r="A91" s="163" t="s">
        <v>188</v>
      </c>
      <c r="B91" s="163"/>
      <c r="C91" s="164" t="s">
        <v>2022</v>
      </c>
      <c r="G91" s="104"/>
      <c r="H91" s="104">
        <f>'WP-CA'!H30/10^6</f>
        <v>73.539449000000005</v>
      </c>
      <c r="I91" s="104">
        <f>'WP-CA'!I30/10^6</f>
        <v>83.997625140000011</v>
      </c>
      <c r="J91" s="104"/>
      <c r="K91" s="104"/>
      <c r="L91" s="104"/>
      <c r="M91" s="104"/>
    </row>
    <row r="92" spans="1:13" s="183" customFormat="1" ht="13.2">
      <c r="A92" s="163" t="s">
        <v>191</v>
      </c>
      <c r="B92" s="181"/>
      <c r="C92" s="183" t="s">
        <v>1998</v>
      </c>
      <c r="G92" s="203"/>
      <c r="H92" s="203">
        <f>H90-H91</f>
        <v>0.46055099999999527</v>
      </c>
      <c r="I92" s="203">
        <f>I90-I91</f>
        <v>1.4026845899999927</v>
      </c>
      <c r="J92" s="203"/>
      <c r="K92" s="203"/>
      <c r="L92" s="203"/>
      <c r="M92" s="203"/>
    </row>
    <row r="93" spans="1:13" s="164" customFormat="1" ht="13.2">
      <c r="A93" s="163"/>
      <c r="B93" s="163"/>
      <c r="C93" s="163"/>
      <c r="G93" s="104"/>
      <c r="H93" s="104"/>
      <c r="I93" s="104"/>
      <c r="J93" s="104"/>
      <c r="K93" s="104"/>
      <c r="L93" s="104"/>
      <c r="M93" s="104"/>
    </row>
    <row r="94" spans="1:13" s="164" customFormat="1" ht="13.2">
      <c r="A94" s="163"/>
      <c r="B94" s="1282">
        <v>4</v>
      </c>
      <c r="C94" s="189" t="s">
        <v>1797</v>
      </c>
      <c r="G94" s="104"/>
      <c r="H94" s="104"/>
      <c r="I94" s="104"/>
      <c r="J94" s="104"/>
      <c r="K94" s="104"/>
      <c r="L94" s="104"/>
      <c r="M94" s="104"/>
    </row>
    <row r="95" spans="1:13" s="164" customFormat="1" ht="13.2">
      <c r="A95" s="163"/>
      <c r="B95" s="1282"/>
      <c r="C95" s="189"/>
      <c r="G95" s="104"/>
      <c r="H95" s="1532">
        <v>2022</v>
      </c>
      <c r="I95" s="1535"/>
      <c r="J95" s="1532">
        <v>2021</v>
      </c>
      <c r="K95" s="1535"/>
      <c r="L95" s="104"/>
      <c r="M95" s="104"/>
    </row>
    <row r="96" spans="1:13" s="164" customFormat="1" ht="13.2">
      <c r="A96" s="163"/>
      <c r="B96" s="163"/>
      <c r="C96" s="163"/>
      <c r="G96" s="104"/>
      <c r="H96" s="1409" t="s">
        <v>2023</v>
      </c>
      <c r="I96" s="1409" t="s">
        <v>1771</v>
      </c>
      <c r="J96" s="1409" t="s">
        <v>2023</v>
      </c>
      <c r="K96" s="1409" t="s">
        <v>1771</v>
      </c>
      <c r="L96" s="104"/>
      <c r="M96" s="104"/>
    </row>
    <row r="97" spans="1:13" s="164" customFormat="1" ht="15">
      <c r="A97" s="163" t="s">
        <v>861</v>
      </c>
      <c r="B97" s="163"/>
      <c r="C97" s="164" t="s">
        <v>2020</v>
      </c>
      <c r="G97" s="104"/>
      <c r="H97" s="104"/>
      <c r="I97" s="104"/>
      <c r="J97" s="104"/>
      <c r="K97" s="106"/>
      <c r="L97" s="104"/>
      <c r="M97" s="104"/>
    </row>
    <row r="98" spans="1:13" s="164" customFormat="1" ht="15">
      <c r="A98" s="163" t="s">
        <v>863</v>
      </c>
      <c r="B98" s="163"/>
      <c r="C98" s="176" t="s">
        <v>2024</v>
      </c>
      <c r="G98" s="104"/>
      <c r="H98" s="104">
        <f>'WP-AR-BS'!D100</f>
        <v>2319</v>
      </c>
      <c r="I98" s="104"/>
      <c r="J98" s="104">
        <f>'WP-AR-BS'!E100</f>
        <v>1664.2615499999999</v>
      </c>
      <c r="K98" s="106"/>
      <c r="L98" s="104"/>
      <c r="M98" s="104"/>
    </row>
    <row r="99" spans="1:13" s="164" customFormat="1" ht="15">
      <c r="A99" s="163" t="s">
        <v>2025</v>
      </c>
      <c r="B99" s="163"/>
      <c r="C99" s="176" t="s">
        <v>2026</v>
      </c>
      <c r="G99" s="104"/>
      <c r="H99" s="104">
        <f>'WP-AR-BS'!D83</f>
        <v>2</v>
      </c>
      <c r="I99" s="104"/>
      <c r="J99" s="104">
        <f>'WP-AR-BS'!E83</f>
        <v>1.4850000000000001</v>
      </c>
      <c r="K99" s="106"/>
      <c r="L99" s="104"/>
      <c r="M99" s="104"/>
    </row>
    <row r="100" spans="1:13" s="164" customFormat="1" ht="15">
      <c r="A100" s="163" t="s">
        <v>2027</v>
      </c>
      <c r="B100" s="163"/>
      <c r="C100" s="176" t="s">
        <v>2028</v>
      </c>
      <c r="G100" s="104"/>
      <c r="H100" s="104">
        <f>('WP-DB'!$E$33+'WP-DB'!$E$36)/10^6</f>
        <v>111.922051</v>
      </c>
      <c r="I100" s="104"/>
      <c r="J100" s="104">
        <f>('WP-DB'!$F$33+'WP-DB'!$F$36)/10^6</f>
        <v>64.021550000000005</v>
      </c>
      <c r="K100" s="106"/>
      <c r="L100" s="104"/>
      <c r="M100" s="104"/>
    </row>
    <row r="101" spans="1:13" s="164" customFormat="1" ht="13.2">
      <c r="A101" s="163" t="s">
        <v>2029</v>
      </c>
      <c r="B101" s="163"/>
      <c r="C101" s="176" t="s">
        <v>157</v>
      </c>
      <c r="G101" s="104"/>
      <c r="H101" s="1410">
        <f>H98+H99-H100</f>
        <v>2209.077949</v>
      </c>
      <c r="I101" s="1410">
        <f>'WP-AR-BS'!D131</f>
        <v>4945</v>
      </c>
      <c r="J101" s="1410">
        <f>J98+J99-J100</f>
        <v>1601.7249999999999</v>
      </c>
      <c r="K101" s="1410">
        <f>'WP-AR-BS'!E131</f>
        <v>4815</v>
      </c>
      <c r="L101" s="104"/>
      <c r="M101" s="104"/>
    </row>
    <row r="102" spans="1:13" s="164" customFormat="1" ht="13.2">
      <c r="A102" s="163" t="s">
        <v>2030</v>
      </c>
      <c r="B102" s="163"/>
      <c r="C102" s="164" t="s">
        <v>2031</v>
      </c>
      <c r="G102" s="104"/>
      <c r="H102" s="1410">
        <f>'WP-DB'!E31/10^6</f>
        <v>2209.08</v>
      </c>
      <c r="I102" s="1410">
        <f>'WP-DB'!E41/10^6</f>
        <v>4945</v>
      </c>
      <c r="J102" s="1410">
        <f>'WP-DB'!F31/10^6</f>
        <v>1602.2550000000001</v>
      </c>
      <c r="K102" s="1410">
        <f>'WP-DB'!F41/10^6</f>
        <v>4815</v>
      </c>
      <c r="L102" s="104"/>
      <c r="M102" s="104"/>
    </row>
    <row r="103" spans="1:13" s="183" customFormat="1" ht="13.2">
      <c r="A103" s="163" t="s">
        <v>2032</v>
      </c>
      <c r="B103" s="181"/>
      <c r="C103" s="183" t="s">
        <v>1998</v>
      </c>
      <c r="G103" s="203"/>
      <c r="H103" s="203">
        <f>H101-H102</f>
        <v>-2.0509999999376305E-3</v>
      </c>
      <c r="I103" s="203">
        <f>I101-I102</f>
        <v>0</v>
      </c>
      <c r="J103" s="203">
        <f>J101-J102</f>
        <v>-0.53000000000020009</v>
      </c>
      <c r="K103" s="203">
        <f>K101-K102</f>
        <v>0</v>
      </c>
      <c r="L103" s="203"/>
      <c r="M103" s="203"/>
    </row>
    <row r="104" spans="1:13" s="183" customFormat="1" ht="13.2">
      <c r="A104" s="163"/>
      <c r="B104" s="181"/>
      <c r="C104" s="202" t="s">
        <v>6</v>
      </c>
      <c r="G104" s="203"/>
      <c r="H104" s="203"/>
      <c r="I104" s="203"/>
      <c r="J104" s="203"/>
      <c r="K104" s="203"/>
      <c r="L104" s="203"/>
      <c r="M104" s="203"/>
    </row>
    <row r="105" spans="1:13" s="164" customFormat="1" ht="13.2">
      <c r="A105" s="163" t="s">
        <v>2033</v>
      </c>
      <c r="B105" s="163"/>
      <c r="C105" s="163">
        <v>4</v>
      </c>
      <c r="D105" s="164" t="s">
        <v>2034</v>
      </c>
      <c r="G105" s="104"/>
      <c r="H105" s="104"/>
      <c r="I105" s="104"/>
      <c r="J105" s="104"/>
      <c r="K105" s="104"/>
      <c r="L105" s="104"/>
      <c r="M105" s="104"/>
    </row>
    <row r="106" spans="1:13" s="164" customFormat="1" ht="13.2">
      <c r="A106" s="163"/>
      <c r="B106" s="163"/>
      <c r="C106" s="163"/>
      <c r="G106" s="104"/>
      <c r="H106" s="104"/>
      <c r="I106" s="104"/>
      <c r="J106" s="104"/>
      <c r="K106" s="104"/>
      <c r="L106" s="104"/>
      <c r="M106" s="104"/>
    </row>
    <row r="107" spans="1:13" s="164" customFormat="1" ht="13.2">
      <c r="A107" s="163"/>
      <c r="B107" s="1282">
        <v>5</v>
      </c>
      <c r="C107" s="189" t="s">
        <v>2035</v>
      </c>
      <c r="G107" s="104"/>
      <c r="H107" s="104"/>
      <c r="I107" s="104"/>
      <c r="J107" s="104"/>
      <c r="K107" s="104"/>
      <c r="L107" s="104"/>
      <c r="M107" s="104"/>
    </row>
    <row r="108" spans="1:13" s="164" customFormat="1" ht="13.2">
      <c r="A108" s="163"/>
      <c r="B108" s="163"/>
      <c r="C108" s="163"/>
      <c r="G108" s="104"/>
      <c r="H108" s="1417">
        <v>2022</v>
      </c>
      <c r="I108" s="1418">
        <v>2021</v>
      </c>
      <c r="J108" s="104"/>
      <c r="K108" s="104"/>
      <c r="L108" s="104"/>
      <c r="M108" s="104"/>
    </row>
    <row r="109" spans="1:13" s="164" customFormat="1" ht="13.2">
      <c r="A109" s="163" t="s">
        <v>332</v>
      </c>
      <c r="B109" s="163"/>
      <c r="C109" s="164" t="s">
        <v>2020</v>
      </c>
      <c r="G109" s="104"/>
      <c r="H109" s="104"/>
      <c r="I109" s="104"/>
      <c r="J109" s="104"/>
      <c r="K109" s="104"/>
      <c r="L109" s="104"/>
      <c r="M109" s="104"/>
    </row>
    <row r="110" spans="1:13" s="164" customFormat="1" ht="13.2">
      <c r="A110" s="163" t="s">
        <v>335</v>
      </c>
      <c r="B110" s="163"/>
      <c r="C110" s="176" t="s">
        <v>2036</v>
      </c>
      <c r="G110" s="104"/>
      <c r="H110" s="104">
        <f>'WP-AR-IS'!G45</f>
        <v>89</v>
      </c>
      <c r="I110" s="104">
        <f>'WP-AR-IS'!H45</f>
        <v>52</v>
      </c>
      <c r="J110" s="104"/>
      <c r="K110" s="104"/>
      <c r="L110" s="104"/>
      <c r="M110" s="104"/>
    </row>
    <row r="111" spans="1:13" s="164" customFormat="1" ht="13.2">
      <c r="A111" s="163" t="s">
        <v>338</v>
      </c>
      <c r="B111" s="163"/>
      <c r="C111" s="178"/>
      <c r="D111" s="179"/>
      <c r="E111" s="179"/>
      <c r="F111" s="179"/>
      <c r="G111" s="204"/>
      <c r="H111" s="204"/>
      <c r="I111" s="204"/>
      <c r="J111" s="104"/>
      <c r="K111" s="104"/>
      <c r="L111" s="104"/>
      <c r="M111" s="104"/>
    </row>
    <row r="112" spans="1:13" s="164" customFormat="1" ht="13.2">
      <c r="A112" s="163" t="s">
        <v>341</v>
      </c>
      <c r="B112" s="163"/>
      <c r="C112" s="176" t="s">
        <v>2037</v>
      </c>
      <c r="G112" s="104"/>
      <c r="H112" s="104">
        <f>'WP-AR-IS'!G48</f>
        <v>-2</v>
      </c>
      <c r="I112" s="104">
        <f>'WP-AR-IS'!H48</f>
        <v>-1</v>
      </c>
      <c r="J112" s="104"/>
      <c r="K112" s="104"/>
      <c r="L112" s="104"/>
      <c r="M112" s="104"/>
    </row>
    <row r="113" spans="1:13" s="164" customFormat="1" ht="13.2">
      <c r="A113" s="163" t="s">
        <v>343</v>
      </c>
      <c r="B113" s="163"/>
      <c r="C113" s="176" t="s">
        <v>157</v>
      </c>
      <c r="G113" s="104"/>
      <c r="H113" s="1410">
        <f>SUM(H110:H112)</f>
        <v>87</v>
      </c>
      <c r="I113" s="1410">
        <f>SUM(I110:I112)</f>
        <v>51</v>
      </c>
      <c r="J113" s="104"/>
      <c r="K113" s="104"/>
      <c r="L113" s="104"/>
      <c r="M113" s="104"/>
    </row>
    <row r="114" spans="1:13" s="164" customFormat="1" ht="13.2">
      <c r="A114" s="163" t="s">
        <v>1976</v>
      </c>
      <c r="B114" s="163"/>
      <c r="C114" s="164" t="s">
        <v>2022</v>
      </c>
      <c r="G114" s="104"/>
      <c r="H114" s="205"/>
      <c r="I114" s="205"/>
      <c r="J114" s="104"/>
      <c r="K114" s="104"/>
      <c r="L114" s="104"/>
      <c r="M114" s="104"/>
    </row>
    <row r="115" spans="1:13" s="164" customFormat="1" ht="13.2">
      <c r="A115" s="163" t="s">
        <v>2038</v>
      </c>
      <c r="B115" s="163"/>
      <c r="C115" s="176" t="s">
        <v>2036</v>
      </c>
      <c r="G115" s="104"/>
      <c r="H115" s="104">
        <f>'WP-DB'!E17/10^6</f>
        <v>86.369989610000005</v>
      </c>
      <c r="I115" s="104">
        <f>'WP-DB'!F17/10^6</f>
        <v>68.016680480000005</v>
      </c>
      <c r="J115" s="104"/>
      <c r="K115" s="104"/>
      <c r="L115" s="104"/>
      <c r="M115" s="104"/>
    </row>
    <row r="116" spans="1:13" s="164" customFormat="1" ht="13.2">
      <c r="A116" s="163" t="s">
        <v>2039</v>
      </c>
      <c r="B116" s="163"/>
      <c r="C116" s="176" t="s">
        <v>2037</v>
      </c>
      <c r="G116" s="104"/>
      <c r="H116" s="104">
        <f>'WP-DB'!E18/10^6</f>
        <v>1.695935</v>
      </c>
      <c r="I116" s="104">
        <f>'WP-DB'!F18/10^6</f>
        <v>1.441567</v>
      </c>
      <c r="J116" s="104"/>
      <c r="K116" s="104"/>
      <c r="L116" s="104"/>
      <c r="M116" s="104"/>
    </row>
    <row r="117" spans="1:13" s="164" customFormat="1" ht="13.2">
      <c r="A117" s="163" t="s">
        <v>2040</v>
      </c>
      <c r="B117" s="163"/>
      <c r="C117" s="176" t="s">
        <v>157</v>
      </c>
      <c r="G117" s="104"/>
      <c r="H117" s="1410">
        <f>'WP-DB'!E23/10^6</f>
        <v>83.543338730000002</v>
      </c>
      <c r="I117" s="1410">
        <f>'WP-DB'!F23/10^6</f>
        <v>66.729440480000008</v>
      </c>
      <c r="J117" s="104"/>
      <c r="K117" s="104"/>
      <c r="L117" s="104"/>
      <c r="M117" s="104"/>
    </row>
    <row r="118" spans="1:13" s="183" customFormat="1" ht="13.2">
      <c r="A118" s="163" t="s">
        <v>2041</v>
      </c>
      <c r="B118" s="181"/>
      <c r="C118" s="183" t="s">
        <v>1998</v>
      </c>
      <c r="G118" s="203"/>
      <c r="H118" s="203">
        <f>H113-H117</f>
        <v>3.4566612699999979</v>
      </c>
      <c r="I118" s="203">
        <f>I113-I117</f>
        <v>-15.729440480000008</v>
      </c>
      <c r="J118" s="203"/>
      <c r="K118" s="203"/>
      <c r="L118" s="203"/>
      <c r="M118" s="203"/>
    </row>
    <row r="119" spans="1:13" s="183" customFormat="1" ht="13.2">
      <c r="A119" s="163"/>
      <c r="B119" s="181"/>
      <c r="C119" s="202" t="s">
        <v>6</v>
      </c>
      <c r="G119" s="203"/>
      <c r="H119" s="203"/>
      <c r="I119" s="203"/>
      <c r="J119" s="203"/>
      <c r="K119" s="203"/>
      <c r="L119" s="203"/>
      <c r="M119" s="203"/>
    </row>
    <row r="120" spans="1:13" s="164" customFormat="1" ht="13.2">
      <c r="A120" s="196" t="s">
        <v>146</v>
      </c>
      <c r="B120" s="163"/>
      <c r="C120" s="196" t="s">
        <v>146</v>
      </c>
      <c r="D120" s="179"/>
      <c r="E120" s="179"/>
      <c r="F120" s="179"/>
      <c r="G120" s="204"/>
      <c r="H120" s="204"/>
      <c r="I120" s="204"/>
      <c r="J120" s="104"/>
      <c r="K120" s="104"/>
      <c r="L120" s="104"/>
      <c r="M120" s="104"/>
    </row>
    <row r="121" spans="1:13" s="164" customFormat="1" ht="13.2">
      <c r="A121" s="163"/>
      <c r="B121" s="163"/>
      <c r="C121" s="202"/>
      <c r="G121" s="104"/>
      <c r="H121" s="104"/>
      <c r="I121" s="104"/>
      <c r="J121" s="104"/>
      <c r="K121" s="104"/>
      <c r="L121" s="104"/>
      <c r="M121" s="104"/>
    </row>
    <row r="122" spans="1:13" s="164" customFormat="1" ht="13.2">
      <c r="A122" s="163"/>
      <c r="B122" s="163"/>
      <c r="C122" s="163"/>
      <c r="G122" s="104"/>
      <c r="H122" s="104"/>
      <c r="I122" s="104"/>
      <c r="J122" s="104"/>
      <c r="K122" s="104"/>
      <c r="L122" s="104"/>
      <c r="M122" s="104"/>
    </row>
    <row r="123" spans="1:13" s="164" customFormat="1" ht="13.2">
      <c r="A123" s="163"/>
      <c r="B123" s="1282">
        <v>6</v>
      </c>
      <c r="C123" s="189" t="s">
        <v>2042</v>
      </c>
      <c r="G123" s="104"/>
      <c r="H123" s="104"/>
      <c r="I123" s="104"/>
      <c r="J123" s="104"/>
      <c r="K123" s="104"/>
      <c r="L123" s="104"/>
      <c r="M123" s="104"/>
    </row>
    <row r="124" spans="1:13" s="164" customFormat="1" ht="13.2">
      <c r="A124" s="163"/>
      <c r="B124" s="1282"/>
      <c r="C124" s="189"/>
      <c r="G124" s="104"/>
      <c r="H124" s="1418">
        <v>2022</v>
      </c>
      <c r="I124" s="104"/>
      <c r="J124" s="104"/>
      <c r="K124" s="104"/>
      <c r="L124" s="104"/>
      <c r="M124" s="104"/>
    </row>
    <row r="125" spans="1:13" s="164" customFormat="1" ht="13.2">
      <c r="A125" s="163"/>
      <c r="B125" s="1282"/>
      <c r="C125" s="189"/>
      <c r="G125" s="104"/>
      <c r="H125" s="172"/>
      <c r="I125" s="104"/>
      <c r="J125" s="104"/>
      <c r="K125" s="104"/>
      <c r="L125" s="104"/>
      <c r="M125" s="104"/>
    </row>
    <row r="126" spans="1:13" s="164" customFormat="1" ht="13.2">
      <c r="A126" s="163" t="s">
        <v>124</v>
      </c>
      <c r="B126" s="163"/>
      <c r="C126" s="164" t="s">
        <v>2020</v>
      </c>
      <c r="G126" s="104"/>
      <c r="H126" s="204">
        <v>594078718.88</v>
      </c>
      <c r="I126" s="104"/>
      <c r="J126" s="104"/>
      <c r="K126" s="104"/>
      <c r="L126" s="104"/>
      <c r="M126" s="104"/>
    </row>
    <row r="127" spans="1:13" s="164" customFormat="1" ht="15.75" customHeight="1">
      <c r="A127" s="163" t="s">
        <v>207</v>
      </c>
      <c r="B127" s="163"/>
      <c r="C127" s="176" t="s">
        <v>2043</v>
      </c>
      <c r="D127" s="176"/>
      <c r="E127" s="176"/>
      <c r="G127" s="104"/>
      <c r="H127" s="204">
        <v>30672000</v>
      </c>
      <c r="I127" s="104"/>
      <c r="J127" s="104"/>
      <c r="K127" s="104"/>
      <c r="L127" s="104"/>
      <c r="M127" s="104"/>
    </row>
    <row r="128" spans="1:13" s="164" customFormat="1" ht="15.75" customHeight="1">
      <c r="A128" s="163" t="s">
        <v>210</v>
      </c>
      <c r="B128" s="163"/>
      <c r="C128" s="176" t="s">
        <v>2044</v>
      </c>
      <c r="D128" s="176"/>
      <c r="E128" s="176"/>
      <c r="G128" s="104"/>
      <c r="H128" s="204">
        <v>-43128203.039999999</v>
      </c>
      <c r="I128" s="104"/>
      <c r="J128" s="104"/>
      <c r="K128" s="104"/>
      <c r="L128" s="104"/>
      <c r="M128" s="104"/>
    </row>
    <row r="129" spans="1:13" s="164" customFormat="1" ht="15.75" customHeight="1">
      <c r="A129" s="163" t="s">
        <v>1353</v>
      </c>
      <c r="B129" s="163"/>
      <c r="C129" s="176" t="s">
        <v>2045</v>
      </c>
      <c r="D129" s="176"/>
      <c r="E129" s="176"/>
      <c r="G129" s="104"/>
      <c r="H129" s="204"/>
      <c r="I129" s="104"/>
      <c r="J129" s="104"/>
      <c r="K129" s="104"/>
      <c r="L129" s="104"/>
      <c r="M129" s="104"/>
    </row>
    <row r="130" spans="1:13" s="164" customFormat="1" ht="15.75" customHeight="1">
      <c r="A130" s="196" t="s">
        <v>1354</v>
      </c>
      <c r="B130" s="163"/>
      <c r="C130" s="178" t="s">
        <v>692</v>
      </c>
      <c r="D130" s="178"/>
      <c r="E130" s="178"/>
      <c r="F130" s="179"/>
      <c r="G130" s="204"/>
      <c r="H130" s="1431">
        <v>-42605766.960000001</v>
      </c>
      <c r="I130" s="104"/>
      <c r="J130" s="104"/>
      <c r="K130" s="104"/>
      <c r="L130" s="104"/>
      <c r="M130" s="104"/>
    </row>
    <row r="131" spans="1:13" s="164" customFormat="1" ht="15.75" customHeight="1">
      <c r="A131" s="196"/>
      <c r="B131" s="163"/>
      <c r="C131" s="178" t="s">
        <v>2074</v>
      </c>
      <c r="D131" s="178"/>
      <c r="E131" s="178"/>
      <c r="F131" s="204"/>
      <c r="G131" s="204"/>
      <c r="H131" s="179">
        <v>-30672000</v>
      </c>
      <c r="I131" s="104"/>
      <c r="J131" s="104"/>
      <c r="K131" s="104"/>
      <c r="L131" s="104"/>
      <c r="M131" s="104"/>
    </row>
    <row r="132" spans="1:13" s="164" customFormat="1" ht="15.75" customHeight="1">
      <c r="A132" s="196" t="s">
        <v>1356</v>
      </c>
      <c r="B132" s="163"/>
      <c r="C132" s="178" t="s">
        <v>2073</v>
      </c>
      <c r="D132" s="178"/>
      <c r="E132" s="178"/>
      <c r="F132" s="179"/>
      <c r="G132" s="204"/>
      <c r="H132" s="1431">
        <v>-1798679</v>
      </c>
      <c r="I132" s="104"/>
      <c r="J132" s="104"/>
      <c r="K132" s="104"/>
      <c r="L132" s="104"/>
      <c r="M132" s="104"/>
    </row>
    <row r="133" spans="1:13" s="164" customFormat="1" ht="15.75" customHeight="1">
      <c r="A133" s="196" t="s">
        <v>1358</v>
      </c>
      <c r="B133" s="163"/>
      <c r="C133" s="178" t="s">
        <v>2071</v>
      </c>
      <c r="D133" s="178"/>
      <c r="E133" s="178"/>
      <c r="F133" s="179"/>
      <c r="G133" s="204"/>
      <c r="H133" s="1431">
        <v>-229000000</v>
      </c>
      <c r="I133" s="104"/>
      <c r="J133" s="104"/>
      <c r="K133" s="104"/>
      <c r="L133" s="104"/>
      <c r="M133" s="104"/>
    </row>
    <row r="134" spans="1:13" s="164" customFormat="1" ht="15.75" customHeight="1">
      <c r="A134" s="196" t="s">
        <v>1360</v>
      </c>
      <c r="B134" s="163"/>
      <c r="C134" s="178" t="s">
        <v>2072</v>
      </c>
      <c r="D134" s="178"/>
      <c r="E134" s="178"/>
      <c r="F134" s="179"/>
      <c r="G134" s="204"/>
      <c r="H134" s="1431">
        <v>18824712.350000001</v>
      </c>
      <c r="I134" s="104"/>
      <c r="J134" s="104"/>
      <c r="K134" s="104"/>
      <c r="L134" s="104"/>
      <c r="M134" s="104"/>
    </row>
    <row r="135" spans="1:13" s="164" customFormat="1" ht="15.75" customHeight="1">
      <c r="A135" s="196" t="s">
        <v>1361</v>
      </c>
      <c r="B135" s="163"/>
      <c r="C135" s="178" t="s">
        <v>2069</v>
      </c>
      <c r="D135" s="178"/>
      <c r="E135" s="178"/>
      <c r="F135" s="179"/>
      <c r="G135" s="204"/>
      <c r="H135" s="1431">
        <v>-8265860.9100000001</v>
      </c>
      <c r="I135" s="104"/>
      <c r="J135" s="104"/>
      <c r="K135" s="104"/>
      <c r="L135" s="104"/>
      <c r="M135" s="104"/>
    </row>
    <row r="136" spans="1:13" s="164" customFormat="1" ht="15.75" customHeight="1">
      <c r="A136" s="196" t="s">
        <v>1362</v>
      </c>
      <c r="B136" s="163"/>
      <c r="C136" s="178" t="s">
        <v>2070</v>
      </c>
      <c r="D136" s="178"/>
      <c r="E136" s="178"/>
      <c r="F136" s="179"/>
      <c r="G136" s="204"/>
      <c r="H136" s="1431">
        <v>-7614683.0599999996</v>
      </c>
      <c r="I136" s="104"/>
      <c r="J136" s="104"/>
      <c r="K136" s="104"/>
      <c r="L136" s="104"/>
      <c r="M136" s="104"/>
    </row>
    <row r="137" spans="1:13" s="164" customFormat="1" ht="15.75" customHeight="1">
      <c r="A137" s="196" t="s">
        <v>146</v>
      </c>
      <c r="B137" s="163"/>
      <c r="C137" s="178" t="s">
        <v>146</v>
      </c>
      <c r="D137" s="178"/>
      <c r="E137" s="178"/>
      <c r="F137" s="204"/>
      <c r="G137" s="204"/>
      <c r="H137" s="179"/>
      <c r="I137" s="104"/>
      <c r="J137" s="104"/>
      <c r="K137" s="104"/>
      <c r="L137" s="104"/>
      <c r="M137" s="104"/>
    </row>
    <row r="138" spans="1:13" s="164" customFormat="1" ht="13.2">
      <c r="A138" s="163" t="s">
        <v>1141</v>
      </c>
      <c r="B138" s="163"/>
      <c r="C138" s="176" t="s">
        <v>718</v>
      </c>
      <c r="D138" s="176"/>
      <c r="E138" s="176"/>
      <c r="G138" s="104"/>
      <c r="H138" s="206">
        <f>SUM(H127:H137)</f>
        <v>-313588480.62</v>
      </c>
      <c r="I138" s="104"/>
      <c r="J138" s="104"/>
      <c r="K138" s="104"/>
      <c r="L138" s="104"/>
      <c r="M138" s="104"/>
    </row>
    <row r="139" spans="1:13" s="164" customFormat="1">
      <c r="A139" s="163" t="s">
        <v>1142</v>
      </c>
      <c r="B139" s="163"/>
      <c r="C139" s="41" t="s">
        <v>2046</v>
      </c>
      <c r="D139" s="41"/>
      <c r="E139" s="42"/>
      <c r="G139" s="104"/>
      <c r="H139" s="104">
        <f>H126+H138</f>
        <v>280490238.25999999</v>
      </c>
      <c r="I139" s="104"/>
      <c r="J139" s="104"/>
      <c r="K139" s="104"/>
      <c r="L139" s="104"/>
      <c r="M139" s="104"/>
    </row>
    <row r="140" spans="1:13" s="164" customFormat="1" ht="13.2">
      <c r="A140" s="163" t="s">
        <v>1143</v>
      </c>
      <c r="B140" s="163"/>
      <c r="C140" s="183" t="s">
        <v>1998</v>
      </c>
      <c r="G140" s="104"/>
      <c r="H140" s="104">
        <f>H139-H126-H138</f>
        <v>0</v>
      </c>
      <c r="I140" s="104"/>
      <c r="J140" s="104"/>
      <c r="K140" s="104"/>
      <c r="L140" s="104"/>
      <c r="M140" s="104"/>
    </row>
    <row r="141" spans="1:13" s="164" customFormat="1" ht="13.2">
      <c r="A141" s="163"/>
      <c r="B141" s="163"/>
      <c r="C141" s="163"/>
      <c r="G141" s="104"/>
      <c r="H141" s="104"/>
      <c r="I141" s="104"/>
      <c r="J141" s="104"/>
      <c r="K141" s="104"/>
      <c r="L141" s="104"/>
      <c r="M141" s="104"/>
    </row>
    <row r="142" spans="1:13" s="164" customFormat="1" ht="13.2">
      <c r="A142" s="163"/>
      <c r="B142" s="163"/>
      <c r="C142" s="163"/>
      <c r="G142" s="104"/>
      <c r="H142" s="104"/>
      <c r="I142" s="104"/>
      <c r="J142" s="104"/>
      <c r="K142" s="104"/>
      <c r="L142" s="104"/>
      <c r="M142" s="104"/>
    </row>
    <row r="143" spans="1:13" s="164" customFormat="1" ht="13.2">
      <c r="A143" s="163"/>
      <c r="B143" s="163"/>
      <c r="C143" s="202" t="s">
        <v>6</v>
      </c>
      <c r="G143" s="104"/>
      <c r="H143" s="104"/>
      <c r="I143" s="104"/>
      <c r="J143" s="104"/>
      <c r="K143" s="104"/>
      <c r="L143" s="104"/>
      <c r="M143" s="104"/>
    </row>
    <row r="144" spans="1:13" s="164" customFormat="1" ht="13.2">
      <c r="A144" s="163" t="s">
        <v>1144</v>
      </c>
      <c r="B144" s="163"/>
      <c r="C144" s="163">
        <v>5</v>
      </c>
      <c r="D144" s="164" t="s">
        <v>2047</v>
      </c>
      <c r="G144" s="104"/>
      <c r="H144" s="104"/>
      <c r="I144" s="104"/>
      <c r="J144" s="104"/>
      <c r="K144" s="104"/>
      <c r="L144" s="104"/>
      <c r="M144" s="104"/>
    </row>
    <row r="145" spans="1:13" s="164" customFormat="1" ht="13.2">
      <c r="A145" s="163" t="s">
        <v>2048</v>
      </c>
      <c r="B145" s="163"/>
      <c r="C145" s="163">
        <v>6</v>
      </c>
      <c r="D145" s="164" t="s">
        <v>2049</v>
      </c>
      <c r="G145" s="104"/>
      <c r="H145" s="104"/>
      <c r="I145" s="104"/>
      <c r="J145" s="104"/>
      <c r="K145" s="104"/>
      <c r="L145" s="104"/>
      <c r="M145" s="104"/>
    </row>
    <row r="146" spans="1:13">
      <c r="A146" s="207"/>
      <c r="C146" s="207"/>
      <c r="D146" s="208"/>
      <c r="E146" s="208"/>
      <c r="F146" s="208"/>
      <c r="G146" s="209"/>
      <c r="H146" s="209"/>
      <c r="I146" s="209"/>
      <c r="J146" s="209"/>
    </row>
    <row r="149" spans="1:13" s="164" customFormat="1" ht="13.2">
      <c r="A149" s="163"/>
      <c r="B149" s="1282">
        <v>8</v>
      </c>
      <c r="C149" s="189" t="s">
        <v>2050</v>
      </c>
      <c r="G149" s="104"/>
      <c r="H149" s="104"/>
      <c r="I149" s="104"/>
      <c r="J149" s="104"/>
      <c r="K149" s="104"/>
      <c r="L149" s="104"/>
      <c r="M149" s="104"/>
    </row>
    <row r="150" spans="1:13" s="164" customFormat="1" ht="13.2">
      <c r="A150" s="163"/>
      <c r="B150" s="1282"/>
      <c r="C150" s="189"/>
      <c r="G150" s="104"/>
      <c r="H150" s="104"/>
      <c r="I150" s="104"/>
      <c r="J150" s="104"/>
      <c r="K150" s="104"/>
      <c r="L150" s="104"/>
      <c r="M150" s="104"/>
    </row>
    <row r="151" spans="1:13">
      <c r="C151" s="189"/>
      <c r="D151" s="164"/>
      <c r="E151" s="164"/>
      <c r="F151" s="164"/>
      <c r="G151" s="104"/>
      <c r="H151" s="1418">
        <v>2022</v>
      </c>
      <c r="I151" s="172"/>
    </row>
    <row r="152" spans="1:13" s="164" customFormat="1" ht="13.2">
      <c r="A152" s="163" t="s">
        <v>1257</v>
      </c>
      <c r="B152" s="163"/>
      <c r="C152" s="164" t="s">
        <v>2020</v>
      </c>
      <c r="G152" s="104"/>
      <c r="J152" s="104"/>
      <c r="K152" s="104"/>
      <c r="L152" s="104"/>
      <c r="M152" s="104"/>
    </row>
    <row r="153" spans="1:13" s="164" customFormat="1" ht="13.2">
      <c r="A153" s="163" t="s">
        <v>1258</v>
      </c>
      <c r="B153" s="163"/>
      <c r="C153" s="176" t="s">
        <v>2051</v>
      </c>
      <c r="G153" s="104"/>
      <c r="H153" s="204">
        <v>0</v>
      </c>
      <c r="I153" s="205"/>
      <c r="J153" s="104"/>
      <c r="K153" s="104"/>
      <c r="L153" s="104"/>
      <c r="M153" s="104"/>
    </row>
    <row r="154" spans="1:13" s="164" customFormat="1" ht="13.2">
      <c r="A154" s="163"/>
      <c r="B154" s="163"/>
      <c r="C154" s="178" t="s">
        <v>2075</v>
      </c>
      <c r="D154" s="179"/>
      <c r="E154" s="179"/>
      <c r="F154" s="179"/>
      <c r="G154" s="204"/>
      <c r="H154" s="1431">
        <v>-18.741844</v>
      </c>
      <c r="I154" s="205"/>
      <c r="J154" s="104"/>
      <c r="K154" s="104"/>
      <c r="L154" s="104"/>
      <c r="M154" s="104"/>
    </row>
    <row r="155" spans="1:13" s="164" customFormat="1" ht="13.2">
      <c r="A155" s="163" t="s">
        <v>1259</v>
      </c>
      <c r="B155" s="163"/>
      <c r="C155" s="178" t="s">
        <v>2076</v>
      </c>
      <c r="D155" s="179"/>
      <c r="E155" s="179"/>
      <c r="F155" s="179"/>
      <c r="G155" s="204"/>
      <c r="H155" s="1432">
        <v>17.099498000000001</v>
      </c>
      <c r="I155" s="205"/>
      <c r="J155" s="104"/>
      <c r="K155" s="104"/>
      <c r="L155" s="104"/>
      <c r="M155" s="104"/>
    </row>
    <row r="156" spans="1:13" s="164" customFormat="1" ht="13.2">
      <c r="A156" s="163" t="s">
        <v>1260</v>
      </c>
      <c r="B156" s="163"/>
      <c r="C156" s="210" t="s">
        <v>2052</v>
      </c>
      <c r="G156" s="104"/>
      <c r="H156" s="104">
        <f>SUM(H153:H155)</f>
        <v>-1.6423459999999999</v>
      </c>
      <c r="I156" s="205"/>
      <c r="J156" s="104"/>
      <c r="K156" s="104"/>
      <c r="L156" s="104"/>
      <c r="M156" s="104"/>
    </row>
    <row r="157" spans="1:13" s="164" customFormat="1" ht="13.2">
      <c r="A157" s="163" t="s">
        <v>1261</v>
      </c>
      <c r="B157" s="163"/>
      <c r="C157" s="164" t="s">
        <v>2022</v>
      </c>
      <c r="G157" s="104"/>
      <c r="H157" s="104"/>
      <c r="I157" s="205"/>
      <c r="J157" s="104"/>
      <c r="K157" s="104"/>
      <c r="L157" s="104"/>
      <c r="M157" s="104"/>
    </row>
    <row r="158" spans="1:13" s="164" customFormat="1" ht="13.2">
      <c r="A158" s="163" t="s">
        <v>1392</v>
      </c>
      <c r="B158" s="163"/>
      <c r="C158" s="176" t="s">
        <v>1086</v>
      </c>
      <c r="G158" s="104"/>
      <c r="H158" s="211">
        <f>'WP-AF'!H13/1000000</f>
        <v>-1.6423460000000001</v>
      </c>
      <c r="I158" s="205"/>
      <c r="J158" s="104"/>
      <c r="K158" s="104"/>
      <c r="L158" s="104"/>
      <c r="M158" s="104"/>
    </row>
    <row r="159" spans="1:13" s="164" customFormat="1" ht="13.2">
      <c r="A159" s="163" t="s">
        <v>1394</v>
      </c>
      <c r="B159" s="163"/>
      <c r="C159" s="183" t="s">
        <v>1998</v>
      </c>
      <c r="D159" s="183"/>
      <c r="E159" s="183"/>
      <c r="F159" s="183"/>
      <c r="G159" s="203"/>
      <c r="H159" s="203">
        <f>H156-H158</f>
        <v>0</v>
      </c>
      <c r="I159" s="212"/>
      <c r="J159" s="104"/>
      <c r="K159" s="104"/>
      <c r="L159" s="104"/>
      <c r="M159" s="104"/>
    </row>
  </sheetData>
  <customSheetViews>
    <customSheetView guid="{343BF296-013A-41F5-BDAB-AD6220EA7F78}" showPageBreaks="1" printArea="1" view="pageBreakPreview" topLeftCell="A112">
      <selection activeCell="D33" sqref="D33"/>
      <rowBreaks count="2" manualBreakCount="2">
        <brk id="38" max="16383" man="1"/>
        <brk id="76" max="14" man="1"/>
      </rowBreaks>
      <pageMargins left="0" right="0" top="0" bottom="0" header="0" footer="0"/>
      <pageSetup scale="61" orientation="landscape" r:id="rId1"/>
    </customSheetView>
    <customSheetView guid="{B321D76C-CDE5-48BB-9CDE-80FF97D58FCF}" showPageBreaks="1" printArea="1" view="pageBreakPreview" topLeftCell="A112">
      <selection activeCell="D33" sqref="D33"/>
      <rowBreaks count="2" manualBreakCount="2">
        <brk id="38" max="16383" man="1"/>
        <brk id="76" max="14" man="1"/>
      </rowBreaks>
      <pageMargins left="0" right="0" top="0" bottom="0" header="0" footer="0"/>
      <pageSetup scale="61" orientation="landscape" r:id="rId2"/>
    </customSheetView>
  </customSheetViews>
  <mergeCells count="10">
    <mergeCell ref="L47:O47"/>
    <mergeCell ref="H11:J11"/>
    <mergeCell ref="H95:I95"/>
    <mergeCell ref="Q11:T11"/>
    <mergeCell ref="A4:O4"/>
    <mergeCell ref="A5:O5"/>
    <mergeCell ref="A6:O6"/>
    <mergeCell ref="A8:P8"/>
    <mergeCell ref="A9:P9"/>
    <mergeCell ref="J95:K95"/>
  </mergeCells>
  <pageMargins left="0.7" right="0.7" top="0.75" bottom="0.75" header="0.3" footer="0.3"/>
  <pageSetup scale="50" orientation="landscape" r:id="rId3"/>
  <rowBreaks count="3" manualBreakCount="3">
    <brk id="45" max="16383" man="1"/>
    <brk id="92" max="14" man="1"/>
    <brk id="146" max="14" man="1"/>
  </rowBreaks>
  <ignoredErrors>
    <ignoredError sqref="H138" formulaRange="1"/>
  </ignoredError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497860D1AC39438039A26F77DD1D40" ma:contentTypeVersion="2" ma:contentTypeDescription="Create a new document." ma:contentTypeScope="" ma:versionID="3384a9209708c392f65736897f0a01cc">
  <xsd:schema xmlns:xsd="http://www.w3.org/2001/XMLSchema" xmlns:xs="http://www.w3.org/2001/XMLSchema" xmlns:p="http://schemas.microsoft.com/office/2006/metadata/properties" xmlns:ns2="2fc5d9f3-df17-48b0-9460-5f39bb0d99d5" targetNamespace="http://schemas.microsoft.com/office/2006/metadata/properties" ma:root="true" ma:fieldsID="1894af7d6bcc449ea1d724301ff12c19" ns2:_="">
    <xsd:import namespace="2fc5d9f3-df17-48b0-9460-5f39bb0d99d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c5d9f3-df17-48b0-9460-5f39bb0d99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83905A-9C01-434B-9B81-3B371640A730}">
  <ds:schemaRefs>
    <ds:schemaRef ds:uri="http://schemas.microsoft.com/sharepoint/v3/contenttype/forms"/>
  </ds:schemaRefs>
</ds:datastoreItem>
</file>

<file path=customXml/itemProps2.xml><?xml version="1.0" encoding="utf-8"?>
<ds:datastoreItem xmlns:ds="http://schemas.openxmlformats.org/officeDocument/2006/customXml" ds:itemID="{8C71228B-4ABD-4ECD-9B85-DFA6A49EDC2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fc5d9f3-df17-48b0-9460-5f39bb0d99d5"/>
    <ds:schemaRef ds:uri="http://www.w3.org/XML/1998/namespace"/>
    <ds:schemaRef ds:uri="http://purl.org/dc/dcmitype/"/>
  </ds:schemaRefs>
</ds:datastoreItem>
</file>

<file path=customXml/itemProps3.xml><?xml version="1.0" encoding="utf-8"?>
<ds:datastoreItem xmlns:ds="http://schemas.openxmlformats.org/officeDocument/2006/customXml" ds:itemID="{3C6D3BD0-CA64-4A69-81A5-96591A0CF5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c5d9f3-df17-48b0-9460-5f39bb0d99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47</vt:i4>
      </vt:variant>
    </vt:vector>
  </HeadingPairs>
  <TitlesOfParts>
    <vt:vector size="89" baseType="lpstr">
      <vt:lpstr>Index</vt:lpstr>
      <vt:lpstr>SUMMARY</vt:lpstr>
      <vt:lpstr>A1-O&amp;M</vt:lpstr>
      <vt:lpstr>A2-A&amp;G</vt:lpstr>
      <vt:lpstr>B1-Depn</vt:lpstr>
      <vt:lpstr>B2-Plant</vt:lpstr>
      <vt:lpstr>B3-Depn Rates</vt:lpstr>
      <vt:lpstr>C1-Rate Base</vt:lpstr>
      <vt:lpstr>D1-Cap Structure</vt:lpstr>
      <vt:lpstr>D2-Project Cap Structures</vt:lpstr>
      <vt:lpstr>E1-Allocator</vt:lpstr>
      <vt:lpstr>F1-Proj RR</vt:lpstr>
      <vt:lpstr>F2-Incentives</vt:lpstr>
      <vt:lpstr>F3-True-Up</vt:lpstr>
      <vt:lpstr>WP-AA</vt:lpstr>
      <vt:lpstr>WP-AB</vt:lpstr>
      <vt:lpstr>WP-AC</vt:lpstr>
      <vt:lpstr>WP-AD</vt:lpstr>
      <vt:lpstr>WP-AE</vt:lpstr>
      <vt:lpstr>WP-AF</vt:lpstr>
      <vt:lpstr>WP-AG</vt:lpstr>
      <vt:lpstr>WP-AH</vt:lpstr>
      <vt:lpstr>WP-AI</vt:lpstr>
      <vt:lpstr>WP-BA</vt:lpstr>
      <vt:lpstr>WP-BB</vt:lpstr>
      <vt:lpstr>WP-BC</vt:lpstr>
      <vt:lpstr>WP-BD</vt:lpstr>
      <vt:lpstr>WP-BE</vt:lpstr>
      <vt:lpstr>WP-BF</vt:lpstr>
      <vt:lpstr>WP-BG</vt:lpstr>
      <vt:lpstr>WP-BH</vt:lpstr>
      <vt:lpstr>WP-BI</vt:lpstr>
      <vt:lpstr>WP-BJ</vt:lpstr>
      <vt:lpstr>WP-CA</vt:lpstr>
      <vt:lpstr>WP-CB</vt:lpstr>
      <vt:lpstr>WP-DA</vt:lpstr>
      <vt:lpstr>WP-DB</vt:lpstr>
      <vt:lpstr>WP-EA</vt:lpstr>
      <vt:lpstr>WP-AR-IS</vt:lpstr>
      <vt:lpstr>WP-AR-BS</vt:lpstr>
      <vt:lpstr>WP-AR-Cap Assets</vt:lpstr>
      <vt:lpstr>WP-Reconciliations</vt:lpstr>
      <vt:lpstr>'A1-O&amp;M'!Print_Area</vt:lpstr>
      <vt:lpstr>'A2-A&amp;G'!Print_Area</vt:lpstr>
      <vt:lpstr>'B1-Depn'!Print_Area</vt:lpstr>
      <vt:lpstr>'B2-Plant'!Print_Area</vt:lpstr>
      <vt:lpstr>'B3-Depn Rates'!Print_Area</vt:lpstr>
      <vt:lpstr>'C1-Rate Base'!Print_Area</vt:lpstr>
      <vt:lpstr>'D1-Cap Structure'!Print_Area</vt:lpstr>
      <vt:lpstr>'E1-Allocator'!Print_Area</vt:lpstr>
      <vt:lpstr>'F1-Proj RR'!Print_Area</vt:lpstr>
      <vt:lpstr>'F2-Incentives'!Print_Area</vt:lpstr>
      <vt:lpstr>'F3-True-Up'!Print_Area</vt:lpstr>
      <vt:lpstr>Index!Print_Area</vt:lpstr>
      <vt:lpstr>SUMMARY!Print_Area</vt:lpstr>
      <vt:lpstr>'WP-AA'!Print_Area</vt:lpstr>
      <vt:lpstr>'WP-AB'!Print_Area</vt:lpstr>
      <vt:lpstr>'WP-AC'!Print_Area</vt:lpstr>
      <vt:lpstr>'WP-AD'!Print_Area</vt:lpstr>
      <vt:lpstr>'WP-AE'!Print_Area</vt:lpstr>
      <vt:lpstr>'WP-AF'!Print_Area</vt:lpstr>
      <vt:lpstr>'WP-AG'!Print_Area</vt:lpstr>
      <vt:lpstr>'WP-AH'!Print_Area</vt:lpstr>
      <vt:lpstr>'WP-AI'!Print_Area</vt:lpstr>
      <vt:lpstr>'WP-AR-BS'!Print_Area</vt:lpstr>
      <vt:lpstr>'WP-AR-Cap Assets'!Print_Area</vt:lpstr>
      <vt:lpstr>'WP-AR-IS'!Print_Area</vt:lpstr>
      <vt:lpstr>'WP-BA'!Print_Area</vt:lpstr>
      <vt:lpstr>'WP-BB'!Print_Area</vt:lpstr>
      <vt:lpstr>'WP-BC'!Print_Area</vt:lpstr>
      <vt:lpstr>'WP-BD'!Print_Area</vt:lpstr>
      <vt:lpstr>'WP-BE'!Print_Area</vt:lpstr>
      <vt:lpstr>'WP-BF'!Print_Area</vt:lpstr>
      <vt:lpstr>'WP-BG'!Print_Area</vt:lpstr>
      <vt:lpstr>'WP-BH'!Print_Area</vt:lpstr>
      <vt:lpstr>'WP-BI'!Print_Area</vt:lpstr>
      <vt:lpstr>'WP-CA'!Print_Area</vt:lpstr>
      <vt:lpstr>'WP-CB'!Print_Area</vt:lpstr>
      <vt:lpstr>'WP-DA'!Print_Area</vt:lpstr>
      <vt:lpstr>'WP-DB'!Print_Area</vt:lpstr>
      <vt:lpstr>'WP-EA'!Print_Area</vt:lpstr>
      <vt:lpstr>'WP-Reconciliations'!Print_Area</vt:lpstr>
      <vt:lpstr>Print_Area</vt:lpstr>
      <vt:lpstr>'WP-AB'!Print_Titles</vt:lpstr>
      <vt:lpstr>'WP-AR-BS'!Print_Titles</vt:lpstr>
      <vt:lpstr>'WP-BA'!Print_Titles</vt:lpstr>
      <vt:lpstr>'WP-BB'!Print_Titles</vt:lpstr>
      <vt:lpstr>'WP-BC'!Print_Titles</vt:lpstr>
      <vt:lpstr>'WP-Reconciliations'!Print_Titles</vt:lpstr>
    </vt:vector>
  </TitlesOfParts>
  <Manager/>
  <Company>RSI,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 Tarney</dc:creator>
  <cp:keywords/>
  <dc:description/>
  <cp:lastModifiedBy>Bissell, Garrett E</cp:lastModifiedBy>
  <cp:revision/>
  <cp:lastPrinted>2023-06-28T17:39:32Z</cp:lastPrinted>
  <dcterms:created xsi:type="dcterms:W3CDTF">1997-11-24T21:15:50Z</dcterms:created>
  <dcterms:modified xsi:type="dcterms:W3CDTF">2023-06-28T21:18:51Z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0x01010026497860D1AC39438039A26F77DD1D40</vt:lpwstr>
  </property>
  <property fmtid="{D5CDD505-2E9C-101B-9397-08002B2CF9AE}" pid="4" name="MSIP_Label_a5049dce-8671-4c79-90d7-f6ec79470f4e_Enabled">
    <vt:lpwstr>true</vt:lpwstr>
  </property>
  <property fmtid="{D5CDD505-2E9C-101B-9397-08002B2CF9AE}" pid="5" name="MSIP_Label_a5049dce-8671-4c79-90d7-f6ec79470f4e_SetDate">
    <vt:lpwstr>2023-06-28T21:15:55Z</vt:lpwstr>
  </property>
  <property fmtid="{D5CDD505-2E9C-101B-9397-08002B2CF9AE}" pid="6" name="MSIP_Label_a5049dce-8671-4c79-90d7-f6ec79470f4e_Method">
    <vt:lpwstr>Privileged</vt:lpwstr>
  </property>
  <property fmtid="{D5CDD505-2E9C-101B-9397-08002B2CF9AE}" pid="7" name="MSIP_Label_a5049dce-8671-4c79-90d7-f6ec79470f4e_Name">
    <vt:lpwstr>Public</vt:lpwstr>
  </property>
  <property fmtid="{D5CDD505-2E9C-101B-9397-08002B2CF9AE}" pid="8" name="MSIP_Label_a5049dce-8671-4c79-90d7-f6ec79470f4e_SiteId">
    <vt:lpwstr>7658602a-f7b9-4209-bc62-d2bfc30dea0d</vt:lpwstr>
  </property>
  <property fmtid="{D5CDD505-2E9C-101B-9397-08002B2CF9AE}" pid="9" name="MSIP_Label_a5049dce-8671-4c79-90d7-f6ec79470f4e_ActionId">
    <vt:lpwstr>c8859663-59b0-4ac2-8e2f-09a6ba9094a4</vt:lpwstr>
  </property>
  <property fmtid="{D5CDD505-2E9C-101B-9397-08002B2CF9AE}" pid="10" name="MSIP_Label_a5049dce-8671-4c79-90d7-f6ec79470f4e_ContentBits">
    <vt:lpwstr>0</vt:lpwstr>
  </property>
  <property fmtid="{D5CDD505-2E9C-101B-9397-08002B2CF9AE}" pid="11" name="_AdHocReviewCycleID">
    <vt:i4>208192954</vt:i4>
  </property>
  <property fmtid="{D5CDD505-2E9C-101B-9397-08002B2CF9AE}" pid="12" name="_EmailSubject">
    <vt:lpwstr>NYPA 2023 Annual Update - Posting Request</vt:lpwstr>
  </property>
  <property fmtid="{D5CDD505-2E9C-101B-9397-08002B2CF9AE}" pid="13" name="_AuthorEmail">
    <vt:lpwstr>GBissell@nyiso.com</vt:lpwstr>
  </property>
  <property fmtid="{D5CDD505-2E9C-101B-9397-08002B2CF9AE}" pid="14" name="_AuthorEmailDisplayName">
    <vt:lpwstr>Bissell, Garrett E</vt:lpwstr>
  </property>
</Properties>
</file>