
<file path=[Content_Types].xml><?xml version="1.0" encoding="utf-8"?>
<Types xmlns="http://schemas.openxmlformats.org/package/2006/content-types">
  <Default Extension="bin" ContentType="application/vnd.openxmlformats-officedocument.spreadsheetml.customProperty"/>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rinterSettings/printerSettings1.bin" ContentType="application/vnd.openxmlformats-officedocument.spreadsheetml.printerSettings"/>
  <Override PartName="/xl/printerSettings/printerSettings2.bin" ContentType="application/vnd.openxmlformats-officedocument.spreadsheetml.printerSettings"/>
  <Override PartName="/xl/printerSettings/printerSettings3.bin" ContentType="application/vnd.openxmlformats-officedocument.spreadsheetml.printerSettings"/>
  <Override PartName="/xl/printerSettings/printerSettings4.bin" ContentType="application/vnd.openxmlformats-officedocument.spreadsheetml.printerSettings"/>
  <Override PartName="/xl/printerSettings/printerSettings5.bin" ContentType="application/vnd.openxmlformats-officedocument.spreadsheetml.printerSettings"/>
  <Override PartName="/xl/printerSettings/printerSettings6.bin" ContentType="application/vnd.openxmlformats-officedocument.spreadsheetml.printerSettings"/>
  <Override PartName="/xl/printerSettings/printerSettings7.bin" ContentType="application/vnd.openxmlformats-officedocument.spreadsheetml.printerSettings"/>
  <Override PartName="/xl/printerSettings/printerSettings8.bin" ContentType="application/vnd.openxmlformats-officedocument.spreadsheetml.printerSettings"/>
  <Override PartName="/xl/printerSettings/printerSettings9.bin" ContentType="application/vnd.openxmlformats-officedocument.spreadsheetml.printerSettings"/>
  <Override PartName="/xl/printerSettings/printerSettings10.bin" ContentType="application/vnd.openxmlformats-officedocument.spreadsheetml.printerSettings"/>
  <Override PartName="/xl/printerSettings/printerSettings11.bin" ContentType="application/vnd.openxmlformats-officedocument.spreadsheetml.printerSettings"/>
  <Override PartName="/xl/printerSettings/printerSettings12.bin" ContentType="application/vnd.openxmlformats-officedocument.spreadsheetml.printerSettings"/>
  <Override PartName="/xl/printerSettings/printerSettings13.bin" ContentType="application/vnd.openxmlformats-officedocument.spreadsheetml.printerSettings"/>
  <Override PartName="/xl/printerSettings/printerSettings14.bin" ContentType="application/vnd.openxmlformats-officedocument.spreadsheetml.printerSettings"/>
  <Override PartName="/xl/printerSettings/printerSettings15.bin" ContentType="application/vnd.openxmlformats-officedocument.spreadsheetml.printerSettings"/>
  <Override PartName="/xl/printerSettings/printerSettings16.bin" ContentType="application/vnd.openxmlformats-officedocument.spreadsheetml.printerSettings"/>
  <Override PartName="/xl/printerSettings/printerSettings17.bin" ContentType="application/vnd.openxmlformats-officedocument.spreadsheetml.printerSettings"/>
  <Override PartName="/xl/printerSettings/printerSettings18.bin" ContentType="application/vnd.openxmlformats-officedocument.spreadsheetml.printerSettings"/>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166925"/>
  <mc:AlternateContent xmlns:mc="http://schemas.openxmlformats.org/markup-compatibility/2006">
    <mc:Choice Requires="x15">
      <x15ac:absPath xmlns:x15ac="http://schemas.microsoft.com/office/spreadsheetml/2010/11/ac" url="C:\Users\bissellge\Desktop\NEET NY Informational Filing\"/>
    </mc:Choice>
  </mc:AlternateContent>
  <xr:revisionPtr revIDLastSave="0" documentId="8_{D011C2D5-AEB6-4E48-97AF-6B7AEA9853A2}" xr6:coauthVersionLast="47" xr6:coauthVersionMax="47" xr10:uidLastSave="{00000000-0000-0000-0000-000000000000}"/>
  <bookViews>
    <workbookView xWindow="22932" yWindow="-2256" windowWidth="23256" windowHeight="14616" tabRatio="797" firstSheet="1" activeTab="1" xr2:uid="{55F2D234-4A03-44FA-B49D-6749076EA210}"/>
  </bookViews>
  <sheets>
    <sheet name="_com.sap.ip.bi.xl.hiddensheet" sheetId="23" state="veryHidden" r:id="rId1"/>
    <sheet name="Index" sheetId="1" r:id="rId2"/>
    <sheet name="Appendix A" sheetId="2" r:id="rId3"/>
    <sheet name="1 - Revenue Credits" sheetId="3" r:id="rId4"/>
    <sheet name="2 - Cost Support " sheetId="4" r:id="rId5"/>
    <sheet name="3 - Cost Support" sheetId="5" r:id="rId6"/>
    <sheet name="3 - Cost Support (cont.)" sheetId="6" r:id="rId7"/>
    <sheet name="4 - Incentives" sheetId="7" r:id="rId8"/>
    <sheet name="5 - True-Up" sheetId="8" r:id="rId9"/>
    <sheet name="6a-ADIT Projection" sheetId="9" r:id="rId10"/>
    <sheet name="6b-ADIT Projection Proration" sheetId="10" r:id="rId11"/>
    <sheet name="6c- ADIT BOY" sheetId="11" r:id="rId12"/>
    <sheet name="6d- ADIT EOY" sheetId="12" r:id="rId13"/>
    <sheet name="6e-ADIT True-up" sheetId="13" r:id="rId14"/>
    <sheet name="6f-ADIT True-up Proration" sheetId="14" r:id="rId15"/>
    <sheet name="7- Depreciation Rates" sheetId="15" r:id="rId16"/>
    <sheet name="8a - Workpaper" sheetId="16" r:id="rId17"/>
    <sheet name="8b - WP Incentives" sheetId="17" r:id="rId18"/>
    <sheet name="8c - WP Inc Tax Adj" sheetId="18" r:id="rId19"/>
    <sheet name="Coates - Dev" sheetId="35" state="hidden" r:id="rId20"/>
    <sheet name="not used--&gt;" sheetId="32" state="hidden" r:id="rId21"/>
    <sheet name="BOBJ BS" sheetId="22" state="hidden" r:id="rId22"/>
    <sheet name="OPEX" sheetId="25" state="hidden" r:id="rId23"/>
  </sheets>
  <definedNames>
    <definedName name="\\MODAYS">#REF!</definedName>
    <definedName name="\\PDATA">#REF!</definedName>
    <definedName name="\\PROD">#REF!</definedName>
    <definedName name="\0">#REF!</definedName>
    <definedName name="\2">#N/A</definedName>
    <definedName name="\A">#REF!</definedName>
    <definedName name="\B">#REF!</definedName>
    <definedName name="\C">#REF!</definedName>
    <definedName name="\d">#REF!</definedName>
    <definedName name="\e">#REF!</definedName>
    <definedName name="\f">#REF!</definedName>
    <definedName name="\g">#REF!</definedName>
    <definedName name="\h">#REF!</definedName>
    <definedName name="\j">#REF!</definedName>
    <definedName name="\M">#REF!</definedName>
    <definedName name="\M1">#REF!</definedName>
    <definedName name="\o">#REF!</definedName>
    <definedName name="\p">#REF!</definedName>
    <definedName name="\q">#REF!</definedName>
    <definedName name="\r">#N/A</definedName>
    <definedName name="\s">#REF!</definedName>
    <definedName name="\T">#REF!</definedName>
    <definedName name="\u">#REF!</definedName>
    <definedName name="\v">#REF!</definedName>
    <definedName name="\w">#REF!</definedName>
    <definedName name="\x">#REF!</definedName>
    <definedName name="\y">#REF!</definedName>
    <definedName name="\Z">#REF!</definedName>
    <definedName name="_________hpe1">#REF!</definedName>
    <definedName name="_________hpe2">#REF!</definedName>
    <definedName name="_________hwp1">#REF!</definedName>
    <definedName name="_________hwp2">#REF!</definedName>
    <definedName name="________hpe1">#REF!</definedName>
    <definedName name="________hpe2">#REF!</definedName>
    <definedName name="________hwp1">#REF!</definedName>
    <definedName name="________hwp2">#REF!</definedName>
    <definedName name="_______APR1">#REF!</definedName>
    <definedName name="_______APR2">#REF!</definedName>
    <definedName name="_______AUG1">#REF!</definedName>
    <definedName name="_______AUG2">#REF!</definedName>
    <definedName name="_______DEC1">#REF!</definedName>
    <definedName name="_______DEC2">#REF!</definedName>
    <definedName name="_______FEB1">#REF!</definedName>
    <definedName name="_______FEB2">#REF!</definedName>
    <definedName name="_______hpe1">#REF!</definedName>
    <definedName name="_______hpe2">#REF!</definedName>
    <definedName name="_______hwp1">#REF!</definedName>
    <definedName name="_______hwp2">#REF!</definedName>
    <definedName name="_______JAN1">#REF!</definedName>
    <definedName name="_______JAN2">#REF!</definedName>
    <definedName name="_______JUL1">#REF!</definedName>
    <definedName name="_______JUL2">#REF!</definedName>
    <definedName name="_______JUN1">#REF!</definedName>
    <definedName name="_______JUN2">#REF!</definedName>
    <definedName name="_______MAR1">#REF!</definedName>
    <definedName name="_______MAR2">#REF!</definedName>
    <definedName name="_______MAY1">#REF!</definedName>
    <definedName name="_______MAY2">#REF!</definedName>
    <definedName name="_______NOV1">#REF!</definedName>
    <definedName name="_______NOV2">#REF!</definedName>
    <definedName name="_______OCT1">#REF!</definedName>
    <definedName name="_______OCT2">#REF!</definedName>
    <definedName name="_______SEP1">#REF!</definedName>
    <definedName name="_______SEP2">#REF!</definedName>
    <definedName name="______APR1">#REF!</definedName>
    <definedName name="______APR2">#REF!</definedName>
    <definedName name="______AUG1">#REF!</definedName>
    <definedName name="______AUG2">#REF!</definedName>
    <definedName name="______DEC1">#REF!</definedName>
    <definedName name="______DEC2">#REF!</definedName>
    <definedName name="______FEB1">#REF!</definedName>
    <definedName name="______FEB2">#REF!</definedName>
    <definedName name="______hpe1">#REF!</definedName>
    <definedName name="______hpe2">#REF!</definedName>
    <definedName name="______hwp1">#REF!</definedName>
    <definedName name="______hwp2">#REF!</definedName>
    <definedName name="______JAN1">#REF!</definedName>
    <definedName name="______JAN2">#REF!</definedName>
    <definedName name="______JUL1">#REF!</definedName>
    <definedName name="______JUL2">#REF!</definedName>
    <definedName name="______JUN1">#REF!</definedName>
    <definedName name="______JUN2">#REF!</definedName>
    <definedName name="______MAR1">#REF!</definedName>
    <definedName name="______MAR2">#REF!</definedName>
    <definedName name="______mat1">#REF!</definedName>
    <definedName name="______MAY1">#REF!</definedName>
    <definedName name="______MAY2">#REF!</definedName>
    <definedName name="______NOV1">#REF!</definedName>
    <definedName name="______NOV2">#REF!</definedName>
    <definedName name="______OCT1">#REF!</definedName>
    <definedName name="______OCT2">#REF!</definedName>
    <definedName name="______SEP1">#REF!</definedName>
    <definedName name="______SEP2">#REF!</definedName>
    <definedName name="_____APR1">#REF!</definedName>
    <definedName name="_____APR2">#REF!</definedName>
    <definedName name="_____AUG1">#REF!</definedName>
    <definedName name="_____AUG2">#REF!</definedName>
    <definedName name="_____dat1111">#REF!</definedName>
    <definedName name="_____DEC1">#REF!</definedName>
    <definedName name="_____DEC2">#REF!</definedName>
    <definedName name="_____FEB1">#REF!</definedName>
    <definedName name="_____FEB2">#REF!</definedName>
    <definedName name="_____hpe1">#REF!</definedName>
    <definedName name="_____hpe2">#REF!</definedName>
    <definedName name="_____hwp1">#REF!</definedName>
    <definedName name="_____hwp2">#REF!</definedName>
    <definedName name="_____IRR10">#REF!</definedName>
    <definedName name="_____JAN1">#REF!</definedName>
    <definedName name="_____JAN2">#REF!</definedName>
    <definedName name="_____JUL1">#REF!</definedName>
    <definedName name="_____JUL2">#REF!</definedName>
    <definedName name="_____JUN1">#REF!</definedName>
    <definedName name="_____JUN2">#REF!</definedName>
    <definedName name="_____MAR1">#REF!</definedName>
    <definedName name="_____MAR2">#REF!</definedName>
    <definedName name="_____mat1">#REF!</definedName>
    <definedName name="_____MAY1">#REF!</definedName>
    <definedName name="_____MAY2">#REF!</definedName>
    <definedName name="_____NOV1">#REF!</definedName>
    <definedName name="_____NOV2">#REF!</definedName>
    <definedName name="_____OCT1">#REF!</definedName>
    <definedName name="_____OCT2">#REF!</definedName>
    <definedName name="_____SEP1">#REF!</definedName>
    <definedName name="_____SEP2">#REF!</definedName>
    <definedName name="____APR1">#REF!</definedName>
    <definedName name="____APR2">#REF!</definedName>
    <definedName name="____AUG1">#REF!</definedName>
    <definedName name="____AUG2">#REF!</definedName>
    <definedName name="____dat1111">#REF!</definedName>
    <definedName name="____DEC1">#REF!</definedName>
    <definedName name="____DEC2">#REF!</definedName>
    <definedName name="____FEB1">#REF!</definedName>
    <definedName name="____FEB2">#REF!</definedName>
    <definedName name="____hpe1">#REF!</definedName>
    <definedName name="____hpe2">#REF!</definedName>
    <definedName name="____hwp1">#REF!</definedName>
    <definedName name="____hwp2">#REF!</definedName>
    <definedName name="____INP1">#REF!</definedName>
    <definedName name="____INP2">#REF!</definedName>
    <definedName name="____INP3">#REF!</definedName>
    <definedName name="____INP4">#REF!</definedName>
    <definedName name="____INP5">#REF!</definedName>
    <definedName name="____INP6">#REF!</definedName>
    <definedName name="____JAN1">#REF!</definedName>
    <definedName name="____JAN2">#REF!</definedName>
    <definedName name="____JUL1">#REF!</definedName>
    <definedName name="____JUL2">#REF!</definedName>
    <definedName name="____JUN1">#REF!</definedName>
    <definedName name="____JUN2">#REF!</definedName>
    <definedName name="____MAR1">#REF!</definedName>
    <definedName name="____MAR2">#REF!</definedName>
    <definedName name="____MAY1">#REF!</definedName>
    <definedName name="____MAY2">#REF!</definedName>
    <definedName name="____NOV1">#REF!</definedName>
    <definedName name="____NOV2">#REF!</definedName>
    <definedName name="____OCT1">#REF!</definedName>
    <definedName name="____OCT2">#REF!</definedName>
    <definedName name="____SEP1">#REF!</definedName>
    <definedName name="____SEP2">#REF!</definedName>
    <definedName name="____W.O.R.K.B.O.O.K..C.O.N.T.E.N.T.S____">#REF!</definedName>
    <definedName name="___APR1">#REF!</definedName>
    <definedName name="___APR2">#REF!</definedName>
    <definedName name="___AUG1">#REF!</definedName>
    <definedName name="___AUG2">#REF!</definedName>
    <definedName name="___DAT1">#REF!</definedName>
    <definedName name="___DAT10">#REF!</definedName>
    <definedName name="___DAT11">#REF!</definedName>
    <definedName name="___dat1111">#REF!</definedName>
    <definedName name="___DAT12">#REF!</definedName>
    <definedName name="___DAT13">#REF!</definedName>
    <definedName name="___DAT14">#REF!</definedName>
    <definedName name="___DAT15">#REF!</definedName>
    <definedName name="___DAT16">#REF!</definedName>
    <definedName name="___DAT17">#REF!</definedName>
    <definedName name="___DAT18">#REF!</definedName>
    <definedName name="___DAT19">#REF!</definedName>
    <definedName name="___DAT2">#REF!</definedName>
    <definedName name="___DAT20">#REF!</definedName>
    <definedName name="___DAT21">#REF!</definedName>
    <definedName name="___DAT22">#REF!</definedName>
    <definedName name="___DAT5">#REF!</definedName>
    <definedName name="___DAT6">#REF!</definedName>
    <definedName name="___DAT7">#REF!</definedName>
    <definedName name="___DAT8">#REF!</definedName>
    <definedName name="___DAT9">#REF!</definedName>
    <definedName name="___DEC1">#REF!</definedName>
    <definedName name="___DEC2">#REF!</definedName>
    <definedName name="___FEB1">#REF!</definedName>
    <definedName name="___FEB2">#REF!</definedName>
    <definedName name="___hpe1">#REF!</definedName>
    <definedName name="___hpe2">#REF!</definedName>
    <definedName name="___hwp1">#REF!</definedName>
    <definedName name="___hwp2">#REF!</definedName>
    <definedName name="___INP3">#REF!</definedName>
    <definedName name="___INP4">#REF!</definedName>
    <definedName name="___INP5">#REF!</definedName>
    <definedName name="___INP6">#REF!</definedName>
    <definedName name="___INP8">#REF!</definedName>
    <definedName name="___IRR10">#REF!</definedName>
    <definedName name="___JAN1">#REF!</definedName>
    <definedName name="___JAN2">#REF!</definedName>
    <definedName name="___JUL1">#REF!</definedName>
    <definedName name="___JUL2">#REF!</definedName>
    <definedName name="___JUN1">#REF!</definedName>
    <definedName name="___JUN2">#REF!</definedName>
    <definedName name="___MAR1">#REF!</definedName>
    <definedName name="___MAR2">#REF!</definedName>
    <definedName name="___mat1">#REF!</definedName>
    <definedName name="___MAY1">#REF!</definedName>
    <definedName name="___MAY2">#REF!</definedName>
    <definedName name="___mm2001">#REF!</definedName>
    <definedName name="___mm2002">#REF!</definedName>
    <definedName name="___mm2003">#REF!</definedName>
    <definedName name="___mm2004">#REF!</definedName>
    <definedName name="___mm2005">#REF!</definedName>
    <definedName name="___Moj16">#REF!</definedName>
    <definedName name="___Moj18">#REF!</definedName>
    <definedName name="___NOV1">#REF!</definedName>
    <definedName name="___NOV2">#REF!</definedName>
    <definedName name="___OCT1">#REF!</definedName>
    <definedName name="___OCT2">#REF!</definedName>
    <definedName name="___SEP1">#REF!</definedName>
    <definedName name="___SEP2">#REF!</definedName>
    <definedName name="__123Graph_A" localSheetId="18" hidden="1">#REF!</definedName>
    <definedName name="__123Graph_A" hidden="1">#REF!</definedName>
    <definedName name="__123Graph_A1991" localSheetId="18" hidden="1">#REF!</definedName>
    <definedName name="__123Graph_A1991" hidden="1">#REF!</definedName>
    <definedName name="__123Graph_A1992" localSheetId="18" hidden="1">#REF!</definedName>
    <definedName name="__123Graph_A1992" hidden="1">#REF!</definedName>
    <definedName name="__123Graph_A1993" localSheetId="18" hidden="1">#REF!</definedName>
    <definedName name="__123Graph_A1993" hidden="1">#REF!</definedName>
    <definedName name="__123Graph_A1994" localSheetId="18" hidden="1">#REF!</definedName>
    <definedName name="__123Graph_A1994" hidden="1">#REF!</definedName>
    <definedName name="__123Graph_A1995" hidden="1">#REF!</definedName>
    <definedName name="__123Graph_A1996" hidden="1">#REF!</definedName>
    <definedName name="__123Graph_ABAR" hidden="1">#REF!</definedName>
    <definedName name="__123Graph_B" hidden="1">#REF!</definedName>
    <definedName name="__123Graph_B1991" hidden="1">#REF!</definedName>
    <definedName name="__123Graph_B1992" hidden="1">#REF!</definedName>
    <definedName name="__123Graph_B1993" hidden="1">#REF!</definedName>
    <definedName name="__123Graph_B1994" hidden="1">#REF!</definedName>
    <definedName name="__123Graph_B1995" hidden="1">#REF!</definedName>
    <definedName name="__123Graph_B1996" hidden="1">#REF!</definedName>
    <definedName name="__123Graph_BBAR" hidden="1">#REF!</definedName>
    <definedName name="__123Graph_CBAR" hidden="1">#REF!</definedName>
    <definedName name="__123Graph_D" hidden="1">#REF!</definedName>
    <definedName name="__123Graph_DBAR" hidden="1">#REF!</definedName>
    <definedName name="__123Graph_EBAR" hidden="1">#REF!</definedName>
    <definedName name="__123Graph_FBAR" hidden="1">#REF!</definedName>
    <definedName name="__123Graph_X" hidden="1">#REF!</definedName>
    <definedName name="__123Graph_X1991" hidden="1">#REF!</definedName>
    <definedName name="__123Graph_X1992" hidden="1">#REF!</definedName>
    <definedName name="__123Graph_X1993" hidden="1">#REF!</definedName>
    <definedName name="__123Graph_X1994" hidden="1">#REF!</definedName>
    <definedName name="__123Graph_X1995" hidden="1">#REF!</definedName>
    <definedName name="__123Graph_X1996" hidden="1">#REF!</definedName>
    <definedName name="__APR1">#REF!</definedName>
    <definedName name="__APR2">#REF!</definedName>
    <definedName name="__AUG1">#REF!</definedName>
    <definedName name="__AUG2">#REF!</definedName>
    <definedName name="__DAT1">#REF!</definedName>
    <definedName name="__DAT10">#REF!</definedName>
    <definedName name="__DAT11">#REF!</definedName>
    <definedName name="__dat1111">#REF!</definedName>
    <definedName name="__DAT12">#REF!</definedName>
    <definedName name="__DAT13">#REF!</definedName>
    <definedName name="__DAT14">#REF!</definedName>
    <definedName name="__DAT15">#REF!</definedName>
    <definedName name="__DAT16">#REF!</definedName>
    <definedName name="__DAT17">#REF!</definedName>
    <definedName name="__DAT18">#REF!</definedName>
    <definedName name="__DAT19">#REF!</definedName>
    <definedName name="__DAT2">#REF!</definedName>
    <definedName name="__DAT20">#REF!</definedName>
    <definedName name="__DAT21">#REF!</definedName>
    <definedName name="__DAT22">#REF!</definedName>
    <definedName name="__DAT3">#REF!</definedName>
    <definedName name="__DAT4">#REF!</definedName>
    <definedName name="__DAT5">#REF!</definedName>
    <definedName name="__DAT6">#REF!</definedName>
    <definedName name="__DAT7">#REF!</definedName>
    <definedName name="__DAT8">#REF!</definedName>
    <definedName name="__DAT9">#REF!</definedName>
    <definedName name="__DEC1">#REF!</definedName>
    <definedName name="__DEC2">#REF!</definedName>
    <definedName name="__FEB1">#REF!</definedName>
    <definedName name="__FEB2">#REF!</definedName>
    <definedName name="__hpe1">#REF!</definedName>
    <definedName name="__hpe2">#REF!</definedName>
    <definedName name="__hwp1">#REF!</definedName>
    <definedName name="__hwp2">#REF!</definedName>
    <definedName name="__inf2000">#REF!</definedName>
    <definedName name="__inf2001">#REF!</definedName>
    <definedName name="__inf2002">#REF!</definedName>
    <definedName name="__inf2003">#REF!</definedName>
    <definedName name="__inf2004">#REF!</definedName>
    <definedName name="__inf2005">#REF!</definedName>
    <definedName name="__inf2006">#REF!</definedName>
    <definedName name="__inf2007">#REF!</definedName>
    <definedName name="__inf2008">#REF!</definedName>
    <definedName name="__inf2009">#REF!</definedName>
    <definedName name="__INP1">#REF!</definedName>
    <definedName name="__INP2">#REF!</definedName>
    <definedName name="__INP3">#REF!</definedName>
    <definedName name="__INP4">#REF!</definedName>
    <definedName name="__INP5">#REF!</definedName>
    <definedName name="__INP6">#REF!</definedName>
    <definedName name="__JAN1">#REF!</definedName>
    <definedName name="__JAN2">#REF!</definedName>
    <definedName name="__JUL1">#REF!</definedName>
    <definedName name="__JUL2">#REF!</definedName>
    <definedName name="__JUN1">#REF!</definedName>
    <definedName name="__JUN2">#REF!</definedName>
    <definedName name="__MAR1">#REF!</definedName>
    <definedName name="__MAR2">#REF!</definedName>
    <definedName name="__MAY1">#REF!</definedName>
    <definedName name="__MAY2">#REF!</definedName>
    <definedName name="__mm2001">#REF!</definedName>
    <definedName name="__mm2002">#REF!</definedName>
    <definedName name="__mm2003">#REF!</definedName>
    <definedName name="__mm2004">#REF!</definedName>
    <definedName name="__mm2005">#REF!</definedName>
    <definedName name="__Moj16">#REF!</definedName>
    <definedName name="__Moj18">#REF!</definedName>
    <definedName name="__NOV1">#REF!</definedName>
    <definedName name="__NOV2">#REF!</definedName>
    <definedName name="__OCT1">#REF!</definedName>
    <definedName name="__OCT2">#REF!</definedName>
    <definedName name="__PTP96">#REF!</definedName>
    <definedName name="__rm9" localSheetId="18" hidden="1">{"detail305",#N/A,FALSE,"BI-305"}</definedName>
    <definedName name="__rm9" hidden="1">{"detail305",#N/A,FALSE,"BI-305"}</definedName>
    <definedName name="__SEP1">#REF!</definedName>
    <definedName name="__SEP2">#REF!</definedName>
    <definedName name="__TAD1">#REF!</definedName>
    <definedName name="__TAD2">#REF!</definedName>
    <definedName name="__TAD3">#REF!</definedName>
    <definedName name="_1_">#REF!</definedName>
    <definedName name="_1__123Graph_XCHART_2" hidden="1">#REF!</definedName>
    <definedName name="_1_0c">#REF!</definedName>
    <definedName name="_1_2005_Plan_Descriptions___Methodologies">#REF!</definedName>
    <definedName name="_10_0calculat">#REF!</definedName>
    <definedName name="_10C_58">#REF!</definedName>
    <definedName name="_11D_1">#REF!</definedName>
    <definedName name="_12PG_1">#REF!</definedName>
    <definedName name="_13_0jen">#REF!</definedName>
    <definedName name="_14_0jen">#REF!</definedName>
    <definedName name="_1961COPY">#REF!</definedName>
    <definedName name="_1962">#REF!</definedName>
    <definedName name="_1963">#REF!</definedName>
    <definedName name="_1964">#REF!</definedName>
    <definedName name="_1965">#REF!</definedName>
    <definedName name="_1966">#REF!</definedName>
    <definedName name="_1967">#REF!</definedName>
    <definedName name="_1968">#REF!</definedName>
    <definedName name="_1969">#REF!</definedName>
    <definedName name="_1970">#REF!</definedName>
    <definedName name="_1971">#REF!</definedName>
    <definedName name="_1972">#REF!</definedName>
    <definedName name="_1973">#REF!</definedName>
    <definedName name="_1974">#REF!</definedName>
    <definedName name="_1975">#REF!</definedName>
    <definedName name="_1976">#REF!</definedName>
    <definedName name="_1977">#REF!</definedName>
    <definedName name="_1978">#REF!</definedName>
    <definedName name="_1979">#REF!</definedName>
    <definedName name="_1980">#REF!</definedName>
    <definedName name="_1981">#REF!</definedName>
    <definedName name="_1982">#REF!</definedName>
    <definedName name="_1983">#REF!</definedName>
    <definedName name="_1984">#REF!</definedName>
    <definedName name="_1985">#REF!</definedName>
    <definedName name="_1986">#REF!</definedName>
    <definedName name="_1987">#REF!</definedName>
    <definedName name="_1988">#REF!</definedName>
    <definedName name="_1989">#REF!</definedName>
    <definedName name="_1990">#REF!</definedName>
    <definedName name="_1991">#REF!</definedName>
    <definedName name="_1992">#REF!</definedName>
    <definedName name="_1993">#REF!</definedName>
    <definedName name="_1B_6">#REF!</definedName>
    <definedName name="_1E_1">#N/A</definedName>
    <definedName name="_2_">#REF!</definedName>
    <definedName name="_2_0calculat">#REF!</definedName>
    <definedName name="_2001E_EBITDA_Multiple">#REF!</definedName>
    <definedName name="_3_0c">#REF!</definedName>
    <definedName name="_3_0jen">#REF!</definedName>
    <definedName name="_31_Dec_00">#REF!</definedName>
    <definedName name="_31_Jan_01">#REF!</definedName>
    <definedName name="_331">#REF!</definedName>
    <definedName name="_3C_12">#REF!</definedName>
    <definedName name="_4_0calculat">#REF!</definedName>
    <definedName name="_4c">#REF!</definedName>
    <definedName name="_4C_2">#REF!</definedName>
    <definedName name="_5_0c">#REF!</definedName>
    <definedName name="_5_0jen">#REF!</definedName>
    <definedName name="_5calculat">#REF!</definedName>
    <definedName name="_6_0c">#REF!</definedName>
    <definedName name="_6c">#REF!</definedName>
    <definedName name="_6C_38B">#REF!</definedName>
    <definedName name="_6jen">#REF!</definedName>
    <definedName name="_7calculat">#REF!</definedName>
    <definedName name="_8C_56">#REF!</definedName>
    <definedName name="_8jen">#REF!</definedName>
    <definedName name="_9_0calculat">#REF!</definedName>
    <definedName name="_94SALES">#REF!</definedName>
    <definedName name="_A">#REF!</definedName>
    <definedName name="_a1111" localSheetId="18" hidden="1">{"Cash Budget",#N/A,FALSE,"98 Cash";"Running Cash Budget",#N/A,FALSE,"98 Cash";"Actual Cash",#N/A,FALSE,"98 Cash";"Update Cash Budget",#N/A,FALSE,"98 Cash"}</definedName>
    <definedName name="_a1111" hidden="1">{"Cash Budget",#N/A,FALSE,"98 Cash";"Running Cash Budget",#N/A,FALSE,"98 Cash";"Actual Cash",#N/A,FALSE,"98 Cash";"Update Cash Budget",#N/A,FALSE,"98 Cash"}</definedName>
    <definedName name="_ACD1">#REF!</definedName>
    <definedName name="_ACD2">#REF!</definedName>
    <definedName name="_ACD3">#REF!</definedName>
    <definedName name="_ACQ1">#REF!</definedName>
    <definedName name="_ACQ10">#REF!</definedName>
    <definedName name="_ACQ11">#REF!</definedName>
    <definedName name="_ACQ12">#REF!</definedName>
    <definedName name="_ACQ13">#REF!</definedName>
    <definedName name="_ACQ14">#REF!</definedName>
    <definedName name="_ACQ15">#REF!</definedName>
    <definedName name="_ACQ16">#REF!</definedName>
    <definedName name="_ACQ17">#REF!</definedName>
    <definedName name="_ACQ18">#REF!</definedName>
    <definedName name="_ACQ19">#REF!</definedName>
    <definedName name="_ACQ2">#REF!</definedName>
    <definedName name="_ACQ20">#REF!</definedName>
    <definedName name="_ACQ21">#REF!</definedName>
    <definedName name="_ACQ22">#REF!</definedName>
    <definedName name="_ACQ23">#REF!</definedName>
    <definedName name="_ACQ24">#REF!</definedName>
    <definedName name="_ACQ25">#REF!</definedName>
    <definedName name="_ACQ26">#REF!</definedName>
    <definedName name="_ACQ27">#REF!</definedName>
    <definedName name="_ACQ28">#REF!</definedName>
    <definedName name="_ACQ29">#REF!</definedName>
    <definedName name="_ACQ3">#REF!</definedName>
    <definedName name="_ACQ30">#REF!</definedName>
    <definedName name="_ACQ31">#REF!</definedName>
    <definedName name="_ACQ32">#REF!</definedName>
    <definedName name="_ACQ33">#REF!</definedName>
    <definedName name="_ACQ34">#REF!</definedName>
    <definedName name="_ACQ35">#REF!</definedName>
    <definedName name="_ACQ36">#REF!</definedName>
    <definedName name="_ACQ37">#REF!</definedName>
    <definedName name="_ACQ38">#REF!</definedName>
    <definedName name="_ACQ39">#REF!</definedName>
    <definedName name="_ACQ4">#REF!</definedName>
    <definedName name="_ACQ40">#REF!</definedName>
    <definedName name="_ACQ41">#REF!</definedName>
    <definedName name="_ACQ42">#REF!</definedName>
    <definedName name="_ACQ43">#REF!</definedName>
    <definedName name="_ACQ44">#REF!</definedName>
    <definedName name="_ACQ45">#REF!</definedName>
    <definedName name="_ACQ46">#REF!</definedName>
    <definedName name="_ACQ47">#REF!</definedName>
    <definedName name="_ACQ48">#REF!</definedName>
    <definedName name="_ACQ49">#REF!</definedName>
    <definedName name="_ACQ5">#REF!</definedName>
    <definedName name="_ACQ50">#REF!</definedName>
    <definedName name="_ACQ6">#REF!</definedName>
    <definedName name="_ACQ7">#REF!</definedName>
    <definedName name="_ACQ8">#REF!</definedName>
    <definedName name="_ACQ9">#REF!</definedName>
    <definedName name="_act1">#REF!</definedName>
    <definedName name="_act2">#REF!</definedName>
    <definedName name="_ALB1">#REF!</definedName>
    <definedName name="_ALB10">#REF!</definedName>
    <definedName name="_ALB11">#REF!</definedName>
    <definedName name="_ALB12">#REF!</definedName>
    <definedName name="_ALB13">#REF!</definedName>
    <definedName name="_ALB14">#REF!</definedName>
    <definedName name="_ALB15">#REF!</definedName>
    <definedName name="_ALB16">#REF!</definedName>
    <definedName name="_ALB17">#REF!</definedName>
    <definedName name="_ALB18">#REF!</definedName>
    <definedName name="_ALB19">#REF!</definedName>
    <definedName name="_ALB2">#REF!</definedName>
    <definedName name="_ALB20">#REF!</definedName>
    <definedName name="_ALB23">#REF!</definedName>
    <definedName name="_ALB24">#REF!</definedName>
    <definedName name="_ALB26">#REF!</definedName>
    <definedName name="_ALB27">#REF!</definedName>
    <definedName name="_ALB28">#REF!</definedName>
    <definedName name="_ALB29">#REF!</definedName>
    <definedName name="_ALB3">#REF!</definedName>
    <definedName name="_ALB30">#REF!</definedName>
    <definedName name="_ALB31">#REF!</definedName>
    <definedName name="_ALB32">#REF!</definedName>
    <definedName name="_ALB33">#REF!</definedName>
    <definedName name="_ALB35">#REF!</definedName>
    <definedName name="_ALB38">#REF!</definedName>
    <definedName name="_ALB39">#REF!</definedName>
    <definedName name="_ALB4">#REF!</definedName>
    <definedName name="_ALB40">#REF!</definedName>
    <definedName name="_ALB41">#REF!</definedName>
    <definedName name="_ALB43">#REF!</definedName>
    <definedName name="_ALB44">#REF!</definedName>
    <definedName name="_ALB45">#REF!</definedName>
    <definedName name="_ALB46">#REF!</definedName>
    <definedName name="_ALB47">#REF!</definedName>
    <definedName name="_ALB48">#REF!</definedName>
    <definedName name="_ALB5">#REF!</definedName>
    <definedName name="_ALB6">#REF!</definedName>
    <definedName name="_ALB7">#REF!</definedName>
    <definedName name="_ALB8">#REF!</definedName>
    <definedName name="_ALB9">#REF!</definedName>
    <definedName name="_ALK1">#REF!</definedName>
    <definedName name="_ALK2">#REF!</definedName>
    <definedName name="_ALK3">#REF!</definedName>
    <definedName name="_APR1">#REF!</definedName>
    <definedName name="_APR2">#REF!</definedName>
    <definedName name="_asd2">#REF!</definedName>
    <definedName name="_ATPRegress_Dlg_Results" localSheetId="18" hidden="1">{2;#N/A;"R13C16:R17C16";#N/A;"R13C14:R17C15";FALSE;FALSE;FALSE;95;#N/A;#N/A;"R13C19";#N/A;FALSE;FALSE;FALSE;FALSE;#N/A;"";#N/A;FALSE;"";"";#N/A;#N/A;#N/A}</definedName>
    <definedName name="_ATPRegress_Dlg_Results" hidden="1">{2;#N/A;"R13C16:R17C16";#N/A;"R13C14:R17C15";FALSE;FALSE;FALSE;95;#N/A;#N/A;"R13C19";#N/A;FALSE;FALSE;FALSE;FALSE;#N/A;"";#N/A;FALSE;"";"";#N/A;#N/A;#N/A}</definedName>
    <definedName name="_ATPRegress_Dlg_Types" localSheetId="18" hidden="1">{"EXCELHLP.HLP!1802";5;10;5;10;13;13;13;8;5;5;10;14;13;13;13;13;5;10;14;13;5;10;1;2;24}</definedName>
    <definedName name="_ATPRegress_Dlg_Types" hidden="1">{"EXCELHLP.HLP!1802";5;10;5;10;13;13;13;8;5;5;10;14;13;13;13;13;5;10;14;13;5;10;1;2;24}</definedName>
    <definedName name="_ATPRegress_Range1" hidden="1">#REF!</definedName>
    <definedName name="_ATPRegress_Range2" hidden="1">#REF!</definedName>
    <definedName name="_ATPRegress_Range3" hidden="1">#REF!</definedName>
    <definedName name="_ATPRegress_Range4" hidden="1">"="</definedName>
    <definedName name="_ATPRegress_Range5" hidden="1">"="</definedName>
    <definedName name="_AUG1">#REF!</definedName>
    <definedName name="_AUG2">#REF!</definedName>
    <definedName name="_B">#REF!</definedName>
    <definedName name="_BAL1">#REF!</definedName>
    <definedName name="_bal2">#REF!</definedName>
    <definedName name="_BLM11">#REF!</definedName>
    <definedName name="_BLM12">#REF!</definedName>
    <definedName name="_bud1">#REF!</definedName>
    <definedName name="_bud2">#REF!</definedName>
    <definedName name="_C">#REF!</definedName>
    <definedName name="_Check_Input">#REF!</definedName>
    <definedName name="_Checks">#REF!</definedName>
    <definedName name="_COM1">#REF!</definedName>
    <definedName name="_COM10">#REF!</definedName>
    <definedName name="_COM11">#REF!</definedName>
    <definedName name="_COM12">#REF!</definedName>
    <definedName name="_COM13">#REF!</definedName>
    <definedName name="_COM14">#REF!</definedName>
    <definedName name="_COM15">#REF!</definedName>
    <definedName name="_COM16">#REF!</definedName>
    <definedName name="_COM17">#REF!</definedName>
    <definedName name="_COM18">#REF!</definedName>
    <definedName name="_COM19">#REF!</definedName>
    <definedName name="_COM2">#REF!</definedName>
    <definedName name="_COM20">#REF!</definedName>
    <definedName name="_COM21">#REF!</definedName>
    <definedName name="_COM22">#REF!</definedName>
    <definedName name="_COM23">#REF!</definedName>
    <definedName name="_COM24">#REF!</definedName>
    <definedName name="_COM25">#REF!</definedName>
    <definedName name="_COM26">#REF!</definedName>
    <definedName name="_COM27">#REF!</definedName>
    <definedName name="_COM28">#REF!</definedName>
    <definedName name="_COM29">#REF!</definedName>
    <definedName name="_COM3">#REF!</definedName>
    <definedName name="_COM30">#REF!</definedName>
    <definedName name="_COM31">#REF!</definedName>
    <definedName name="_COM32">#REF!</definedName>
    <definedName name="_COM33">#REF!</definedName>
    <definedName name="_COM34">#REF!</definedName>
    <definedName name="_COM35">#REF!</definedName>
    <definedName name="_COM36">#REF!</definedName>
    <definedName name="_COM37">#REF!</definedName>
    <definedName name="_COM38">#REF!</definedName>
    <definedName name="_COM39">#REF!</definedName>
    <definedName name="_COM4">#REF!</definedName>
    <definedName name="_COM40">#REF!</definedName>
    <definedName name="_COM41">#REF!</definedName>
    <definedName name="_COM42">#REF!</definedName>
    <definedName name="_COM43">#REF!</definedName>
    <definedName name="_COM44">#REF!</definedName>
    <definedName name="_COM45">#REF!</definedName>
    <definedName name="_COM46">#REF!</definedName>
    <definedName name="_COM47">#REF!</definedName>
    <definedName name="_COM48">#REF!</definedName>
    <definedName name="_COM49">#REF!</definedName>
    <definedName name="_COM5">#REF!</definedName>
    <definedName name="_COM50">#REF!</definedName>
    <definedName name="_COM6">#REF!</definedName>
    <definedName name="_COM7">#REF!</definedName>
    <definedName name="_COM8">#REF!</definedName>
    <definedName name="_COM9">#REF!</definedName>
    <definedName name="_cpi2007">#REF!</definedName>
    <definedName name="_cpi2008">#REF!</definedName>
    <definedName name="_cpi2009">#REF!</definedName>
    <definedName name="_cpi2010">#REF!</definedName>
    <definedName name="_cpi2011">#REF!</definedName>
    <definedName name="_CPY1">#REF!</definedName>
    <definedName name="_CPY2">#REF!</definedName>
    <definedName name="_CPY3">#REF!</definedName>
    <definedName name="_CTG1">#REF!</definedName>
    <definedName name="_CTG2">#REF!</definedName>
    <definedName name="_CTG3">#REF!</definedName>
    <definedName name="_CTG4">#REF!</definedName>
    <definedName name="_CurrCase">#REF!</definedName>
    <definedName name="_DAT1">#REF!</definedName>
    <definedName name="_DAT10">#REF!</definedName>
    <definedName name="_DAT11">#REF!</definedName>
    <definedName name="_dat1111">#REF!</definedName>
    <definedName name="_DAT12">#REF!</definedName>
    <definedName name="_DAT13">#REF!</definedName>
    <definedName name="_DAT14">#REF!</definedName>
    <definedName name="_DAT15">#REF!</definedName>
    <definedName name="_DAT16">#REF!</definedName>
    <definedName name="_DAT17">#REF!</definedName>
    <definedName name="_DAT18">#REF!</definedName>
    <definedName name="_DAT19">#REF!</definedName>
    <definedName name="_DAT2">#REF!</definedName>
    <definedName name="_DAT20">#REF!</definedName>
    <definedName name="_DAT21">#REF!</definedName>
    <definedName name="_DAT22">#REF!</definedName>
    <definedName name="_DAT23">#REF!</definedName>
    <definedName name="_DAT24">#REF!</definedName>
    <definedName name="_DAT25">#REF!</definedName>
    <definedName name="_DAT26">#REF!</definedName>
    <definedName name="_DAT27">#REF!</definedName>
    <definedName name="_DAT28">#REF!</definedName>
    <definedName name="_DAT29">#REF!</definedName>
    <definedName name="_DAT3">#REF!</definedName>
    <definedName name="_DAT30">#REF!</definedName>
    <definedName name="_DAT31">#REF!</definedName>
    <definedName name="_DAT32">#REF!</definedName>
    <definedName name="_DAT33">#REF!</definedName>
    <definedName name="_DAT34">#REF!</definedName>
    <definedName name="_DAT35">#REF!</definedName>
    <definedName name="_DAT36">#REF!</definedName>
    <definedName name="_DAT4">#REF!</definedName>
    <definedName name="_DAT5">#REF!</definedName>
    <definedName name="_DAT6">#REF!</definedName>
    <definedName name="_DAT7">#REF!</definedName>
    <definedName name="_DAT8">#REF!</definedName>
    <definedName name="_DAT9">#REF!</definedName>
    <definedName name="_Data_Query">#REF!</definedName>
    <definedName name="_Data_Query2">#REF!</definedName>
    <definedName name="_DEC1">#REF!</definedName>
    <definedName name="_DEC2">#REF!</definedName>
    <definedName name="_DIC1">#REF!</definedName>
    <definedName name="_DIC2">#REF!</definedName>
    <definedName name="_End_Yr">#REF!</definedName>
    <definedName name="_EndYr2">#REF!</definedName>
    <definedName name="_EST1">#REF!</definedName>
    <definedName name="_EST10">#REF!</definedName>
    <definedName name="_EST11">#REF!</definedName>
    <definedName name="_EST12">#REF!</definedName>
    <definedName name="_EST13">#REF!</definedName>
    <definedName name="_EST14">#REF!</definedName>
    <definedName name="_EST15">#REF!</definedName>
    <definedName name="_EST16">#REF!</definedName>
    <definedName name="_EST17">#REF!</definedName>
    <definedName name="_EST18">#REF!</definedName>
    <definedName name="_EST19">#REF!</definedName>
    <definedName name="_EST2">#REF!</definedName>
    <definedName name="_EST20">#REF!</definedName>
    <definedName name="_EST21">#REF!</definedName>
    <definedName name="_EST22">#REF!</definedName>
    <definedName name="_EST23">#REF!</definedName>
    <definedName name="_EST24">#REF!</definedName>
    <definedName name="_EST25">#REF!</definedName>
    <definedName name="_EST26">#REF!</definedName>
    <definedName name="_EST27">#REF!</definedName>
    <definedName name="_EST28">#REF!</definedName>
    <definedName name="_EST29">#REF!</definedName>
    <definedName name="_EST3">#REF!</definedName>
    <definedName name="_EST30">#REF!</definedName>
    <definedName name="_EST31">#REF!</definedName>
    <definedName name="_EST32">#REF!</definedName>
    <definedName name="_EST33">#REF!</definedName>
    <definedName name="_EST34">#REF!</definedName>
    <definedName name="_EST35">#REF!</definedName>
    <definedName name="_EST36">#REF!</definedName>
    <definedName name="_EST37">#REF!</definedName>
    <definedName name="_EST38">#REF!</definedName>
    <definedName name="_EST39">#REF!</definedName>
    <definedName name="_EST4">#REF!</definedName>
    <definedName name="_EST40">#REF!</definedName>
    <definedName name="_EST41">#REF!</definedName>
    <definedName name="_EST42">#REF!</definedName>
    <definedName name="_EST43">#REF!</definedName>
    <definedName name="_EST44">#REF!</definedName>
    <definedName name="_EST45">#REF!</definedName>
    <definedName name="_EST46">#REF!</definedName>
    <definedName name="_EST47">#REF!</definedName>
    <definedName name="_EST48">#REF!</definedName>
    <definedName name="_EST49">#REF!</definedName>
    <definedName name="_EST5">#REF!</definedName>
    <definedName name="_EST50">#REF!</definedName>
    <definedName name="_EST6">#REF!</definedName>
    <definedName name="_EST7">#REF!</definedName>
    <definedName name="_EST8">#REF!</definedName>
    <definedName name="_EST9">#REF!</definedName>
    <definedName name="_FC_ID">#REF!</definedName>
    <definedName name="_FC_Query">#REF!</definedName>
    <definedName name="_FC_Table">#REF!</definedName>
    <definedName name="_FEB1">#REF!</definedName>
    <definedName name="_FEB1a">#REF!</definedName>
    <definedName name="_FEB2">#REF!</definedName>
    <definedName name="_FFO1">#REF!</definedName>
    <definedName name="_FFO2">#REF!</definedName>
    <definedName name="_FFO3">#REF!</definedName>
    <definedName name="_FFO4">#REF!</definedName>
    <definedName name="_Fill" localSheetId="8" hidden="1">#REF!</definedName>
    <definedName name="_Fill" localSheetId="9" hidden="1">#REF!</definedName>
    <definedName name="_Fill" localSheetId="10" hidden="1">#REF!</definedName>
    <definedName name="_Fill" localSheetId="13" hidden="1">#REF!</definedName>
    <definedName name="_Fill" localSheetId="14" hidden="1">#REF!</definedName>
    <definedName name="_Fill" localSheetId="15" hidden="1">#REF!</definedName>
    <definedName name="_Fill" localSheetId="18" hidden="1">#REF!</definedName>
    <definedName name="_Fill" hidden="1">#REF!</definedName>
    <definedName name="_FLL2" localSheetId="18" hidden="1">#REF!</definedName>
    <definedName name="_FLL2" hidden="1">#REF!</definedName>
    <definedName name="_FMA1">#REF!</definedName>
    <definedName name="_FMA2">#REF!</definedName>
    <definedName name="_ftn1" localSheetId="2">'Appendix A'!$D$9</definedName>
    <definedName name="_ftnref1" localSheetId="2">'Appendix A'!$D$6</definedName>
    <definedName name="_GECCBID">#REF!</definedName>
    <definedName name="_hpe1">#REF!</definedName>
    <definedName name="_hpe2">#REF!</definedName>
    <definedName name="_hwp1">#REF!</definedName>
    <definedName name="_hwp2">#REF!</definedName>
    <definedName name="_inf2000">#REF!</definedName>
    <definedName name="_inf2001">#REF!</definedName>
    <definedName name="_inf2002">#REF!</definedName>
    <definedName name="_inf2003">#REF!</definedName>
    <definedName name="_inf2004">#REF!</definedName>
    <definedName name="_inf2005">#REF!</definedName>
    <definedName name="_inf2006">#REF!</definedName>
    <definedName name="_inf2007">#REF!</definedName>
    <definedName name="_inf2008">#REF!</definedName>
    <definedName name="_inf2009">#REF!</definedName>
    <definedName name="_inf2010">#REF!</definedName>
    <definedName name="_inf2011">#REF!</definedName>
    <definedName name="_INP1">#REF!</definedName>
    <definedName name="_INP2">#REF!</definedName>
    <definedName name="_INP3">#REF!</definedName>
    <definedName name="_INP4">#REF!</definedName>
    <definedName name="_INP5">#REF!</definedName>
    <definedName name="_INP6">#REF!</definedName>
    <definedName name="_INP8">#REF!</definedName>
    <definedName name="_IRR10">#REF!</definedName>
    <definedName name="_JAN1">#REF!</definedName>
    <definedName name="_JAN2">#REF!</definedName>
    <definedName name="_JUL1">#REF!</definedName>
    <definedName name="_JUL2">#REF!</definedName>
    <definedName name="_JUN1">#REF!</definedName>
    <definedName name="_JUN2">#REF!</definedName>
    <definedName name="_Key1" localSheetId="18" hidden="1">#REF!</definedName>
    <definedName name="_Key1" hidden="1">#REF!</definedName>
    <definedName name="_Key2" localSheetId="18" hidden="1">#REF!</definedName>
    <definedName name="_Key2" hidden="1">#REF!</definedName>
    <definedName name="_LB1">#REF!</definedName>
    <definedName name="_LB10">#REF!</definedName>
    <definedName name="_LB11">#REF!</definedName>
    <definedName name="_LB12">#REF!</definedName>
    <definedName name="_LB13">#REF!</definedName>
    <definedName name="_LB14">#REF!</definedName>
    <definedName name="_LB15">#REF!</definedName>
    <definedName name="_LB16">#REF!</definedName>
    <definedName name="_LB17">#REF!</definedName>
    <definedName name="_LB18">#REF!</definedName>
    <definedName name="_LB19">#REF!</definedName>
    <definedName name="_LB2">#REF!</definedName>
    <definedName name="_LB20">#REF!</definedName>
    <definedName name="_LB21">#REF!</definedName>
    <definedName name="_LB22">#REF!</definedName>
    <definedName name="_LB23">#REF!</definedName>
    <definedName name="_LB24">#REF!</definedName>
    <definedName name="_LB25">#REF!</definedName>
    <definedName name="_LB26">#REF!</definedName>
    <definedName name="_LB27">#REF!</definedName>
    <definedName name="_LB28">#REF!</definedName>
    <definedName name="_LB29">#REF!</definedName>
    <definedName name="_LB3">#REF!</definedName>
    <definedName name="_LB30">#REF!</definedName>
    <definedName name="_LB31">#REF!</definedName>
    <definedName name="_LB32">#REF!</definedName>
    <definedName name="_LB33">#REF!</definedName>
    <definedName name="_LB34">#REF!</definedName>
    <definedName name="_LB35">#REF!</definedName>
    <definedName name="_LB36">#REF!</definedName>
    <definedName name="_LB37">#REF!</definedName>
    <definedName name="_LB38">#REF!</definedName>
    <definedName name="_LB39">#REF!</definedName>
    <definedName name="_LB4">#REF!</definedName>
    <definedName name="_LB40">#REF!</definedName>
    <definedName name="_LB41">#REF!</definedName>
    <definedName name="_LB42">#REF!</definedName>
    <definedName name="_LB43">#REF!</definedName>
    <definedName name="_LB44">#REF!</definedName>
    <definedName name="_LB45">#REF!</definedName>
    <definedName name="_LB46">#REF!</definedName>
    <definedName name="_LB47">#REF!</definedName>
    <definedName name="_LB48">#REF!</definedName>
    <definedName name="_LB49">#REF!</definedName>
    <definedName name="_LB5">#REF!</definedName>
    <definedName name="_LB50">#REF!</definedName>
    <definedName name="_LB6">#REF!</definedName>
    <definedName name="_LB7">#REF!</definedName>
    <definedName name="_LB8">#REF!</definedName>
    <definedName name="_LB9">#REF!</definedName>
    <definedName name="_M">#REF!</definedName>
    <definedName name="_MAR1">#REF!</definedName>
    <definedName name="_MAR2">#REF!</definedName>
    <definedName name="_mat1">#REF!</definedName>
    <definedName name="_MAY1">#REF!</definedName>
    <definedName name="_MAY2">#REF!</definedName>
    <definedName name="_Meter_Pt">#REF!</definedName>
    <definedName name="_mm2001">#REF!</definedName>
    <definedName name="_mm2002">#REF!</definedName>
    <definedName name="_mm2003">#REF!</definedName>
    <definedName name="_mm2004">#REF!</definedName>
    <definedName name="_mm2005">#REF!</definedName>
    <definedName name="_Moj16">#REF!</definedName>
    <definedName name="_Moj18">#REF!</definedName>
    <definedName name="_MTD1">#REF!</definedName>
    <definedName name="_n4" localSheetId="18" hidden="1">{"EXCELHLP.HLP!1802";5;10;5;10;13;13;13;8;5;5;10;14;13;13;13;13;5;10;14;13;5;10;1;2;24}</definedName>
    <definedName name="_n4" hidden="1">{"EXCELHLP.HLP!1802";5;10;5;10;13;13;13;8;5;5;10;14;13;13;13;13;5;10;14;13;5;10;1;2;24}</definedName>
    <definedName name="_NOV1">#REF!</definedName>
    <definedName name="_NOV2">#REF!</definedName>
    <definedName name="_OCT1">#REF!</definedName>
    <definedName name="_OCT2">#REF!</definedName>
    <definedName name="_OP1">#REF!</definedName>
    <definedName name="_OP2">#REF!</definedName>
    <definedName name="_OP3">#REF!</definedName>
    <definedName name="_OP4">#REF!</definedName>
    <definedName name="_Order1" hidden="1">255</definedName>
    <definedName name="_Order2" hidden="1">255</definedName>
    <definedName name="_Own10">#REF!</definedName>
    <definedName name="_Own11">#REF!</definedName>
    <definedName name="_Own4">#REF!</definedName>
    <definedName name="_Own5">#REF!</definedName>
    <definedName name="_Own6">#REF!</definedName>
    <definedName name="_Own8">#REF!</definedName>
    <definedName name="_pcp1">#REF!</definedName>
    <definedName name="_PG1">#REF!</definedName>
    <definedName name="_pg12">#REF!</definedName>
    <definedName name="_pg2">#REF!</definedName>
    <definedName name="_PG3">#REF!</definedName>
    <definedName name="_PG4">#REF!</definedName>
    <definedName name="_PG45">#REF!</definedName>
    <definedName name="_PG56">#REF!</definedName>
    <definedName name="_PG8">#REF!</definedName>
    <definedName name="_PG89">#REF!</definedName>
    <definedName name="_PH1">#REF!</definedName>
    <definedName name="_PH2">#REF!</definedName>
    <definedName name="_PH3">#REF!</definedName>
    <definedName name="_pHF1">#REF!</definedName>
    <definedName name="_PP1">#REF!</definedName>
    <definedName name="_PP2">#REF!</definedName>
    <definedName name="_PR1">#REF!</definedName>
    <definedName name="_PR10">#REF!</definedName>
    <definedName name="_PR11">#REF!</definedName>
    <definedName name="_PR12">#REF!</definedName>
    <definedName name="_PR13">#REF!</definedName>
    <definedName name="_PR14">#REF!</definedName>
    <definedName name="_PR15">#REF!</definedName>
    <definedName name="_PR16">#REF!</definedName>
    <definedName name="_PR17">#REF!</definedName>
    <definedName name="_PR18">#REF!</definedName>
    <definedName name="_PR19">#REF!</definedName>
    <definedName name="_PR2">#REF!</definedName>
    <definedName name="_PR20">#REF!</definedName>
    <definedName name="_PR21">#REF!</definedName>
    <definedName name="_PR22">#REF!</definedName>
    <definedName name="_PR23">#REF!</definedName>
    <definedName name="_PR24">#REF!</definedName>
    <definedName name="_PR25">#REF!</definedName>
    <definedName name="_PR26">#REF!</definedName>
    <definedName name="_PR27">#REF!</definedName>
    <definedName name="_PR28">#REF!</definedName>
    <definedName name="_PR29">#REF!</definedName>
    <definedName name="_PR3">#REF!</definedName>
    <definedName name="_PR30">#REF!</definedName>
    <definedName name="_PR31">#REF!</definedName>
    <definedName name="_PR32">#REF!</definedName>
    <definedName name="_PR33">#REF!</definedName>
    <definedName name="_PR34">#REF!</definedName>
    <definedName name="_PR35">#REF!</definedName>
    <definedName name="_PR36">#REF!</definedName>
    <definedName name="_PR37">#REF!</definedName>
    <definedName name="_PR38">#REF!</definedName>
    <definedName name="_PR39">#REF!</definedName>
    <definedName name="_PR4">#REF!</definedName>
    <definedName name="_PR40">#REF!</definedName>
    <definedName name="_PR41">#REF!</definedName>
    <definedName name="_PR42">#REF!</definedName>
    <definedName name="_PR43">#REF!</definedName>
    <definedName name="_PR44">#REF!</definedName>
    <definedName name="_PR45">#REF!</definedName>
    <definedName name="_PR46">#REF!</definedName>
    <definedName name="_PR47">#REF!</definedName>
    <definedName name="_PR48">#REF!</definedName>
    <definedName name="_PR49">#REF!</definedName>
    <definedName name="_PR5">#REF!</definedName>
    <definedName name="_PR50">#REF!</definedName>
    <definedName name="_PR6">#REF!</definedName>
    <definedName name="_PR7">#REF!</definedName>
    <definedName name="_PR8">#REF!</definedName>
    <definedName name="_PR9">#REF!</definedName>
    <definedName name="_PTP96">#REF!</definedName>
    <definedName name="_Query1a">#REF!</definedName>
    <definedName name="_Query1b">#REF!</definedName>
    <definedName name="_Query2a">#REF!</definedName>
    <definedName name="_Query2b">#REF!</definedName>
    <definedName name="_reb7">#REF!</definedName>
    <definedName name="_REF1">#REF!</definedName>
    <definedName name="_REF2">#REF!</definedName>
    <definedName name="_REF3">#REF!</definedName>
    <definedName name="_REF4">#REF!</definedName>
    <definedName name="_Regression_Out" hidden="1">#REF!</definedName>
    <definedName name="_RG2">#REF!</definedName>
    <definedName name="_rm9" localSheetId="18" hidden="1">{"detail305",#N/A,FALSE,"BI-305"}</definedName>
    <definedName name="_rm9" hidden="1">{"detail305",#N/A,FALSE,"BI-305"}</definedName>
    <definedName name="_RunCase">#REF!</definedName>
    <definedName name="_SEP1">#REF!</definedName>
    <definedName name="_SEP2">#REF!</definedName>
    <definedName name="_SHT1">#REF!</definedName>
    <definedName name="_SHT2">#N/A</definedName>
    <definedName name="_SHT3">#N/A</definedName>
    <definedName name="_SO41">#REF!</definedName>
    <definedName name="_Sort" localSheetId="18" hidden="1">#REF!</definedName>
    <definedName name="_Sort" hidden="1">#REF!</definedName>
    <definedName name="_Split_Mthd">#REF!</definedName>
    <definedName name="_STAMPA_RIMANENZE">#REF!</definedName>
    <definedName name="_Start_Yr">#REF!</definedName>
    <definedName name="_StartYr2">#REF!</definedName>
    <definedName name="_Table1_In1" localSheetId="18" hidden="1">#REF!</definedName>
    <definedName name="_Table1_In1" hidden="1">#REF!</definedName>
    <definedName name="_Table1_Out" localSheetId="18" hidden="1">#REF!</definedName>
    <definedName name="_Table1_Out" hidden="1">#REF!</definedName>
    <definedName name="_Table2_In1" localSheetId="18" hidden="1">#REF!</definedName>
    <definedName name="_Table2_In1" hidden="1">#REF!</definedName>
    <definedName name="_Table2_In2" localSheetId="18" hidden="1">#REF!</definedName>
    <definedName name="_Table2_In2" hidden="1">#REF!</definedName>
    <definedName name="_Table2_Out" localSheetId="18" hidden="1">#REF!</definedName>
    <definedName name="_Table2_Out" hidden="1">#REF!</definedName>
    <definedName name="_Table3_In2" localSheetId="18" hidden="1">#REF!</definedName>
    <definedName name="_Table3_In2" hidden="1">#REF!</definedName>
    <definedName name="_TAD1">#REF!</definedName>
    <definedName name="_TAD2">#REF!</definedName>
    <definedName name="_TAD3">#REF!</definedName>
    <definedName name="_tet12" localSheetId="18" hidden="1">{"assumptions",#N/A,FALSE,"Scenario 1";"valuation",#N/A,FALSE,"Scenario 1"}</definedName>
    <definedName name="_tet12" hidden="1">{"assumptions",#N/A,FALSE,"Scenario 1";"valuation",#N/A,FALSE,"Scenario 1"}</definedName>
    <definedName name="_tet5" localSheetId="18" hidden="1">{"assumptions",#N/A,FALSE,"Scenario 1";"valuation",#N/A,FALSE,"Scenario 1"}</definedName>
    <definedName name="_tet5" hidden="1">{"assumptions",#N/A,FALSE,"Scenario 1";"valuation",#N/A,FALSE,"Scenario 1"}</definedName>
    <definedName name="_The">#REF!</definedName>
    <definedName name="_var1">#REF!</definedName>
    <definedName name="_var2">#REF!</definedName>
    <definedName name="a" localSheetId="18" hidden="1">{2;#N/A;"R13C16:R17C16";#N/A;"R13C14:R17C15";FALSE;FALSE;FALSE;95;#N/A;#N/A;"R13C19";#N/A;FALSE;FALSE;FALSE;FALSE;#N/A;"";#N/A;FALSE;"";"";#N/A;#N/A;#N/A}</definedName>
    <definedName name="a" hidden="1">{2;#N/A;"R13C16:R17C16";#N/A;"R13C14:R17C15";FALSE;FALSE;FALSE;95;#N/A;#N/A;"R13C19";#N/A;FALSE;FALSE;FALSE;FALSE;#N/A;"";#N/A;FALSE;"";"";#N/A;#N/A;#N/A}</definedName>
    <definedName name="A_">#REF!</definedName>
    <definedName name="A_1">#REF!</definedName>
    <definedName name="a_g">#REF!</definedName>
    <definedName name="aa" localSheetId="18" hidden="1">{"1999 Cash Budget",#N/A,FALSE,"99 Cash";"1999 Cash Budget YTD",#N/A,FALSE,"99 Cash";"1999 Cash Actual/Forcast",#N/A,FALSE,"99 Cash";"1999 Cash Actual/Forcast YTD",#N/A,FALSE,"99 Cash"}</definedName>
    <definedName name="aa" hidden="1">{"1999 Cash Budget",#N/A,FALSE,"99 Cash";"1999 Cash Budget YTD",#N/A,FALSE,"99 Cash";"1999 Cash Actual/Forcast",#N/A,FALSE,"99 Cash";"1999 Cash Actual/Forcast YTD",#N/A,FALSE,"99 Cash"}</definedName>
    <definedName name="aaa" localSheetId="8" hidden="1">{#N/A,#N/A,FALSE,"O&amp;M by processes";#N/A,#N/A,FALSE,"Elec Act vs Bud";#N/A,#N/A,FALSE,"G&amp;A";#N/A,#N/A,FALSE,"BGS";#N/A,#N/A,FALSE,"Res Cost"}</definedName>
    <definedName name="aaa" localSheetId="14" hidden="1">{#N/A,#N/A,FALSE,"O&amp;M by processes";#N/A,#N/A,FALSE,"Elec Act vs Bud";#N/A,#N/A,FALSE,"G&amp;A";#N/A,#N/A,FALSE,"BGS";#N/A,#N/A,FALSE,"Res Cost"}</definedName>
    <definedName name="aaa" localSheetId="15" hidden="1">{#N/A,#N/A,FALSE,"O&amp;M by processes";#N/A,#N/A,FALSE,"Elec Act vs Bud";#N/A,#N/A,FALSE,"G&amp;A";#N/A,#N/A,FALSE,"BGS";#N/A,#N/A,FALSE,"Res Cost"}</definedName>
    <definedName name="aaa" localSheetId="18" hidden="1">{#N/A,#N/A,FALSE,"O&amp;M by processes";#N/A,#N/A,FALSE,"Elec Act vs Bud";#N/A,#N/A,FALSE,"G&amp;A";#N/A,#N/A,FALSE,"BGS";#N/A,#N/A,FALSE,"Res Cost"}</definedName>
    <definedName name="aaa" hidden="1">{#N/A,#N/A,FALSE,"O&amp;M by processes";#N/A,#N/A,FALSE,"Elec Act vs Bud";#N/A,#N/A,FALSE,"G&amp;A";#N/A,#N/A,FALSE,"BGS";#N/A,#N/A,FALSE,"Res Cost"}</definedName>
    <definedName name="AAA_DOCTOPS" hidden="1">"AAA_SET"</definedName>
    <definedName name="AAA_duser" hidden="1">"OFF"</definedName>
    <definedName name="aaaa" localSheetId="18" hidden="1">{"1999 Cash Budget",#N/A,FALSE,"99 Cash";"1999 Cash Budget YTD",#N/A,FALSE,"99 Cash";"1999 Cash Actual/Forcast",#N/A,FALSE,"99 Cash";"1999 Cash Actual/Forcast YTD",#N/A,FALSE,"99 Cash"}</definedName>
    <definedName name="aaaa" hidden="1">{"1999 Cash Budget",#N/A,FALSE,"99 Cash";"1999 Cash Budget YTD",#N/A,FALSE,"99 Cash";"1999 Cash Actual/Forcast",#N/A,FALSE,"99 Cash";"1999 Cash Actual/Forcast YTD",#N/A,FALSE,"99 Cash"}</definedName>
    <definedName name="aaaa1" localSheetId="18" hidden="1">{"1999 Cash Budget",#N/A,FALSE,"99 Cash";"1999 Cash Budget YTD",#N/A,FALSE,"99 Cash";"1999 Cash Actual/Forcast",#N/A,FALSE,"99 Cash";"1999 Cash Actual/Forcast YTD",#N/A,FALSE,"99 Cash"}</definedName>
    <definedName name="aaaa1" hidden="1">{"1999 Cash Budget",#N/A,FALSE,"99 Cash";"1999 Cash Budget YTD",#N/A,FALSE,"99 Cash";"1999 Cash Actual/Forcast",#N/A,FALSE,"99 Cash";"1999 Cash Actual/Forcast YTD",#N/A,FALSE,"99 Cash"}</definedName>
    <definedName name="aaaaa" localSheetId="18" hidden="1">{"Income Budget",#N/A,FALSE,"98 Income";"Running GAAP Budget Income",#N/A,FALSE,"98 Income";"GAAP Actual",#N/A,FALSE,"98 Income";"GAAP Varinance",#N/A,FALSE,"98 Income"}</definedName>
    <definedName name="aaaaa" hidden="1">{"Income Budget",#N/A,FALSE,"98 Income";"Running GAAP Budget Income",#N/A,FALSE,"98 Income";"GAAP Actual",#N/A,FALSE,"98 Income";"GAAP Varinance",#N/A,FALSE,"98 Income"}</definedName>
    <definedName name="aaaaaa" localSheetId="18" hidden="1">{"Cash Budget",#N/A,FALSE,"98 Cash";"Running Cash Budget",#N/A,FALSE,"98 Cash";"Actual Cash",#N/A,FALSE,"98 Cash";"Update Cash Budget",#N/A,FALSE,"98 Cash"}</definedName>
    <definedName name="aaaaaa" hidden="1">{"Cash Budget",#N/A,FALSE,"98 Cash";"Running Cash Budget",#N/A,FALSE,"98 Cash";"Actual Cash",#N/A,FALSE,"98 Cash";"Update Cash Budget",#N/A,FALSE,"98 Cash"}</definedName>
    <definedName name="aaaaaaa" localSheetId="18" hidden="1">{"Cash Budget",#N/A,FALSE,"98 Cash";"Running Cash Budget",#N/A,FALSE,"98 Cash";"Actual Cash",#N/A,FALSE,"98 Cash";"Update Cash Budget",#N/A,FALSE,"98 Cash"}</definedName>
    <definedName name="aaaaaaa" hidden="1">{"Cash Budget",#N/A,FALSE,"98 Cash";"Running Cash Budget",#N/A,FALSE,"98 Cash";"Actual Cash",#N/A,FALSE,"98 Cash";"Update Cash Budget",#N/A,FALSE,"98 Cash"}</definedName>
    <definedName name="aaaaaaaa" localSheetId="18" hidden="1">{"Income Budget",#N/A,FALSE,"98 Income";"Running GAAP Budget Income",#N/A,FALSE,"98 Income";"GAAP Actual",#N/A,FALSE,"98 Income";"GAAP Varinance",#N/A,FALSE,"98 Income"}</definedName>
    <definedName name="aaaaaaaa" hidden="1">{"Income Budget",#N/A,FALSE,"98 Income";"Running GAAP Budget Income",#N/A,FALSE,"98 Income";"GAAP Actual",#N/A,FALSE,"98 Income";"GAAP Varinance",#N/A,FALSE,"98 Income"}</definedName>
    <definedName name="aaaaaaaaaa" localSheetId="18" hidden="1">{"Cash Budget",#N/A,FALSE,"98 Cash";"Running Cash Budget",#N/A,FALSE,"98 Cash";"Actual Cash",#N/A,FALSE,"98 Cash";"Update Cash Budget",#N/A,FALSE,"98 Cash"}</definedName>
    <definedName name="aaaaaaaaaa" hidden="1">{"Cash Budget",#N/A,FALSE,"98 Cash";"Running Cash Budget",#N/A,FALSE,"98 Cash";"Actual Cash",#N/A,FALSE,"98 Cash";"Update Cash Budget",#N/A,FALSE,"98 Cash"}</definedName>
    <definedName name="aaaaaaaaaaaaaaa" localSheetId="8" hidden="1">{#N/A,#N/A,FALSE,"O&amp;M by processes";#N/A,#N/A,FALSE,"Elec Act vs Bud";#N/A,#N/A,FALSE,"G&amp;A";#N/A,#N/A,FALSE,"BGS";#N/A,#N/A,FALSE,"Res Cost"}</definedName>
    <definedName name="aaaaaaaaaaaaaaa" localSheetId="14" hidden="1">{#N/A,#N/A,FALSE,"O&amp;M by processes";#N/A,#N/A,FALSE,"Elec Act vs Bud";#N/A,#N/A,FALSE,"G&amp;A";#N/A,#N/A,FALSE,"BGS";#N/A,#N/A,FALSE,"Res Cost"}</definedName>
    <definedName name="aaaaaaaaaaaaaaa" localSheetId="15" hidden="1">{#N/A,#N/A,FALSE,"O&amp;M by processes";#N/A,#N/A,FALSE,"Elec Act vs Bud";#N/A,#N/A,FALSE,"G&amp;A";#N/A,#N/A,FALSE,"BGS";#N/A,#N/A,FALSE,"Res Cost"}</definedName>
    <definedName name="aaaaaaaaaaaaaaa" localSheetId="18" hidden="1">{#N/A,#N/A,FALSE,"O&amp;M by processes";#N/A,#N/A,FALSE,"Elec Act vs Bud";#N/A,#N/A,FALSE,"G&amp;A";#N/A,#N/A,FALSE,"BGS";#N/A,#N/A,FALSE,"Res Cost"}</definedName>
    <definedName name="aaaaaaaaaaaaaaa" hidden="1">{#N/A,#N/A,FALSE,"O&amp;M by processes";#N/A,#N/A,FALSE,"Elec Act vs Bud";#N/A,#N/A,FALSE,"G&amp;A";#N/A,#N/A,FALSE,"BGS";#N/A,#N/A,FALSE,"Res Cost"}</definedName>
    <definedName name="AAB_Addin5" hidden="1">"AAB_Description for addin 5,Description for addin 5,Description for addin 5,Description for addin 5,Description for addin 5,Description for addin 5"</definedName>
    <definedName name="abcd">#REF!</definedName>
    <definedName name="abit">0.000000001</definedName>
    <definedName name="ABS_Legacy_Long_Bond">#REF!</definedName>
    <definedName name="ABS_Legacy_Long_Loan">#REF!</definedName>
    <definedName name="ABS_Legacy_Long_Treasury">#REF!</definedName>
    <definedName name="ABS_Legacy_Short_Bond">#REF!</definedName>
    <definedName name="ABS_Legacy_Short_Treasury">#REF!</definedName>
    <definedName name="ABSORP___PRICE">#REF!</definedName>
    <definedName name="ABSW">#REF!</definedName>
    <definedName name="AC_255">#REF!</definedName>
    <definedName name="Access_Button">"Loan_Front_End_Input_List"</definedName>
    <definedName name="AccessDatabase">"C:\My Documents\DAVE\MODELS\Cash at Risk\Loan Front End.mdb"</definedName>
    <definedName name="ACCNT">#REF!</definedName>
    <definedName name="Accompanying">#REF!</definedName>
    <definedName name="Account">#REF!</definedName>
    <definedName name="Account2">#REF!</definedName>
    <definedName name="AccountDescr">#REF!</definedName>
    <definedName name="AccountDescr2">#REF!</definedName>
    <definedName name="Accounting_Method">#REF!</definedName>
    <definedName name="ACCOUNTS">#REF!</definedName>
    <definedName name="accruedc">#REF!</definedName>
    <definedName name="accruedp">#REF!</definedName>
    <definedName name="ACDADD">#REF!</definedName>
    <definedName name="ACGDIST">#REF!</definedName>
    <definedName name="acoeff">#REF!</definedName>
    <definedName name="ACQ_FEE">#REF!</definedName>
    <definedName name="ACQ0">#REF!</definedName>
    <definedName name="Acquirer">#REF!</definedName>
    <definedName name="Acquirer_Shares_Outstanding">#REF!</definedName>
    <definedName name="Acquisition_Cost_Period">#REF!</definedName>
    <definedName name="Acquisition_Goodwill_Period">#REF!</definedName>
    <definedName name="ACSR">#REF!</definedName>
    <definedName name="ACSRCosts">#REF!</definedName>
    <definedName name="Active">#REF!</definedName>
    <definedName name="Activity">#REF!</definedName>
    <definedName name="Activity2">#REF!</definedName>
    <definedName name="ActivityDescr">#REF!</definedName>
    <definedName name="ActivityDescr2">#REF!</definedName>
    <definedName name="activo">#REF!</definedName>
    <definedName name="Actual">#REF!</definedName>
    <definedName name="Actual_IRRs">#REF!</definedName>
    <definedName name="AD">#REF!</definedName>
    <definedName name="AD_2">#REF!</definedName>
    <definedName name="addl_pass">#REF!</definedName>
    <definedName name="adg">#REF!</definedName>
    <definedName name="ADJI">#REF!</definedName>
    <definedName name="ADJIII">#REF!</definedName>
    <definedName name="adjust">#REF!</definedName>
    <definedName name="Adjustments">#REF!</definedName>
    <definedName name="ADMIN">#REF!</definedName>
    <definedName name="Administration">#REF!</definedName>
    <definedName name="adsfadsfsadfdsafa">#REF!</definedName>
    <definedName name="adsfdsa">#REF!</definedName>
    <definedName name="adviser_list">#REF!</definedName>
    <definedName name="afdas">#REF!</definedName>
    <definedName name="Affiliate">#REF!</definedName>
    <definedName name="Affiliate2">#REF!</definedName>
    <definedName name="AffiliateDescr">#REF!</definedName>
    <definedName name="AggregateOut">#REF!</definedName>
    <definedName name="aging">#REF!</definedName>
    <definedName name="AIC_Software">#REF!</definedName>
    <definedName name="AJO">#REF!</definedName>
    <definedName name="ALANDCO">#REF!</definedName>
    <definedName name="ALB0">#REF!</definedName>
    <definedName name="Alignment" hidden="1">"a1"</definedName>
    <definedName name="ALKADD">#REF!</definedName>
    <definedName name="ALKF">#REF!</definedName>
    <definedName name="all_months">#REF!</definedName>
    <definedName name="AllASS">#REF!</definedName>
    <definedName name="ALLCGI">#REF!</definedName>
    <definedName name="ALLJE">#REF!</definedName>
    <definedName name="Alloc">#REF!</definedName>
    <definedName name="alloc1">#REF!</definedName>
    <definedName name="alloc2">#REF!</definedName>
    <definedName name="AllocationType">OFFSET(#REF!,0,0,COUNTA(#REF!),1)</definedName>
    <definedName name="ALLRD">#REF!</definedName>
    <definedName name="ALLSKP">#REF!</definedName>
    <definedName name="AllTemplate1">#REF!</definedName>
    <definedName name="AllTemplate2">#REF!</definedName>
    <definedName name="ALTADJ">#REF!</definedName>
    <definedName name="Amort">#REF!</definedName>
    <definedName name="Amort_Table">#REF!</definedName>
    <definedName name="amort2">#REF!</definedName>
    <definedName name="Amortization_Period">#REF!</definedName>
    <definedName name="Amortization_Period_Additions">#REF!</definedName>
    <definedName name="amortizationtable">#REF!</definedName>
    <definedName name="Amortize_Finance_Fees">#REF!</definedName>
    <definedName name="AmortizingMortgageTerm">#REF!</definedName>
    <definedName name="Amps">#REF!</definedName>
    <definedName name="ANA_PRD">#REF!</definedName>
    <definedName name="analysis">#REF!</definedName>
    <definedName name="analyst">#REF!</definedName>
    <definedName name="Angle_Pole_Costs">#REF!</definedName>
    <definedName name="Angle_Poles">#REF!</definedName>
    <definedName name="Angle_Tangents">#REF!</definedName>
    <definedName name="Annual_Energy_Production">#REF!</definedName>
    <definedName name="Annual_kWh">#REF!</definedName>
    <definedName name="Annual_Tariff_2013_On">#REF!</definedName>
    <definedName name="Annual_Tariff_Escalation_2012">#REF!</definedName>
    <definedName name="ANNUALCF">#REF!</definedName>
    <definedName name="anscount" hidden="1">1</definedName>
    <definedName name="APA">#REF!</definedName>
    <definedName name="APN">#REF!</definedName>
    <definedName name="apr">#REF!</definedName>
    <definedName name="april">#REF!</definedName>
    <definedName name="AR">#REF!</definedName>
    <definedName name="ARA_Threshold">#REF!</definedName>
    <definedName name="Argus_File_Name">#REF!</definedName>
    <definedName name="Argus_File_Path">#REF!</definedName>
    <definedName name="ARP_Threshold">#REF!</definedName>
    <definedName name="AS2DocOpenMode" hidden="1">"AS2DocumentEdit"</definedName>
    <definedName name="AS2HasNoAutoHeaderFooter" hidden="1">" "</definedName>
    <definedName name="AS2NamedRange" hidden="1">3</definedName>
    <definedName name="AS2ReportLS" hidden="1">1</definedName>
    <definedName name="AS2StaticLS" localSheetId="18" hidden="1">#REF!</definedName>
    <definedName name="AS2StaticLS" hidden="1">#REF!</definedName>
    <definedName name="AS2SyncStepLS" hidden="1">0</definedName>
    <definedName name="AS2TaxWorkpaper" hidden="1">" "</definedName>
    <definedName name="AS2TickmarkLS" localSheetId="18" hidden="1">#REF!</definedName>
    <definedName name="AS2TickmarkLS" hidden="1">#REF!</definedName>
    <definedName name="AS2VersionLS" hidden="1">300</definedName>
    <definedName name="asd" localSheetId="18" hidden="1">{2;#N/A;"R13C16:R17C16";#N/A;"R13C14:R17C15";FALSE;FALSE;FALSE;95;#N/A;#N/A;"R13C19";#N/A;FALSE;FALSE;FALSE;FALSE;#N/A;"";#N/A;FALSE;"";"";#N/A;#N/A;#N/A}</definedName>
    <definedName name="asd" hidden="1">{2;#N/A;"R13C16:R17C16";#N/A;"R13C14:R17C15";FALSE;FALSE;FALSE;95;#N/A;#N/A;"R13C19";#N/A;FALSE;FALSE;FALSE;FALSE;#N/A;"";#N/A;FALSE;"";"";#N/A;#N/A;#N/A}</definedName>
    <definedName name="ASH">#REF!</definedName>
    <definedName name="Ash_Disposal____ton">#REF!</definedName>
    <definedName name="Ash_Generation_Rate__tons_MWH">#REF!</definedName>
    <definedName name="Assembly_Costs">#REF!</definedName>
    <definedName name="Assembly_Labor">#REF!</definedName>
    <definedName name="Asset_Write_up_Period">#REF!</definedName>
    <definedName name="AssetType">#REF!</definedName>
    <definedName name="AsSoldExcRev" localSheetId="18" hidden="1">{#N/A,#N/A,FALSE,"Sum6 (1)"}</definedName>
    <definedName name="AsSoldExcRev" hidden="1">{#N/A,#N/A,FALSE,"Sum6 (1)"}</definedName>
    <definedName name="ASSUME">#REF!</definedName>
    <definedName name="Assumptions">#REF!</definedName>
    <definedName name="assumptions97">#REF!</definedName>
    <definedName name="assumptions98">#REF!</definedName>
    <definedName name="assumptions99">#REF!</definedName>
    <definedName name="At_Closing_International_Sale">#REF!</definedName>
    <definedName name="AT_T">#REF!</definedName>
    <definedName name="ATAX">#REF!</definedName>
    <definedName name="atpr" localSheetId="18" hidden="1">{"EXCELHLP.HLP!1802";5;10;5;10;13;13;13;8;5;5;10;14;13;13;13;13;5;10;14;13;5;10;1;2;24}</definedName>
    <definedName name="atpr" hidden="1">{"EXCELHLP.HLP!1802";5;10;5;10;13;13;13;8;5;5;10;14;13;13;13;13;5;10;14;13;5;10;1;2;24}</definedName>
    <definedName name="AU_329">#REF!</definedName>
    <definedName name="aud">#REF!</definedName>
    <definedName name="aug">#REF!</definedName>
    <definedName name="Auger">#REF!</definedName>
    <definedName name="Auger_Setup">#REF!</definedName>
    <definedName name="AUX">#REF!</definedName>
    <definedName name="AVAIL">#REF!</definedName>
    <definedName name="AVAIL_1">#REF!</definedName>
    <definedName name="AVAIL_2">#REF!</definedName>
    <definedName name="AVAIL_POST_COD">#REF!</definedName>
    <definedName name="AVAIL_POST_COD_1">#REF!</definedName>
    <definedName name="AVAIL_POST_COD_2">#REF!</definedName>
    <definedName name="AVAILABILITY">#REF!</definedName>
    <definedName name="Average_EBITDA_Exit_Multiple">#REF!</definedName>
    <definedName name="B">#REF!</definedName>
    <definedName name="B_">#REF!</definedName>
    <definedName name="B_1">#REF!</definedName>
    <definedName name="B_2">#REF!</definedName>
    <definedName name="B_3">#REF!</definedName>
    <definedName name="B_V_ACTUAL_PRO">#REF!</definedName>
    <definedName name="B_V_MILESTONES">#REF!</definedName>
    <definedName name="B_V_PLANNED_PRO">#REF!</definedName>
    <definedName name="baird">#REF!</definedName>
    <definedName name="bal">#REF!</definedName>
    <definedName name="BALANCE">#REF!</definedName>
    <definedName name="Balance_Sheet">#REF!</definedName>
    <definedName name="balance_type">1</definedName>
    <definedName name="Balances">#REF!</definedName>
    <definedName name="balancesheet">#REF!</definedName>
    <definedName name="Bank_Debt_U_W_Spread">#REF!</definedName>
    <definedName name="bankdebt">#REF!</definedName>
    <definedName name="Base_Rate">#REF!</definedName>
    <definedName name="basis_2x16">#REF!</definedName>
    <definedName name="basis_7x8">#REF!</definedName>
    <definedName name="Basis_Points">#REF!</definedName>
    <definedName name="BasisPointCor">#REF!</definedName>
    <definedName name="bayatxinc">#REF!</definedName>
    <definedName name="bbb" localSheetId="8" hidden="1">{#N/A,#N/A,FALSE,"O&amp;M by processes";#N/A,#N/A,FALSE,"Elec Act vs Bud";#N/A,#N/A,FALSE,"G&amp;A";#N/A,#N/A,FALSE,"BGS";#N/A,#N/A,FALSE,"Res Cost"}</definedName>
    <definedName name="bbb" localSheetId="14" hidden="1">{#N/A,#N/A,FALSE,"O&amp;M by processes";#N/A,#N/A,FALSE,"Elec Act vs Bud";#N/A,#N/A,FALSE,"G&amp;A";#N/A,#N/A,FALSE,"BGS";#N/A,#N/A,FALSE,"Res Cost"}</definedName>
    <definedName name="bbb" localSheetId="15" hidden="1">{#N/A,#N/A,FALSE,"O&amp;M by processes";#N/A,#N/A,FALSE,"Elec Act vs Bud";#N/A,#N/A,FALSE,"G&amp;A";#N/A,#N/A,FALSE,"BGS";#N/A,#N/A,FALSE,"Res Cost"}</definedName>
    <definedName name="bbb" localSheetId="18" hidden="1">{#N/A,#N/A,FALSE,"O&amp;M by processes";#N/A,#N/A,FALSE,"Elec Act vs Bud";#N/A,#N/A,FALSE,"G&amp;A";#N/A,#N/A,FALSE,"BGS";#N/A,#N/A,FALSE,"Res Cost"}</definedName>
    <definedName name="bbb" hidden="1">{#N/A,#N/A,FALSE,"O&amp;M by processes";#N/A,#N/A,FALSE,"Elec Act vs Bud";#N/A,#N/A,FALSE,"G&amp;A";#N/A,#N/A,FALSE,"BGS";#N/A,#N/A,FALSE,"Res Cost"}</definedName>
    <definedName name="bbbb" localSheetId="8" hidden="1">{#N/A,#N/A,FALSE,"O&amp;M by processes";#N/A,#N/A,FALSE,"Elec Act vs Bud";#N/A,#N/A,FALSE,"G&amp;A";#N/A,#N/A,FALSE,"BGS";#N/A,#N/A,FALSE,"Res Cost"}</definedName>
    <definedName name="bbbb" localSheetId="14" hidden="1">{#N/A,#N/A,FALSE,"O&amp;M by processes";#N/A,#N/A,FALSE,"Elec Act vs Bud";#N/A,#N/A,FALSE,"G&amp;A";#N/A,#N/A,FALSE,"BGS";#N/A,#N/A,FALSE,"Res Cost"}</definedName>
    <definedName name="bbbb" localSheetId="15" hidden="1">{#N/A,#N/A,FALSE,"O&amp;M by processes";#N/A,#N/A,FALSE,"Elec Act vs Bud";#N/A,#N/A,FALSE,"G&amp;A";#N/A,#N/A,FALSE,"BGS";#N/A,#N/A,FALSE,"Res Cost"}</definedName>
    <definedName name="bbbb" localSheetId="18" hidden="1">{#N/A,#N/A,FALSE,"O&amp;M by processes";#N/A,#N/A,FALSE,"Elec Act vs Bud";#N/A,#N/A,FALSE,"G&amp;A";#N/A,#N/A,FALSE,"BGS";#N/A,#N/A,FALSE,"Res Cost"}</definedName>
    <definedName name="bbbb" hidden="1">{#N/A,#N/A,FALSE,"O&amp;M by processes";#N/A,#N/A,FALSE,"Elec Act vs Bud";#N/A,#N/A,FALSE,"G&amp;A";#N/A,#N/A,FALSE,"BGS";#N/A,#N/A,FALSE,"Res Cost"}</definedName>
    <definedName name="bbbbb" localSheetId="8" hidden="1">{#N/A,#N/A,FALSE,"O&amp;M by processes";#N/A,#N/A,FALSE,"Elec Act vs Bud";#N/A,#N/A,FALSE,"G&amp;A";#N/A,#N/A,FALSE,"BGS";#N/A,#N/A,FALSE,"Res Cost"}</definedName>
    <definedName name="bbbbb" localSheetId="14" hidden="1">{#N/A,#N/A,FALSE,"O&amp;M by processes";#N/A,#N/A,FALSE,"Elec Act vs Bud";#N/A,#N/A,FALSE,"G&amp;A";#N/A,#N/A,FALSE,"BGS";#N/A,#N/A,FALSE,"Res Cost"}</definedName>
    <definedName name="bbbbb" localSheetId="15" hidden="1">{#N/A,#N/A,FALSE,"O&amp;M by processes";#N/A,#N/A,FALSE,"Elec Act vs Bud";#N/A,#N/A,FALSE,"G&amp;A";#N/A,#N/A,FALSE,"BGS";#N/A,#N/A,FALSE,"Res Cost"}</definedName>
    <definedName name="bbbbb" localSheetId="18" hidden="1">{#N/A,#N/A,FALSE,"O&amp;M by processes";#N/A,#N/A,FALSE,"Elec Act vs Bud";#N/A,#N/A,FALSE,"G&amp;A";#N/A,#N/A,FALSE,"BGS";#N/A,#N/A,FALSE,"Res Cost"}</definedName>
    <definedName name="bbbbb" hidden="1">{#N/A,#N/A,FALSE,"O&amp;M by processes";#N/A,#N/A,FALSE,"Elec Act vs Bud";#N/A,#N/A,FALSE,"G&amp;A";#N/A,#N/A,FALSE,"BGS";#N/A,#N/A,FALSE,"Res Cost"}</definedName>
    <definedName name="bbc" localSheetId="8" hidden="1">{#N/A,#N/A,FALSE,"O&amp;M by processes";#N/A,#N/A,FALSE,"Elec Act vs Bud";#N/A,#N/A,FALSE,"G&amp;A";#N/A,#N/A,FALSE,"BGS";#N/A,#N/A,FALSE,"Res Cost"}</definedName>
    <definedName name="bbc" localSheetId="14" hidden="1">{#N/A,#N/A,FALSE,"O&amp;M by processes";#N/A,#N/A,FALSE,"Elec Act vs Bud";#N/A,#N/A,FALSE,"G&amp;A";#N/A,#N/A,FALSE,"BGS";#N/A,#N/A,FALSE,"Res Cost"}</definedName>
    <definedName name="bbc" localSheetId="15" hidden="1">{#N/A,#N/A,FALSE,"O&amp;M by processes";#N/A,#N/A,FALSE,"Elec Act vs Bud";#N/A,#N/A,FALSE,"G&amp;A";#N/A,#N/A,FALSE,"BGS";#N/A,#N/A,FALSE,"Res Cost"}</definedName>
    <definedName name="bbc" localSheetId="18" hidden="1">{#N/A,#N/A,FALSE,"O&amp;M by processes";#N/A,#N/A,FALSE,"Elec Act vs Bud";#N/A,#N/A,FALSE,"G&amp;A";#N/A,#N/A,FALSE,"BGS";#N/A,#N/A,FALSE,"Res Cost"}</definedName>
    <definedName name="bbc" hidden="1">{#N/A,#N/A,FALSE,"O&amp;M by processes";#N/A,#N/A,FALSE,"Elec Act vs Bud";#N/A,#N/A,FALSE,"G&amp;A";#N/A,#N/A,FALSE,"BGS";#N/A,#N/A,FALSE,"Res Cost"}</definedName>
    <definedName name="BBPROP">#REF!</definedName>
    <definedName name="bcoeff">#REF!</definedName>
    <definedName name="BDV">#REF!</definedName>
    <definedName name="Beauregard">"Check Box 1"</definedName>
    <definedName name="beg_CWIP">#REF!</definedName>
    <definedName name="begdate">#REF!</definedName>
    <definedName name="BeginDateOut">#REF!</definedName>
    <definedName name="BELL">#REF!</definedName>
    <definedName name="bfc_esc">#REF!</definedName>
    <definedName name="BG_Del" hidden="1">15</definedName>
    <definedName name="BG_Ins" hidden="1">4</definedName>
    <definedName name="BG_Mod" hidden="1">6</definedName>
    <definedName name="BGS_Cost_Scenario">#REF!</definedName>
    <definedName name="BGS_RFP">#REF!</definedName>
    <definedName name="BIADJ">#REF!</definedName>
    <definedName name="Bid_Form_Quant">#REF!</definedName>
    <definedName name="Bid_Form_Sub_Quant">#REF!</definedName>
    <definedName name="bid_price">#REF!</definedName>
    <definedName name="BidformQuant">#REF!</definedName>
    <definedName name="BidformQuantSub">#REF!</definedName>
    <definedName name="Bill">#REF!</definedName>
    <definedName name="BILLDESCRIPTION">#REF!</definedName>
    <definedName name="BLE_Close_Date">#REF!</definedName>
    <definedName name="Blended_Hurdle">#REF!</definedName>
    <definedName name="BLPH10" localSheetId="18" hidden="1">#REF!</definedName>
    <definedName name="BLPH10" hidden="1">#REF!</definedName>
    <definedName name="BLPH11" localSheetId="18" hidden="1">#REF!</definedName>
    <definedName name="BLPH11" hidden="1">#REF!</definedName>
    <definedName name="BLPH12" localSheetId="18" hidden="1">#REF!</definedName>
    <definedName name="BLPH12" hidden="1">#REF!</definedName>
    <definedName name="BLPH13" localSheetId="18" hidden="1">#REF!</definedName>
    <definedName name="BLPH13" hidden="1">#REF!</definedName>
    <definedName name="BLPH14" hidden="1">#REF!</definedName>
    <definedName name="BLPH15" hidden="1">#REF!</definedName>
    <definedName name="BLPH16" hidden="1">#REF!</definedName>
    <definedName name="BLPH17" hidden="1">#REF!</definedName>
    <definedName name="BLPH18" hidden="1">#REF!</definedName>
    <definedName name="BLPH19" hidden="1">#REF!</definedName>
    <definedName name="BLPH20" hidden="1">#REF!</definedName>
    <definedName name="BLPH21" hidden="1">#REF!</definedName>
    <definedName name="BLPH22" hidden="1">#REF!</definedName>
    <definedName name="BLPH23" hidden="1">#REF!</definedName>
    <definedName name="BLPH24" hidden="1">#REF!</definedName>
    <definedName name="BLPH25" hidden="1">#REF!</definedName>
    <definedName name="BLPH6" hidden="1">#REF!</definedName>
    <definedName name="BLPH66" hidden="1">#REF!</definedName>
    <definedName name="bma_2x16">#REF!</definedName>
    <definedName name="bma_7x8">#REF!</definedName>
    <definedName name="BOEquipment_Concrete">#REF!</definedName>
    <definedName name="BOEquipment_Costs">#REF!</definedName>
    <definedName name="BOEquipment_Steel">#REF!</definedName>
    <definedName name="BoilerFeedwtrPumpNoiseEmiss">#REF!</definedName>
    <definedName name="BoilerFeedwtrPumpVend">#REF!</definedName>
    <definedName name="BONUS">#REF!</definedName>
    <definedName name="booby" localSheetId="18" hidden="1">{#N/A,#N/A,TRUE,"TOTAL DISTRIBUTION";#N/A,#N/A,TRUE,"SOUTH";#N/A,#N/A,TRUE,"NORTHEAST";#N/A,#N/A,TRUE,"WEST"}</definedName>
    <definedName name="booby" hidden="1">{#N/A,#N/A,TRUE,"TOTAL DISTRIBUTION";#N/A,#N/A,TRUE,"SOUTH";#N/A,#N/A,TRUE,"NORTHEAST";#N/A,#N/A,TRUE,"WEST"}</definedName>
    <definedName name="booby2" localSheetId="18" hidden="1">{#N/A,#N/A,TRUE,"TOTAL DSBN";#N/A,#N/A,TRUE,"WEST";#N/A,#N/A,TRUE,"SOUTH";#N/A,#N/A,TRUE,"NORTHEAST"}</definedName>
    <definedName name="booby2" hidden="1">{#N/A,#N/A,TRUE,"TOTAL DSBN";#N/A,#N/A,TRUE,"WEST";#N/A,#N/A,TRUE,"SOUTH";#N/A,#N/A,TRUE,"NORTHEAST"}</definedName>
    <definedName name="BookType">1</definedName>
    <definedName name="BOPEquipment_Labor">#REF!</definedName>
    <definedName name="Borrowing">#REF!</definedName>
    <definedName name="BR">#REF!</definedName>
    <definedName name="BR_2">#REF!</definedName>
    <definedName name="bra">#REF!</definedName>
    <definedName name="bradtxinc">#REF!</definedName>
    <definedName name="bre">#REF!</definedName>
    <definedName name="BRECP">#REF!</definedName>
    <definedName name="BRECP_II">#REF!</definedName>
    <definedName name="BREH_REC">#REF!</definedName>
    <definedName name="BREOCP">#REF!</definedName>
    <definedName name="BREP_I">#REF!</definedName>
    <definedName name="BREP_II">#REF!</definedName>
    <definedName name="BREP_III">#REF!</definedName>
    <definedName name="BREP_IV">#REF!</definedName>
    <definedName name="BREPIII">#REF!</definedName>
    <definedName name="brick">#REF!</definedName>
    <definedName name="BridgeCrane">#REF!</definedName>
    <definedName name="Brokerage_Fee">#REF!</definedName>
    <definedName name="BS">#REF!</definedName>
    <definedName name="BS_Exch_Rate">#REF!</definedName>
    <definedName name="BTL_06Actual_Essbase">#REF!</definedName>
    <definedName name="btwcols">#REF!,#REF!,#REF!,#REF!,#REF!,#REF!,#REF!,#REF!,#REF!,#REF!,#REF!,#REF!,#REF!,#REF!,#REF!</definedName>
    <definedName name="BU_Table">#REF!</definedName>
    <definedName name="bud" localSheetId="18" hidden="1">{"summary",#N/A,FALSE,"PCR DIRECTORY"}</definedName>
    <definedName name="bud" hidden="1">{"summary",#N/A,FALSE,"PCR DIRECTORY"}</definedName>
    <definedName name="BUDACT">#REF!</definedName>
    <definedName name="Budget">#REF!</definedName>
    <definedName name="budgetdata">#REF!</definedName>
    <definedName name="Bulk" localSheetId="18" hidden="1">{#N/A,#N/A,FALSE,"Sum6 (1)"}</definedName>
    <definedName name="Bulk" hidden="1">{#N/A,#N/A,FALSE,"Sum6 (1)"}</definedName>
    <definedName name="Bundle_Discount">#REF!</definedName>
    <definedName name="BUrole">#REF!</definedName>
    <definedName name="BURoles">#REF!</definedName>
    <definedName name="Bus_Bar">#REF!</definedName>
    <definedName name="Bus_Bar_Concrete">#REF!</definedName>
    <definedName name="Bus_Bar_Steel">#REF!</definedName>
    <definedName name="Bus_Cable">#REF!</definedName>
    <definedName name="Bus_Dia">#REF!</definedName>
    <definedName name="Bus_Insulator_Costs">#REF!</definedName>
    <definedName name="Bus_Insulator_Labor">#REF!</definedName>
    <definedName name="Bus_Support">#REF!</definedName>
    <definedName name="Business_Activities_Tax">#REF!</definedName>
    <definedName name="Business_Units">#REF!</definedName>
    <definedName name="Butt_Dia">#REF!</definedName>
    <definedName name="BV">#REF!</definedName>
    <definedName name="BV_2">#REF!</definedName>
    <definedName name="bym" localSheetId="18" hidden="1">{"summary",#N/A,FALSE,"PCR DIRECTORY"}</definedName>
    <definedName name="bym" hidden="1">{"summary",#N/A,FALSE,"PCR DIRECTORY"}</definedName>
    <definedName name="C_">#REF!</definedName>
    <definedName name="c_1">#REF!</definedName>
    <definedName name="C_5">#REF!</definedName>
    <definedName name="C00_tax_rptBak">#REF!</definedName>
    <definedName name="CA1_">#REF!</definedName>
    <definedName name="CA2_">#REF!</definedName>
    <definedName name="CA3_">#REF!</definedName>
    <definedName name="CAADD">#REF!</definedName>
    <definedName name="Cable_Bus">#REF!</definedName>
    <definedName name="Cable_pick">#REF!</definedName>
    <definedName name="Cable_pick_ACSS">#REF!</definedName>
    <definedName name="Cadastral_Value">#REF!</definedName>
    <definedName name="CAF">#REF!</definedName>
    <definedName name="calc">1</definedName>
    <definedName name="CalcET">#REF!</definedName>
    <definedName name="calculation">#REF!</definedName>
    <definedName name="calitxinc">#REF!</definedName>
    <definedName name="can" localSheetId="8" hidden="1">{#N/A,#N/A,FALSE,"O&amp;M by processes";#N/A,#N/A,FALSE,"Elec Act vs Bud";#N/A,#N/A,FALSE,"G&amp;A";#N/A,#N/A,FALSE,"BGS";#N/A,#N/A,FALSE,"Res Cost"}</definedName>
    <definedName name="can" localSheetId="14" hidden="1">{#N/A,#N/A,FALSE,"O&amp;M by processes";#N/A,#N/A,FALSE,"Elec Act vs Bud";#N/A,#N/A,FALSE,"G&amp;A";#N/A,#N/A,FALSE,"BGS";#N/A,#N/A,FALSE,"Res Cost"}</definedName>
    <definedName name="can" localSheetId="15" hidden="1">{#N/A,#N/A,FALSE,"O&amp;M by processes";#N/A,#N/A,FALSE,"Elec Act vs Bud";#N/A,#N/A,FALSE,"G&amp;A";#N/A,#N/A,FALSE,"BGS";#N/A,#N/A,FALSE,"Res Cost"}</definedName>
    <definedName name="can" localSheetId="18" hidden="1">{#N/A,#N/A,FALSE,"O&amp;M by processes";#N/A,#N/A,FALSE,"Elec Act vs Bud";#N/A,#N/A,FALSE,"G&amp;A";#N/A,#N/A,FALSE,"BGS";#N/A,#N/A,FALSE,"Res Cost"}</definedName>
    <definedName name="can" hidden="1">{#N/A,#N/A,FALSE,"O&amp;M by processes";#N/A,#N/A,FALSE,"Elec Act vs Bud";#N/A,#N/A,FALSE,"G&amp;A";#N/A,#N/A,FALSE,"BGS";#N/A,#N/A,FALSE,"Res Cost"}</definedName>
    <definedName name="CAP">#REF!</definedName>
    <definedName name="Cap_06Actual_Essbase">#REF!</definedName>
    <definedName name="Cap_Bank_Series_Labor">#REF!</definedName>
    <definedName name="Cap_banks">#REF!</definedName>
    <definedName name="Cap_banks_concrete">#REF!</definedName>
    <definedName name="Cap_banks_labor">#REF!</definedName>
    <definedName name="Cap_Banks_Series">#REF!</definedName>
    <definedName name="Cap_Banks_Series_Concrete">#REF!</definedName>
    <definedName name="Cap_Banks_Shunt">#REF!</definedName>
    <definedName name="Cap_Banks_Shunt_Concrete">#REF!</definedName>
    <definedName name="Cap_Banks_Shunt_Labor">#REF!</definedName>
    <definedName name="Cap_Fac_Jan97">#REF!</definedName>
    <definedName name="cap_interest">#REF!</definedName>
    <definedName name="Cap_Rate">#REF!</definedName>
    <definedName name="Capacity_Factor">#REF!</definedName>
    <definedName name="Capacity_Price">#REF!</definedName>
    <definedName name="Capacity_Price_Wind">#REF!</definedName>
    <definedName name="CapacityPrice">#REF!</definedName>
    <definedName name="CapacityRate" localSheetId="19">HLOOKUP(ProjectYear,tblCapRate,swCaptbl+1)</definedName>
    <definedName name="CapacityRate">HLOOKUP(ProjectYear,tblCapRate,swCaptbl+1)</definedName>
    <definedName name="capBig">#REF!,#REF!,#REF!,#REF!,#REF!,#REF!,#REF!</definedName>
    <definedName name="capc_toggle">#REF!</definedName>
    <definedName name="CAPCALC">#REF!</definedName>
    <definedName name="CAPCOST">#REF!</definedName>
    <definedName name="capData">#REF!</definedName>
    <definedName name="Capex">#REF!</definedName>
    <definedName name="capital">#REF!</definedName>
    <definedName name="Capital_Gains_Tax">#REF!</definedName>
    <definedName name="capitalc">#REF!</definedName>
    <definedName name="capitalexpenditures">#REF!</definedName>
    <definedName name="capitalp">#REF!</definedName>
    <definedName name="Caprate" localSheetId="19">HLOOKUP(ProjectYear,tblCapRate,swCaptbl+1)</definedName>
    <definedName name="Caprate">HLOOKUP(ProjectYear,tblCapRate,swCaptbl+1)</definedName>
    <definedName name="capres">#REF!</definedName>
    <definedName name="capSmall">#REF!,#REF!,#REF!,#REF!,#REF!,#REF!</definedName>
    <definedName name="CAPTI">#REF!</definedName>
    <definedName name="captionslist1">#REF!</definedName>
    <definedName name="captionslist2">#REF!</definedName>
    <definedName name="captionslist3">#REF!</definedName>
    <definedName name="CASAT1">#REF!</definedName>
    <definedName name="CASAT2">#REF!</definedName>
    <definedName name="CaseID1">#REF!</definedName>
    <definedName name="CaseID2">#REF!</definedName>
    <definedName name="CASH">#REF!</definedName>
    <definedName name="CASH_FLOW_FROM_OPERATIONS">#REF!</definedName>
    <definedName name="Cash_Flow_Statement">#REF!</definedName>
    <definedName name="CashFlow">#REF!</definedName>
    <definedName name="cashflowstatement">#REF!</definedName>
    <definedName name="cashsalvage">"j41"</definedName>
    <definedName name="Category">OFFSET(#REF!,0,0,COUNTA(#REF!),1)</definedName>
    <definedName name="CB">#REF!</definedName>
    <definedName name="cbnusdca">#REF!</definedName>
    <definedName name="CBWorkbookPriority" hidden="1">-988078685</definedName>
    <definedName name="CC">#REF!</definedName>
    <definedName name="CC_2">#REF!</definedName>
    <definedName name="ccash">#REF!</definedName>
    <definedName name="ccc" localSheetId="8" hidden="1">{#N/A,#N/A,FALSE,"O&amp;M by processes";#N/A,#N/A,FALSE,"Elec Act vs Bud";#N/A,#N/A,FALSE,"G&amp;A";#N/A,#N/A,FALSE,"BGS";#N/A,#N/A,FALSE,"Res Cost"}</definedName>
    <definedName name="ccc" localSheetId="14" hidden="1">{#N/A,#N/A,FALSE,"O&amp;M by processes";#N/A,#N/A,FALSE,"Elec Act vs Bud";#N/A,#N/A,FALSE,"G&amp;A";#N/A,#N/A,FALSE,"BGS";#N/A,#N/A,FALSE,"Res Cost"}</definedName>
    <definedName name="ccc" localSheetId="15" hidden="1">{#N/A,#N/A,FALSE,"O&amp;M by processes";#N/A,#N/A,FALSE,"Elec Act vs Bud";#N/A,#N/A,FALSE,"G&amp;A";#N/A,#N/A,FALSE,"BGS";#N/A,#N/A,FALSE,"Res Cost"}</definedName>
    <definedName name="ccc" localSheetId="18" hidden="1">{#N/A,#N/A,FALSE,"O&amp;M by processes";#N/A,#N/A,FALSE,"Elec Act vs Bud";#N/A,#N/A,FALSE,"G&amp;A";#N/A,#N/A,FALSE,"BGS";#N/A,#N/A,FALSE,"Res Cost"}</definedName>
    <definedName name="ccc" hidden="1">{#N/A,#N/A,FALSE,"O&amp;M by processes";#N/A,#N/A,FALSE,"Elec Act vs Bud";#N/A,#N/A,FALSE,"G&amp;A";#N/A,#N/A,FALSE,"BGS";#N/A,#N/A,FALSE,"Res Cost"}</definedName>
    <definedName name="cccc" localSheetId="8" hidden="1">{#N/A,#N/A,FALSE,"O&amp;M by processes";#N/A,#N/A,FALSE,"Elec Act vs Bud";#N/A,#N/A,FALSE,"G&amp;A";#N/A,#N/A,FALSE,"BGS";#N/A,#N/A,FALSE,"Res Cost"}</definedName>
    <definedName name="cccc" localSheetId="14" hidden="1">{#N/A,#N/A,FALSE,"O&amp;M by processes";#N/A,#N/A,FALSE,"Elec Act vs Bud";#N/A,#N/A,FALSE,"G&amp;A";#N/A,#N/A,FALSE,"BGS";#N/A,#N/A,FALSE,"Res Cost"}</definedName>
    <definedName name="cccc" localSheetId="15" hidden="1">{#N/A,#N/A,FALSE,"O&amp;M by processes";#N/A,#N/A,FALSE,"Elec Act vs Bud";#N/A,#N/A,FALSE,"G&amp;A";#N/A,#N/A,FALSE,"BGS";#N/A,#N/A,FALSE,"Res Cost"}</definedName>
    <definedName name="cccc" localSheetId="18" hidden="1">{#N/A,#N/A,FALSE,"O&amp;M by processes";#N/A,#N/A,FALSE,"Elec Act vs Bud";#N/A,#N/A,FALSE,"G&amp;A";#N/A,#N/A,FALSE,"BGS";#N/A,#N/A,FALSE,"Res Cost"}</definedName>
    <definedName name="cccc" hidden="1">{#N/A,#N/A,FALSE,"O&amp;M by processes";#N/A,#N/A,FALSE,"Elec Act vs Bud";#N/A,#N/A,FALSE,"G&amp;A";#N/A,#N/A,FALSE,"BGS";#N/A,#N/A,FALSE,"Res Cost"}</definedName>
    <definedName name="cccccc" localSheetId="18" hidden="1">{"EXCELHLP.HLP!1802";5;10;5;10;13;13;13;8;5;5;10;14;13;13;13;13;5;10;14;13;5;10;1;2;24}</definedName>
    <definedName name="cccccc" hidden="1">{"EXCELHLP.HLP!1802";5;10;5;10;13;13;13;8;5;5;10;14;13;13;13;13;5;10;14;13;5;10;1;2;24}</definedName>
    <definedName name="CCLRR">#REF!</definedName>
    <definedName name="ccoeff">#REF!</definedName>
    <definedName name="cell_data">#REF!,#REF!,#REF!,#REF!,#REF!,#REF!,#REF!,#REF!,#REF!,#REF!,#REF!,#REF!,#REF!,#REF!,#REF!,#REF!,#REF!,#REF!,#REF!,#REF!,#REF!,#REF!</definedName>
    <definedName name="cell_data1">#REF!,#REF!,#REF!,#REF!,#REF!,#REF!,#REF!,#REF!,#REF!,#REF!,#REF!,#REF!,#REF!,#REF!,#REF!,#REF!,#REF!,#REF!</definedName>
    <definedName name="cell_data2">#REF!,#REF!,#REF!,#REF!</definedName>
    <definedName name="CEND5">#REF!</definedName>
    <definedName name="CEP_Amortization">#REF!</definedName>
    <definedName name="CER">#REF!</definedName>
    <definedName name="cf.page">#REF!</definedName>
    <definedName name="CFA">#REF!</definedName>
    <definedName name="CFCAM">#REF!</definedName>
    <definedName name="CFCAO">#REF!</definedName>
    <definedName name="CFCAP">#REF!</definedName>
    <definedName name="CFCBM">#REF!</definedName>
    <definedName name="CFCBO">#REF!</definedName>
    <definedName name="CFCBS">#REF!</definedName>
    <definedName name="CFEAM">#REF!</definedName>
    <definedName name="CFEAO">#REF!</definedName>
    <definedName name="CFEAP">#REF!</definedName>
    <definedName name="CFEBM">#REF!</definedName>
    <definedName name="CFEBO">#REF!</definedName>
    <definedName name="CFEBS">#REF!</definedName>
    <definedName name="CFLO">#REF!</definedName>
    <definedName name="CFLOA">#REF!</definedName>
    <definedName name="CFLOO">#REF!</definedName>
    <definedName name="CG">#REF!</definedName>
    <definedName name="CH_COS">#REF!</definedName>
    <definedName name="CHANGES">#REF!</definedName>
    <definedName name="Char">#REF!</definedName>
    <definedName name="charlyr">#REF!</definedName>
    <definedName name="charlyr1">#REF!</definedName>
    <definedName name="charlyr2">#REF!</definedName>
    <definedName name="CHART">#REF!</definedName>
    <definedName name="ChartAccounts">#REF!</definedName>
    <definedName name="CHIAT">#REF!</definedName>
    <definedName name="cintexp">#REF!</definedName>
    <definedName name="cip">#REF!</definedName>
    <definedName name="CIP_Year">OFFSET(#REF!,0,0,COUNTA(#REF!)-1,1)</definedName>
    <definedName name="Circuit_Breaker">#REF!</definedName>
    <definedName name="Circuit_Breaker_Concrete">#REF!</definedName>
    <definedName name="Circuit_Breaker_Labor">#REF!</definedName>
    <definedName name="Circuit_Breaker_Steel">#REF!</definedName>
    <definedName name="Circuit_Switcher">#REF!</definedName>
    <definedName name="Circuit_Switcher_Concrete">#REF!</definedName>
    <definedName name="Circuit_Switcher_Labor">#REF!</definedName>
    <definedName name="Circuit_Switcher_Steel">#REF!</definedName>
    <definedName name="City">#REF!</definedName>
    <definedName name="CL1_">#REF!</definedName>
    <definedName name="CL2DOSE">#REF!</definedName>
    <definedName name="CL2RESID">#REF!</definedName>
    <definedName name="CLADD">#REF!</definedName>
    <definedName name="Class">OFFSET(#REF!,0,0,COUNTA(#REF!),1)</definedName>
    <definedName name="Clearing">#REF!</definedName>
    <definedName name="ClientMatter" hidden="1">"b1"</definedName>
    <definedName name="Close">#REF!</definedName>
    <definedName name="close_date">#REF!</definedName>
    <definedName name="Closing_date">#REF!</definedName>
    <definedName name="Closing_Month">#REF!</definedName>
    <definedName name="CMBS_Legacy_Long_Loan">#REF!</definedName>
    <definedName name="CMBS_Legacy_Long_Treasury">#REF!</definedName>
    <definedName name="CMBS_Legacy_Short_Treasury">#REF!</definedName>
    <definedName name="CNROW">#N/A</definedName>
    <definedName name="Cnst_Loan_Amt">#REF!</definedName>
    <definedName name="Cnst_Loan_Cmp">#REF!</definedName>
    <definedName name="Cnst_Loan_Input">#REF!</definedName>
    <definedName name="Cnst_Loan_Rec">#REF!</definedName>
    <definedName name="co">230</definedName>
    <definedName name="co_name_line1">#REF!</definedName>
    <definedName name="co_name_line2">#REF!</definedName>
    <definedName name="COA">#REF!</definedName>
    <definedName name="Coal_Efficiency__BTU_LB.">#REF!</definedName>
    <definedName name="Coal_Price____TON">#REF!</definedName>
    <definedName name="COD">#REF!</definedName>
    <definedName name="COD_2012">#REF!</definedName>
    <definedName name="COD_DATE">#REF!</definedName>
    <definedName name="COD_Months">#REF!</definedName>
    <definedName name="CODE">#N/A</definedName>
    <definedName name="Code_WBS">#REF!</definedName>
    <definedName name="COGEN">#REF!</definedName>
    <definedName name="cogen_fuel">#REF!</definedName>
    <definedName name="CoInvAtl">#REF!</definedName>
    <definedName name="CoInvBeg1stQ">#REF!</definedName>
    <definedName name="CoInvBeg2ndQ">#REF!</definedName>
    <definedName name="CoInvCad">#REF!</definedName>
    <definedName name="CoInvCad2">#REF!</definedName>
    <definedName name="CoInvDKB">#REF!</definedName>
    <definedName name="CoInvGtBr">#REF!</definedName>
    <definedName name="CoInvHntgtn">#REF!</definedName>
    <definedName name="coinvirr">#REF!</definedName>
    <definedName name="CoInvKmrt">#REF!</definedName>
    <definedName name="CoInvPhl">#REF!</definedName>
    <definedName name="CoInvTmbl">#REF!</definedName>
    <definedName name="CoIRDen">#REF!</definedName>
    <definedName name="col">#REF!</definedName>
    <definedName name="col_fin">#REF!,#REF!,#REF!,#REF!,#REF!,#REF!,#REF!,#REF!,#REF!</definedName>
    <definedName name="col_percent">#REF!,#REF!,#REF!,#REF!,#REF!</definedName>
    <definedName name="COLDSU">#REF!</definedName>
    <definedName name="Coll_UG_Cable_LF_TO">#REF!</definedName>
    <definedName name="CollectionYard_Spacing">#REF!</definedName>
    <definedName name="cols">#REF!</definedName>
    <definedName name="ColumnCommand">#REF!</definedName>
    <definedName name="ColumnMember">#REF!</definedName>
    <definedName name="Columns">#REF!</definedName>
    <definedName name="COM0">#REF!</definedName>
    <definedName name="CombLiqProps">#REF!</definedName>
    <definedName name="COMFEE">#REF!</definedName>
    <definedName name="COMM_CAPACITY">#REF!</definedName>
    <definedName name="comm_ops_1">#REF!</definedName>
    <definedName name="comm_ops_2">#REF!</definedName>
    <definedName name="Commited">#REF!</definedName>
    <definedName name="CommodityCor">#REF!</definedName>
    <definedName name="COMP">#REF!</definedName>
    <definedName name="Companies">#REF!</definedName>
    <definedName name="compans">#REF!</definedName>
    <definedName name="COMPANY">#REF!</definedName>
    <definedName name="Company_Name">#REF!</definedName>
    <definedName name="COMPARE">#REF!</definedName>
    <definedName name="COMPETITIVE_SET">#REF!</definedName>
    <definedName name="compInc">#REF!</definedName>
    <definedName name="Completed">#REF!</definedName>
    <definedName name="completed2">#REF!</definedName>
    <definedName name="ComRisk_Fcst">#REF!</definedName>
    <definedName name="Concrete">#REF!</definedName>
    <definedName name="Conductor">#REF!</definedName>
    <definedName name="Conductor_Bundle">#REF!</definedName>
    <definedName name="Conductor_Bundle_ACSS">#REF!</definedName>
    <definedName name="Conductor_Information">#REF!</definedName>
    <definedName name="Conductor_Information_ACSS">#REF!</definedName>
    <definedName name="Conductor_Pick">#REF!</definedName>
    <definedName name="Conductor_Poles">#REF!</definedName>
    <definedName name="Conductor_Spacing">#REF!</definedName>
    <definedName name="Conduit">#REF!</definedName>
    <definedName name="CONSBILLSTATE">#REF!</definedName>
    <definedName name="CONSOL">#REF!</definedName>
    <definedName name="Consolid" localSheetId="8" hidden="1">{#N/A,#N/A,FALSE,"O&amp;M by processes";#N/A,#N/A,FALSE,"Elec Act vs Bud";#N/A,#N/A,FALSE,"G&amp;A";#N/A,#N/A,FALSE,"BGS";#N/A,#N/A,FALSE,"Res Cost"}</definedName>
    <definedName name="Consolid" localSheetId="14" hidden="1">{#N/A,#N/A,FALSE,"O&amp;M by processes";#N/A,#N/A,FALSE,"Elec Act vs Bud";#N/A,#N/A,FALSE,"G&amp;A";#N/A,#N/A,FALSE,"BGS";#N/A,#N/A,FALSE,"Res Cost"}</definedName>
    <definedName name="Consolid" localSheetId="15" hidden="1">{#N/A,#N/A,FALSE,"O&amp;M by processes";#N/A,#N/A,FALSE,"Elec Act vs Bud";#N/A,#N/A,FALSE,"G&amp;A";#N/A,#N/A,FALSE,"BGS";#N/A,#N/A,FALSE,"Res Cost"}</definedName>
    <definedName name="Consolid" localSheetId="18" hidden="1">{#N/A,#N/A,FALSE,"O&amp;M by processes";#N/A,#N/A,FALSE,"Elec Act vs Bud";#N/A,#N/A,FALSE,"G&amp;A";#N/A,#N/A,FALSE,"BGS";#N/A,#N/A,FALSE,"Res Cost"}</definedName>
    <definedName name="Consolid" hidden="1">{#N/A,#N/A,FALSE,"O&amp;M by processes";#N/A,#N/A,FALSE,"Elec Act vs Bud";#N/A,#N/A,FALSE,"G&amp;A";#N/A,#N/A,FALSE,"BGS";#N/A,#N/A,FALSE,"Res Cost"}</definedName>
    <definedName name="Consolidated" localSheetId="8" hidden="1">{#N/A,#N/A,FALSE,"O&amp;M by processes";#N/A,#N/A,FALSE,"Elec Act vs Bud";#N/A,#N/A,FALSE,"G&amp;A";#N/A,#N/A,FALSE,"BGS";#N/A,#N/A,FALSE,"Res Cost"}</definedName>
    <definedName name="Consolidated" localSheetId="14" hidden="1">{#N/A,#N/A,FALSE,"O&amp;M by processes";#N/A,#N/A,FALSE,"Elec Act vs Bud";#N/A,#N/A,FALSE,"G&amp;A";#N/A,#N/A,FALSE,"BGS";#N/A,#N/A,FALSE,"Res Cost"}</definedName>
    <definedName name="Consolidated" localSheetId="15" hidden="1">{#N/A,#N/A,FALSE,"O&amp;M by processes";#N/A,#N/A,FALSE,"Elec Act vs Bud";#N/A,#N/A,FALSE,"G&amp;A";#N/A,#N/A,FALSE,"BGS";#N/A,#N/A,FALSE,"Res Cost"}</definedName>
    <definedName name="Consolidated" localSheetId="18" hidden="1">{#N/A,#N/A,FALSE,"O&amp;M by processes";#N/A,#N/A,FALSE,"Elec Act vs Bud";#N/A,#N/A,FALSE,"G&amp;A";#N/A,#N/A,FALSE,"BGS";#N/A,#N/A,FALSE,"Res Cost"}</definedName>
    <definedName name="Consolidated" hidden="1">{#N/A,#N/A,FALSE,"O&amp;M by processes";#N/A,#N/A,FALSE,"Elec Act vs Bud";#N/A,#N/A,FALSE,"G&amp;A";#N/A,#N/A,FALSE,"BGS";#N/A,#N/A,FALSE,"Res Cost"}</definedName>
    <definedName name="CONSTR">#REF!</definedName>
    <definedName name="CONSTR1">#REF!</definedName>
    <definedName name="Construction_Loan_Closing">#REF!</definedName>
    <definedName name="Construction_Start_Date">#REF!</definedName>
    <definedName name="Consumables">#REF!</definedName>
    <definedName name="Contacts">#REF!</definedName>
    <definedName name="contb">#REF!</definedName>
    <definedName name="CONTIN">#REF!</definedName>
    <definedName name="Contingency">#REF!</definedName>
    <definedName name="contp">#REF!</definedName>
    <definedName name="Contract_Period">#REF!</definedName>
    <definedName name="CONTROL">#REF!</definedName>
    <definedName name="ConversionRate">#REF!</definedName>
    <definedName name="CoolingTowers">#REF!</definedName>
    <definedName name="CoolingTowersVendTable">#REF!</definedName>
    <definedName name="copy1">#REF!</definedName>
    <definedName name="CorporateDiscountRate">#REF!</definedName>
    <definedName name="CorpSec_OM_06Actual_Essbase">#REF!</definedName>
    <definedName name="Corrected_Billing">#REF!</definedName>
    <definedName name="COS">#REF!</definedName>
    <definedName name="cosotxinc">#REF!</definedName>
    <definedName name="cost" localSheetId="18" hidden="1">{#N/A,#N/A,FALSE,"T COST";#N/A,#N/A,FALSE,"COST_FH"}</definedName>
    <definedName name="cost" hidden="1">{#N/A,#N/A,FALSE,"T COST";#N/A,#N/A,FALSE,"COST_FH"}</definedName>
    <definedName name="COST_KW">#REF!</definedName>
    <definedName name="cost_of_good_sold">#REF!</definedName>
    <definedName name="Cost_Savings">#REF!</definedName>
    <definedName name="Cost_Savings_Yearly_Amount">#REF!</definedName>
    <definedName name="cost2001">#REF!</definedName>
    <definedName name="COUNTY">#REF!</definedName>
    <definedName name="Covenants">#REF!</definedName>
    <definedName name="cover">#REF!</definedName>
    <definedName name="coveragecalcs">#REF!</definedName>
    <definedName name="coverages97">#REF!</definedName>
    <definedName name="coverages98">#REF!</definedName>
    <definedName name="coverages99">#REF!</definedName>
    <definedName name="COVERINIT">#REF!</definedName>
    <definedName name="COW">#REF!</definedName>
    <definedName name="CP">#REF!</definedName>
    <definedName name="CPGALTADJ">#REF!</definedName>
    <definedName name="CPGATAX">#REF!</definedName>
    <definedName name="CPGBIADJ">#REF!</definedName>
    <definedName name="CPGRTAX">#REF!</definedName>
    <definedName name="CPGSUM">#REF!</definedName>
    <definedName name="CPGTI">#REF!</definedName>
    <definedName name="CPI">#REF!</definedName>
    <definedName name="CPI_04">#REF!</definedName>
    <definedName name="CPI_05">#REF!</definedName>
    <definedName name="CPI_06">#REF!</definedName>
    <definedName name="CPI_07">#REF!</definedName>
    <definedName name="CPI_08">#REF!</definedName>
    <definedName name="CPI_09">#REF!</definedName>
    <definedName name="CPI_10">#REF!</definedName>
    <definedName name="CPI_11">#REF!</definedName>
    <definedName name="CPI_12">#REF!</definedName>
    <definedName name="Cptl_Expdtr">#REF!</definedName>
    <definedName name="CRCL">#REF!</definedName>
    <definedName name="CRD">#REF!</definedName>
    <definedName name="CRE">#REF!</definedName>
    <definedName name="Credit">#REF!</definedName>
    <definedName name="Credit_at_Closing">#REF!</definedName>
    <definedName name="credit_life">#REF!</definedName>
    <definedName name="CREDIT_LOSS">#REF!</definedName>
    <definedName name="crentinc">#REF!</definedName>
    <definedName name="Cristina_Barrero">#REF!</definedName>
    <definedName name="_xlnm.Criteria">#REF!</definedName>
    <definedName name="Criteria_MI">#REF!</definedName>
    <definedName name="CSTART5">#REF!</definedName>
    <definedName name="CSW_Lease_Rate">#REF!</definedName>
    <definedName name="CSW_MinPayment">#REF!</definedName>
    <definedName name="CSW_Turb">#REF!</definedName>
    <definedName name="CSW_Turbines">#REF!</definedName>
    <definedName name="Ct_Fe2___Fe_OH_2">#REF!</definedName>
    <definedName name="CUM">#REF!</definedName>
    <definedName name="curliabc">#REF!</definedName>
    <definedName name="curliabp">#REF!</definedName>
    <definedName name="CURMTH">#REF!</definedName>
    <definedName name="CURRENCY">#REF!</definedName>
    <definedName name="current">#REF!</definedName>
    <definedName name="Current_Cap_Rate">#REF!</definedName>
    <definedName name="Current_sum">#REF!</definedName>
    <definedName name="Current_Year">#REF!</definedName>
    <definedName name="CUSTAR">#REF!</definedName>
    <definedName name="Customer_Refunds_Paid">#REF!</definedName>
    <definedName name="Customers">#REF!</definedName>
    <definedName name="custservcompare0607">#REF!</definedName>
    <definedName name="CUT">#REF!</definedName>
    <definedName name="CUTINS">#REF!</definedName>
    <definedName name="CUYAHOGA_FALLS">#REF!</definedName>
    <definedName name="CV">#REF!</definedName>
    <definedName name="CV_2">#REF!</definedName>
    <definedName name="Cwvu.GREY_ALL." localSheetId="18" hidden="1">#REF!</definedName>
    <definedName name="Cwvu.GREY_ALL." hidden="1">#REF!</definedName>
    <definedName name="cydepr">#REF!</definedName>
    <definedName name="CYEAR">#REF!</definedName>
    <definedName name="D">#N/A</definedName>
    <definedName name="d_">#REF!</definedName>
    <definedName name="D_1">#REF!</definedName>
    <definedName name="da" localSheetId="8" hidden="1">{#N/A,#N/A,FALSE,"O&amp;M by processes";#N/A,#N/A,FALSE,"Elec Act vs Bud";#N/A,#N/A,FALSE,"G&amp;A";#N/A,#N/A,FALSE,"BGS";#N/A,#N/A,FALSE,"Res Cost"}</definedName>
    <definedName name="da" localSheetId="14" hidden="1">{#N/A,#N/A,FALSE,"O&amp;M by processes";#N/A,#N/A,FALSE,"Elec Act vs Bud";#N/A,#N/A,FALSE,"G&amp;A";#N/A,#N/A,FALSE,"BGS";#N/A,#N/A,FALSE,"Res Cost"}</definedName>
    <definedName name="da" localSheetId="15" hidden="1">{#N/A,#N/A,FALSE,"O&amp;M by processes";#N/A,#N/A,FALSE,"Elec Act vs Bud";#N/A,#N/A,FALSE,"G&amp;A";#N/A,#N/A,FALSE,"BGS";#N/A,#N/A,FALSE,"Res Cost"}</definedName>
    <definedName name="da" localSheetId="18" hidden="1">{#N/A,#N/A,FALSE,"O&amp;M by processes";#N/A,#N/A,FALSE,"Elec Act vs Bud";#N/A,#N/A,FALSE,"G&amp;A";#N/A,#N/A,FALSE,"BGS";#N/A,#N/A,FALSE,"Res Cost"}</definedName>
    <definedName name="da" hidden="1">{#N/A,#N/A,FALSE,"O&amp;M by processes";#N/A,#N/A,FALSE,"Elec Act vs Bud";#N/A,#N/A,FALSE,"G&amp;A";#N/A,#N/A,FALSE,"BGS";#N/A,#N/A,FALSE,"Res Cost"}</definedName>
    <definedName name="dada" localSheetId="8" hidden="1">{#N/A,#N/A,FALSE,"O&amp;M by processes";#N/A,#N/A,FALSE,"Elec Act vs Bud";#N/A,#N/A,FALSE,"G&amp;A";#N/A,#N/A,FALSE,"BGS";#N/A,#N/A,FALSE,"Res Cost"}</definedName>
    <definedName name="dada" localSheetId="14" hidden="1">{#N/A,#N/A,FALSE,"O&amp;M by processes";#N/A,#N/A,FALSE,"Elec Act vs Bud";#N/A,#N/A,FALSE,"G&amp;A";#N/A,#N/A,FALSE,"BGS";#N/A,#N/A,FALSE,"Res Cost"}</definedName>
    <definedName name="dada" localSheetId="15" hidden="1">{#N/A,#N/A,FALSE,"O&amp;M by processes";#N/A,#N/A,FALSE,"Elec Act vs Bud";#N/A,#N/A,FALSE,"G&amp;A";#N/A,#N/A,FALSE,"BGS";#N/A,#N/A,FALSE,"Res Cost"}</definedName>
    <definedName name="dada" localSheetId="18" hidden="1">{#N/A,#N/A,FALSE,"O&amp;M by processes";#N/A,#N/A,FALSE,"Elec Act vs Bud";#N/A,#N/A,FALSE,"G&amp;A";#N/A,#N/A,FALSE,"BGS";#N/A,#N/A,FALSE,"Res Cost"}</definedName>
    <definedName name="dada" hidden="1">{#N/A,#N/A,FALSE,"O&amp;M by processes";#N/A,#N/A,FALSE,"Elec Act vs Bud";#N/A,#N/A,FALSE,"G&amp;A";#N/A,#N/A,FALSE,"BGS";#N/A,#N/A,FALSE,"Res Cost"}</definedName>
    <definedName name="dae">#REF!</definedName>
    <definedName name="daily_pk_vols">#REF!</definedName>
    <definedName name="DAS">#REF!</definedName>
    <definedName name="data">#REF!</definedName>
    <definedName name="data_3">#REF!</definedName>
    <definedName name="DATA_AREA">#N/A</definedName>
    <definedName name="data_Env">#REF!</definedName>
    <definedName name="data_FIN">#REF!,#REF!,#REF!,#REF!,#REF!,#REF!</definedName>
    <definedName name="Data_Listing">#REF!</definedName>
    <definedName name="data_NonOP">#REF!</definedName>
    <definedName name="data_PER">#REF!,#REF!,#REF!,#REF!,#REF!</definedName>
    <definedName name="data_Prod">#REF!</definedName>
    <definedName name="data_SiteGA">#REF!</definedName>
    <definedName name="data1">#REF!</definedName>
    <definedName name="DATA10">#REF!</definedName>
    <definedName name="DATA11">#REF!</definedName>
    <definedName name="DATA12">#REF!</definedName>
    <definedName name="DATA13">#REF!</definedName>
    <definedName name="DATA14">#REF!</definedName>
    <definedName name="DATA15">#REF!</definedName>
    <definedName name="DATA16">#REF!</definedName>
    <definedName name="DATA17">#REF!</definedName>
    <definedName name="DATA18">#REF!</definedName>
    <definedName name="DATA19">#REF!</definedName>
    <definedName name="DATA2">#REF!</definedName>
    <definedName name="DATA20">#REF!</definedName>
    <definedName name="data2006">#REF!</definedName>
    <definedName name="DATA21">#REF!</definedName>
    <definedName name="DATA22">#REF!</definedName>
    <definedName name="DATA23">#REF!</definedName>
    <definedName name="DATA24">#REF!</definedName>
    <definedName name="DATA25">#REF!</definedName>
    <definedName name="DATA26">#REF!</definedName>
    <definedName name="DATA27">#REF!</definedName>
    <definedName name="DATA28">#REF!</definedName>
    <definedName name="DATA29">#REF!</definedName>
    <definedName name="data3">#REF!</definedName>
    <definedName name="DATA30">#REF!</definedName>
    <definedName name="DATA31">#REF!</definedName>
    <definedName name="DATA32">#REF!</definedName>
    <definedName name="DATA33">#REF!</definedName>
    <definedName name="DATA34">#REF!</definedName>
    <definedName name="DATA35">#REF!</definedName>
    <definedName name="DATA36">#REF!</definedName>
    <definedName name="DATA37">#REF!</definedName>
    <definedName name="DATA38">#REF!</definedName>
    <definedName name="DATA39">#REF!</definedName>
    <definedName name="DATA4">#REF!</definedName>
    <definedName name="DATA5">#REF!</definedName>
    <definedName name="DATA6">#REF!</definedName>
    <definedName name="DATA7">#REF!</definedName>
    <definedName name="DATA8">#REF!</definedName>
    <definedName name="DATA9">#REF!</definedName>
    <definedName name="_xlnm.Database">#REF!</definedName>
    <definedName name="Database_MI">#REF!</definedName>
    <definedName name="DatabaseNameCopy">#REF!</definedName>
    <definedName name="DatabaseNameDG">#REF!</definedName>
    <definedName name="DatabseNameOut">#REF!</definedName>
    <definedName name="DATB6">#REF!</definedName>
    <definedName name="Date" hidden="1">"b1"</definedName>
    <definedName name="Date_Cnst_Loan">#REF!</definedName>
    <definedName name="Date_Coll_Start">#REF!</definedName>
    <definedName name="Date_Comm_Ops">#REF!</definedName>
    <definedName name="Date_Equip_Del">#REF!</definedName>
    <definedName name="Date_Erec_Complt">#REF!</definedName>
    <definedName name="Date_Erec_Start">#REF!</definedName>
    <definedName name="Date_Fnd_Cmplt">#REF!</definedName>
    <definedName name="Date_Grd_Brk">#REF!</definedName>
    <definedName name="Date_Mech_Complt_End">#REF!</definedName>
    <definedName name="Date_Partial_Yr">#REF!</definedName>
    <definedName name="date_price_table">#REF!</definedName>
    <definedName name="Date_Prj_COD">#REF!</definedName>
    <definedName name="Date_Proj_Start">#REF!</definedName>
    <definedName name="Date_Rd_Start">#REF!</definedName>
    <definedName name="Date_SubS_Energize">#REF!</definedName>
    <definedName name="Date_Term_Loan_Beg">#REF!</definedName>
    <definedName name="Date_Term_Loan_End">#REF!</definedName>
    <definedName name="DATE_TIME">#N/A</definedName>
    <definedName name="Date_TLine_Complt">#REF!</definedName>
    <definedName name="Date_TLine_Start">#REF!</definedName>
    <definedName name="Date_Trans_Start">#REF!</definedName>
    <definedName name="Date_WFarm_Start">#REF!</definedName>
    <definedName name="Date_WTG_Last_Comm">#REF!</definedName>
    <definedName name="date2">#REF!</definedName>
    <definedName name="date44">#REF!</definedName>
    <definedName name="DateAcquisition">#REF!</definedName>
    <definedName name="DateColumn">#REF!</definedName>
    <definedName name="DateColumnRowOut">#REF!</definedName>
    <definedName name="DateComOp">#REF!</definedName>
    <definedName name="DATET">#REF!</definedName>
    <definedName name="DAYS">#REF!</definedName>
    <definedName name="DAYS_YEAR">#REF!</definedName>
    <definedName name="DaySelection">#REF!</definedName>
    <definedName name="DaysList">#REF!</definedName>
    <definedName name="DCF">#N/A</definedName>
    <definedName name="dd" localSheetId="18" hidden="1">{#N/A,#N/A,FALSE,"95CAPGRY"}</definedName>
    <definedName name="dd" hidden="1">{#N/A,#N/A,FALSE,"95CAPGRY"}</definedName>
    <definedName name="ddd" localSheetId="18" hidden="1">{#N/A,#N/A,FALSE,"Results";#N/A,#N/A,FALSE,"Input Data";#N/A,#N/A,FALSE,"Generation Calculation";#N/A,#N/A,FALSE,"Unit Heat Rate Calculation";#N/A,#N/A,FALSE,"BEFF.XLS";#N/A,#N/A,FALSE,"TURBEFF.XLS";#N/A,#N/A,FALSE,"Final FWH Extraction Flow";#N/A,#N/A,FALSE,"Condenser Performance";#N/A,#N/A,FALSE,"Stage Pressure Correction"}</definedName>
    <definedName name="ddd" hidden="1">{#N/A,#N/A,FALSE,"Results";#N/A,#N/A,FALSE,"Input Data";#N/A,#N/A,FALSE,"Generation Calculation";#N/A,#N/A,FALSE,"Unit Heat Rate Calculation";#N/A,#N/A,FALSE,"BEFF.XLS";#N/A,#N/A,FALSE,"TURBEFF.XLS";#N/A,#N/A,FALSE,"Final FWH Extraction Flow";#N/A,#N/A,FALSE,"Condenser Performance";#N/A,#N/A,FALSE,"Stage Pressure Correction"}</definedName>
    <definedName name="DDDD">#REF!</definedName>
    <definedName name="dddddd">{#N/A,#N/A,FALSE,"CAPREIT"}</definedName>
    <definedName name="ddddddd">{#N/A,#N/A,FALSE,"CAPREIT"}</definedName>
    <definedName name="DDOWN">#REF!</definedName>
    <definedName name="de">#REF!</definedName>
    <definedName name="Debit">#REF!</definedName>
    <definedName name="DEBT">#REF!</definedName>
    <definedName name="Debt_Schedule">#REF!</definedName>
    <definedName name="DEBT1">#REF!</definedName>
    <definedName name="debt97">#REF!</definedName>
    <definedName name="debt98">#REF!</definedName>
    <definedName name="debt99">#REF!</definedName>
    <definedName name="debtsenior">#REF!</definedName>
    <definedName name="dec">#REF!</definedName>
    <definedName name="deccwip">#REF!</definedName>
    <definedName name="Decisions">1</definedName>
    <definedName name="DefaultCopy">#REF!</definedName>
    <definedName name="DefaultPaste">#REF!</definedName>
    <definedName name="Deferral_Interest_Rate">#REF!</definedName>
    <definedName name="Deferral_Recovery">#REF!</definedName>
    <definedName name="DefTax">#REF!</definedName>
    <definedName name="DEG_HR">#REF!</definedName>
    <definedName name="DEG_POWER">#REF!</definedName>
    <definedName name="DEGR_NET_CAP">#REF!</definedName>
    <definedName name="delete" localSheetId="8" hidden="1">{#N/A,#N/A,FALSE,"CURRENT"}</definedName>
    <definedName name="delete" localSheetId="14" hidden="1">{#N/A,#N/A,FALSE,"CURRENT"}</definedName>
    <definedName name="delete" localSheetId="15" hidden="1">{#N/A,#N/A,FALSE,"CURRENT"}</definedName>
    <definedName name="delete" localSheetId="18" hidden="1">{#N/A,#N/A,FALSE,"CURRENT"}</definedName>
    <definedName name="delete" hidden="1">{#N/A,#N/A,FALSE,"CURRENT"}</definedName>
    <definedName name="Delivery_Start">#REF!</definedName>
    <definedName name="Delivery_Start_1">#REF!</definedName>
    <definedName name="Delivery_Start_2">#REF!</definedName>
    <definedName name="DELTA" localSheetId="18" hidden="1">{#N/A,#N/A,FALSE,"Sum6 (1)"}</definedName>
    <definedName name="DELTA" hidden="1">{#N/A,#N/A,FALSE,"Sum6 (1)"}</definedName>
    <definedName name="DEP">#REF!</definedName>
    <definedName name="DEPAMT">#REF!</definedName>
    <definedName name="depreciation">#REF!</definedName>
    <definedName name="Depreciation_Life">#REF!</definedName>
    <definedName name="Depreciation_Period">#REF!</definedName>
    <definedName name="Depreciation_Period_Additions">#REF!</definedName>
    <definedName name="depreciation97">#REF!</definedName>
    <definedName name="depreciation98">#REF!</definedName>
    <definedName name="depreciation99">#REF!</definedName>
    <definedName name="Deprecitaion_Additions">#REF!</definedName>
    <definedName name="DeptDescr">#REF!</definedName>
    <definedName name="DeptDescr2">#REF!</definedName>
    <definedName name="DeptID">#REF!</definedName>
    <definedName name="DeptID2">#REF!</definedName>
    <definedName name="des" localSheetId="18" hidden="1">{#N/A,#N/A,FALSE,"Transaction Summary-DTW";#N/A,#N/A,FALSE,"Proforma Five Yr";#N/A,#N/A,FALSE,"Occ and Rate"}</definedName>
    <definedName name="des" hidden="1">{#N/A,#N/A,FALSE,"Transaction Summary-DTW";#N/A,#N/A,FALSE,"Proforma Five Yr";#N/A,#N/A,FALSE,"Occ and Rate"}</definedName>
    <definedName name="DescriptionColumn1">#REF!</definedName>
    <definedName name="DescriptionColumn2">#REF!</definedName>
    <definedName name="DescriptionOut">#REF!</definedName>
    <definedName name="DestDBname">#REF!</definedName>
    <definedName name="DestStudyName">#REF!</definedName>
    <definedName name="DestStudyNameCopy">#REF!</definedName>
    <definedName name="DestUserName">#REF!</definedName>
    <definedName name="detail">#REF!</definedName>
    <definedName name="detail_colB">#REF!,#REF!,#REF!,#REF!,#REF!,#REF!</definedName>
    <definedName name="detail_colS">#REF!,#REF!,#REF!,#REF!,#REF!</definedName>
    <definedName name="detail_data">#REF!,#REF!</definedName>
    <definedName name="DETAIL_EST">#REF!</definedName>
    <definedName name="DEVCOSTS">#REF!</definedName>
    <definedName name="df" localSheetId="18" hidden="1">{2;#N/A;"R13C16:R17C16";#N/A;"R13C14:R17C15";FALSE;FALSE;FALSE;95;#N/A;#N/A;"R13C19";#N/A;FALSE;FALSE;FALSE;FALSE;#N/A;"";#N/A;FALSE;"";"";#N/A;#N/A;#N/A}</definedName>
    <definedName name="df" hidden="1">{2;#N/A;"R13C16:R17C16";#N/A;"R13C14:R17C15";FALSE;FALSE;FALSE;95;#N/A;#N/A;"R13C19";#N/A;FALSE;FALSE;FALSE;FALSE;#N/A;"";#N/A;FALSE;"";"";#N/A;#N/A;#N/A}</definedName>
    <definedName name="DICF">#REF!</definedName>
    <definedName name="DIF_DETAIL">#REF!</definedName>
    <definedName name="DIF_SUM">#REF!</definedName>
    <definedName name="DIF_SUM_SUM">#REF!</definedName>
    <definedName name="diffexpl">#REF!</definedName>
    <definedName name="DIR_HOURS">#REF!</definedName>
    <definedName name="Disconnect_Switch">#REF!</definedName>
    <definedName name="Disconnect_Switch_Concrete">#REF!</definedName>
    <definedName name="Disconnect_Switch_Labor">#REF!</definedName>
    <definedName name="Disconnect_Switch_Steel">#REF!</definedName>
    <definedName name="Discount_Rate">#REF!</definedName>
    <definedName name="discrate">#REF!</definedName>
    <definedName name="DISPATCH">#REF!</definedName>
    <definedName name="DISTR">#REF!</definedName>
    <definedName name="Dividend">#REF!</definedName>
    <definedName name="DLS">#REF!</definedName>
    <definedName name="DMK">#REF!</definedName>
    <definedName name="dmoe" hidden="1">"45E1EZH1GI603A6TQ7A2B7Y0J"</definedName>
    <definedName name="docket_no">#REF!</definedName>
    <definedName name="docket_num">#REF!</definedName>
    <definedName name="DocumentName" hidden="1">"b1"</definedName>
    <definedName name="DocumentNum" hidden="1">"a1"</definedName>
    <definedName name="DONE">#REF!</definedName>
    <definedName name="doswtxinc">#REF!</definedName>
    <definedName name="doubtxinc">#REF!</definedName>
    <definedName name="Downtime">#REF!</definedName>
    <definedName name="DP">#REF!</definedName>
    <definedName name="DP_2">#REF!</definedName>
    <definedName name="DPC">#REF!</definedName>
    <definedName name="dr" hidden="1">"45E1COOP3K6ZCCKMU61PY1S6R"</definedName>
    <definedName name="DSR">#REF!</definedName>
    <definedName name="DSR_FEE">#REF!</definedName>
    <definedName name="DSR_MOS">#REF!</definedName>
    <definedName name="DSUMDATA">#REF!</definedName>
    <definedName name="Duration_Delta">#REF!</definedName>
    <definedName name="E">#REF!</definedName>
    <definedName name="E_1">#REF!</definedName>
    <definedName name="E_Rate" localSheetId="19">HLOOKUP(ProjectYear,tblEnergyRate,swEnergytbl+1)</definedName>
    <definedName name="E_Rate">HLOOKUP(ProjectYear,tblEnergyRate,swEnergytbl+1)</definedName>
    <definedName name="Earning_Amounts">#REF!</definedName>
    <definedName name="EarningsCode_Table">#REF!</definedName>
    <definedName name="ebentxinc">#REF!</definedName>
    <definedName name="EC">#REF!</definedName>
    <definedName name="ECDescr">#REF!</definedName>
    <definedName name="ECDescr2">#REF!</definedName>
    <definedName name="ECID">#REF!</definedName>
    <definedName name="economy">#REF!</definedName>
    <definedName name="EDGERTON">#REF!</definedName>
    <definedName name="eee">#REF!</definedName>
    <definedName name="eeee" localSheetId="8" hidden="1">{#N/A,#N/A,FALSE,"O&amp;M by processes";#N/A,#N/A,FALSE,"Elec Act vs Bud";#N/A,#N/A,FALSE,"G&amp;A";#N/A,#N/A,FALSE,"BGS";#N/A,#N/A,FALSE,"Res Cost"}</definedName>
    <definedName name="eeee" localSheetId="14" hidden="1">{#N/A,#N/A,FALSE,"O&amp;M by processes";#N/A,#N/A,FALSE,"Elec Act vs Bud";#N/A,#N/A,FALSE,"G&amp;A";#N/A,#N/A,FALSE,"BGS";#N/A,#N/A,FALSE,"Res Cost"}</definedName>
    <definedName name="eeee" localSheetId="15" hidden="1">{#N/A,#N/A,FALSE,"O&amp;M by processes";#N/A,#N/A,FALSE,"Elec Act vs Bud";#N/A,#N/A,FALSE,"G&amp;A";#N/A,#N/A,FALSE,"BGS";#N/A,#N/A,FALSE,"Res Cost"}</definedName>
    <definedName name="eeee" localSheetId="18" hidden="1">{#N/A,#N/A,FALSE,"O&amp;M by processes";#N/A,#N/A,FALSE,"Elec Act vs Bud";#N/A,#N/A,FALSE,"G&amp;A";#N/A,#N/A,FALSE,"BGS";#N/A,#N/A,FALSE,"Res Cost"}</definedName>
    <definedName name="eeee" hidden="1">{#N/A,#N/A,FALSE,"O&amp;M by processes";#N/A,#N/A,FALSE,"Elec Act vs Bud";#N/A,#N/A,FALSE,"G&amp;A";#N/A,#N/A,FALSE,"BGS";#N/A,#N/A,FALSE,"Res Cost"}</definedName>
    <definedName name="Eff_Tax_Rate">#REF!</definedName>
    <definedName name="EffectiveDate">#REF!</definedName>
    <definedName name="EFOR">#REF!</definedName>
    <definedName name="EITF">#REF!</definedName>
    <definedName name="Elapsed">#REF!</definedName>
    <definedName name="elec_tax">#REF!</definedName>
    <definedName name="ELECT">#REF!</definedName>
    <definedName name="Ellwood_City">#REF!</definedName>
    <definedName name="ELMORE">#REF!</definedName>
    <definedName name="Embed_Ratio">#REF!</definedName>
    <definedName name="Embeds">#REF!</definedName>
    <definedName name="emergency">#REF!</definedName>
    <definedName name="EmpDataAllGrps">#REF!</definedName>
    <definedName name="EmpDatabyBU">#REF!</definedName>
    <definedName name="employees">#REF!</definedName>
    <definedName name="en" localSheetId="19">HLOOKUP(ProjectYear,tblEnergyRate,swEnergytbl+1)</definedName>
    <definedName name="en">HLOOKUP(ProjectYear,tblEnergyRate,swEnergytbl+1)</definedName>
    <definedName name="ENCF">#REF!</definedName>
    <definedName name="End_Bal">#REF!</definedName>
    <definedName name="END_DATA">#N/A</definedName>
    <definedName name="End_Date">#REF!</definedName>
    <definedName name="END_MSG">#N/A</definedName>
    <definedName name="EndContractMonthCor">#REF!</definedName>
    <definedName name="EndDateOut">#REF!</definedName>
    <definedName name="EndEffDateCor">#REF!</definedName>
    <definedName name="Energization">#REF!</definedName>
    <definedName name="Energization_1">#REF!</definedName>
    <definedName name="Energization_2">#REF!</definedName>
    <definedName name="Energy" localSheetId="19">HLOOKUP(ProjectYear,tblEnergyRate,swEnergytbl+1)</definedName>
    <definedName name="Energy">HLOOKUP(ProjectYear,tblEnergyRate,swEnergytbl+1)</definedName>
    <definedName name="Energy2" localSheetId="19">HLOOKUP(ProjectYear,tblEnergyRate,swEnergytbl+1)</definedName>
    <definedName name="Energy2">HLOOKUP(ProjectYear,tblEnergyRate,swEnergytbl+1)</definedName>
    <definedName name="EnergyInflationRate">#REF!</definedName>
    <definedName name="EnergyRate" localSheetId="19">HLOOKUP(ProjectYear,tblEnergyRate,swEnergytbl+1)</definedName>
    <definedName name="EnergyRate">HLOOKUP(ProjectYear,tblEnergyRate,swEnergytbl+1)</definedName>
    <definedName name="Energyrate1" localSheetId="19">HLOOKUP(ProjectYear,tblEnergyRate,swEnergytbl+1)</definedName>
    <definedName name="Energyrate1">HLOOKUP(ProjectYear,tblEnergyRate,swEnergytbl+1)</definedName>
    <definedName name="Enthalpy">#REF!</definedName>
    <definedName name="Enthalpy3C">#REF!</definedName>
    <definedName name="Enthalpy3T">#REF!</definedName>
    <definedName name="Enthalpy4C">#REF!</definedName>
    <definedName name="enthalpy4c1">#REF!</definedName>
    <definedName name="Enthalpy4T">#REF!</definedName>
    <definedName name="Entity">OFFSET(#REF!,0,0,COUNTA(#REF!),1)</definedName>
    <definedName name="EntityName">#REF!</definedName>
    <definedName name="EntityNameOut">#REF!</definedName>
    <definedName name="EntityType">OFFSET(#REF!,0,0,COUNTA(#REF!),1)</definedName>
    <definedName name="EntityTypeOut">#REF!</definedName>
    <definedName name="entry">#REF!,#REF!,#REF!,#REF!,#REF!,#REF!</definedName>
    <definedName name="EntryFields">#REF!,#REF!,#REF!,#REF!,#REF!,#REF!</definedName>
    <definedName name="ENVIR">#REF!</definedName>
    <definedName name="Environmental">#REF!</definedName>
    <definedName name="EPMWorkbookOptions_1">"R7UAAB|LCAAAAAAABADtnW1zmkoUgL93pv8h43cVFI1mTDp0ReNcBQqY3DbTYVDXhKmKF0zT/vu7KFFBNKKEsMvOdKYGzq67j|fsC3vOofHlz3Ry8RvajmnNrnNsgcldwNnQGpmzx|vc82KcZ6u5LzefPzXuLfvXwLJ|SfMFEnUuULmZc/XHMa9zT4vF/KpYfHl5KbyUC5b9WCwxDFv8t9dVh09wauTNmbMwZkOYW5cavV0qh7714qIBrNkMDt3"</definedName>
    <definedName name="EPMWorkbookOptions_10" hidden="1">"E5OY4m0EX|yCl9IxOEZxgYxmfCHzJxOn|9V6VqVTRGGloNNdt/LH89L0RnuCpUdpRYkS8elKplecjyKxD6QaBwtQyD4GAY4r0jNAfkKOAwPeknBTl5tWWSgWNBwTN1RBQi|y6iPpRsKWehBbdmT2I8NP4hv94QVN4RE/h4RjzxxFbGM8nhaE1dRN5sHsSeXx4Co83kncElOZQgPQBURzChg|E/B5TfhUWvD/2|IPChhN2PYgSNozJApBY14P07F"</definedName>
    <definedName name="EPMWorkbookOptions_11" hidden="1">"QS9w8lMC1kuJubeCd804VuB/ttdbxYCPH|S48F0wimjWAMEQiuPxeoMhz2Ly6JEUeNK5Uojo12lCrYJx2IFQeX2TwuoTiq2GdxSdfslqinH4H59amnH4nJU6KEGmASaBeS8SDLjvXhOCiNzRjGN0lIEJKiMSxRb2USneqptzJR3srpMc2Ek5ASGEkQmkCQIyCBYJxAmBp9SVzMhkt97LcEqY/9e9CgPvbUxz5lNrtyLN5|C1rGfe23UWg6z|NOI"</definedName>
    <definedName name="EPMWorkbookOptions_12" hidden="1">"z22Sr2tA4IxudXirqHxkCDF3Zo4Z9Lti5oV7HxDgWMbOk/STJrD2auLof/iUg5MoGG7lUoz1fgNXyWDl5ey95b9a2BZv5CVLpYYX6V3b/jlX0ber9boOHeGbRqDCexB|3FTw871z5821UrzFY3/AbMALC1HtQAA"</definedName>
    <definedName name="EPMWorkbookOptions_2" hidden="1">"v1CzwbNtwtrgz4cvypu9201gY3lV0XTSmcPVt629awOn82TaXX9V3oC3bcAxRfUNYQA3K3egtuad/lYF4zzL6g1fo0UL3uBJXGM8nhaE1vaoxDFN0jHlxMB8Wf|oPqICO2o0|yV1e1GVBcT|PjYkDfzaKbjM2jeLn84k5NLYAHt241zr8tWxd9vp8s25F4MtXtDYAL4p7b92aoxGcNc0pnDnLpu4X3TTT8ckgKfXJelnXAayJZd8s7GfYKIbcOF"</definedName>
    <definedName name="EPMWorkbookOptions_3" hidden="1">"R02YuQkju98woijVjAP4uW8duyzQVq16bszq0jirdM21kcqGN1P1DRupH7|RwrtS3Xn5n/PcNlx3kApL6oNYphNw/VsQKOzLrCsOUau1VB2E|xLCvZI2jflBvF1YfQ2p35xPgr29Yc2ou/N2ylWhnDwThfqY64PFca1/O1CoR5xoAlbjS45C4HZfeb/aVCKu4azkKFE2ThcNSD0wEaqELE/DoZKoBEVuW3MD14EH8WHmReEUTtlkUfFRZZODLdH"</definedName>
    <definedName name="EPMWorkbookOptions_4" hidden="1">"fE91d6a0Dbs4dPfjegFGhavZubkOufqTS5gP4d/2ePKNopvdThGIuo/mqTxXcrEY1JaaomrJoUyhRIwHZYS2SLy40df5FW10xaFJu5gGsVjRuOtCeXdJj8A9Puv6ulzH8NwaBl3/NTHkTf1rRD6xzQA2roEcFfTuIi45usu7gFwL2MOJW22q8uacrL9lsuVCsdxx9tvhVT7dTFSjX1vjZV6Mi9|P1ldq5csU6tdHq|uVQLVdcVwo6tld77J9LZi"</definedName>
    <definedName name="EPMWorkbookOptions_5" hidden="1">"B4lrvkB3n99ouncT/d8UsDflmAnx3a6fj95WJFXVRUGjpHykymUW|w1q6uaBs5YuaOtRrZbLEfYel8ROBruLFyBT446Gi2VZ7J9VpsfCm7zGq1JfAUKCz9Vr5Bn4hqNfYV3j3rpH9TasmSfobasvomWRIvAJqm2dPLVdY/Q/FmtlepsSAsU15Zb|o8XritTt9mWKxq8vembPQPYqC4s9kvSM9u4MqvHtBMd6lokw2BuwPqjXuXp|NBiU81yFreU"</definedName>
    <definedName name="EPMWorkbookOptions_6" hidden="1">"H40sjb1RH5UG9XCmVxqMUDPYeRb|iNjWdiME|PcoqK1Kro4FztsyR1bVEnrauMQYO3AW2nGk3hBAuJY8Li7hwlIvvibtMxOj2LlD0jpjZo|/9owsyoxL|o0sKp8PzniJHX8Gx5G3XfSwDJk0HuhAyRK0Y0mPTiqyBvoIIg9N9BE6w6CirXEwseoskUlX0r69i7zUZGwvAY88iPTardXpJnvEQ|PzEJeifWkoISiHT8|4eJtn1id8D5BsFsgWEqZ"</definedName>
    <definedName name="EPMWorkbookOptions_7" hidden="1">"JhNSka3RVe1L7LSY7wLIHhca8YAyEtBMT4pEdV7wRF7UhikppKnqJ6EP16eqdj7xkVMw8ZbSUoEZ|GFHAHkp6RrCfwal8RzgjLiz6UERiY94pxtemXBaUjNTuZPZnYoSFiHw0Ro8UeIeRrTbhQoxiWUcR39VUc1RaWbyWxLCxh2VfcdCtAElW9K7TRJuojc69smvFG8pXg73hIY8JDzQNx5vwtqwrg9hjbOM0qTrGHQ5YQucv9ZkfrNP29vu2o2"</definedName>
    <definedName name="EPMWorkbookOptions_8" hidden="1">"nG5OvDstOv5H|L1f/TTAkx73VciPf3Hs5fa7s66Xq|T21|0Al/9qncEG6x/ufJdw0Z/D9w5kBjsAK210J3pmANzYoaspcOf3R3/4K6xao|XnMv740CP32qTT/hgX7OYAm25rEpVDjR6iLclGOuBVRX3TVbcQCoUiB/IUSuVLAHB/kwkbiCXuANJz6NVIIltkGDOgShHRJjMdEuEgag0uSvkO2KG8wqEIclrUmYDOvcpSasjUiQ|JXGfdFIkQbtp"</definedName>
    <definedName name="EPMWorkbookOptions_9" hidden="1">"444kTVNeT04uQSCBvtQuQH9QhCgIeqYH9yAQ4OZwpjg2OCoUB10L7dUPBAR3GOmZ37zzzORyWEfxT8VkTxd|JkyEL3W8SI4|Js8Mkk5T74AeReJHQk0nCEUFt02919YVAXR5Ffstb4rmPwCSfHkRgY6iZzmBebWmUknjAeKmgeFLaM|rUB5rBWFbovSV8liP7mQsFtMzqnsOi8m9KoHEN3uc6fTpVUw19VB3bkA/yfQ7JL7RI6KXrldRKtXybAY"</definedName>
    <definedName name="EPS">#REF!</definedName>
    <definedName name="Equip_Delivery_Date">#REF!</definedName>
    <definedName name="Equipment_Spacing">#REF!</definedName>
    <definedName name="equity">#REF!</definedName>
    <definedName name="Equity_Sponsor_Participation">#REF!</definedName>
    <definedName name="ER_Table">#REF!</definedName>
    <definedName name="ERASEERR">#N/A</definedName>
    <definedName name="Erect_Time">#REF!</definedName>
    <definedName name="Erect_Time_1">#REF!</definedName>
    <definedName name="Erect_Time_2">#REF!</definedName>
    <definedName name="EROA">#REF!</definedName>
    <definedName name="ESA">#REF!</definedName>
    <definedName name="ESC_BOILER_FUEL">#REF!</definedName>
    <definedName name="ESC_DUCT_FUEL">#REF!</definedName>
    <definedName name="ESC_EXCESS_ELEC">#REF!</definedName>
    <definedName name="ESC_GT_FUEL">#REF!</definedName>
    <definedName name="ESC_HOST_CAP">#REF!</definedName>
    <definedName name="ESC_O_M">#REF!</definedName>
    <definedName name="ESC_STEAM">#REF!</definedName>
    <definedName name="ESC_UTIL">#REF!</definedName>
    <definedName name="ESI">#REF!</definedName>
    <definedName name="esireport">#REF!,#REF!,#REF!,#REF!,#REF!,#REF!,#REF!,#REF!</definedName>
    <definedName name="Ess_300">#REF!</definedName>
    <definedName name="Ess_304">#REF!</definedName>
    <definedName name="EssAliasTable">"Default"</definedName>
    <definedName name="EssLatest">"JAN"</definedName>
    <definedName name="EssOptions">"A3100001100110100000001100000_01008#Missing"</definedName>
    <definedName name="Est_Avoided_Cost">#REF!</definedName>
    <definedName name="EST_COMFEE">#REF!</definedName>
    <definedName name="EST_FINCFEE">#REF!</definedName>
    <definedName name="Est_Life">#REF!</definedName>
    <definedName name="EST_T5">#REF!</definedName>
    <definedName name="EST0">#REF!</definedName>
    <definedName name="Estimate">#REF!</definedName>
    <definedName name="ET">#REF!</definedName>
    <definedName name="etl" localSheetId="18" hidden="1">{#N/A,#N/A,FALSE,"Results";#N/A,#N/A,FALSE,"Input Data";#N/A,#N/A,FALSE,"Generation Calculation";#N/A,#N/A,FALSE,"Unit Heat Rate Calculation";#N/A,#N/A,FALSE,"Final FWH Extraction Flow";#N/A,#N/A,FALSE,"BEFF.XLS";#N/A,#N/A,FALSE,"TURBEFF.XLS";#N/A,#N/A,FALSE,"Condenser Performance";#N/A,#N/A,FALSE,"Stage Pressure Correction";#N/A,#N/A,FALSE,"Electrical Loss Correction";#N/A,#N/A,FALSE,"Throttle P &amp; T Correction";#N/A,#N/A,FALSE,"Final FWH TTD Correction";#N/A,#N/A,FALSE,"Reheat T &amp; dP Correction";#N/A,#N/A,FALSE,"Auxiliary Steam &amp; Extr Corr";#N/A,#N/A,FALSE,"SHS &amp; RHS Correction";#N/A,#N/A,FALSE,"Change Log"}</definedName>
    <definedName name="etl" hidden="1">{#N/A,#N/A,FALSE,"Results";#N/A,#N/A,FALSE,"Input Data";#N/A,#N/A,FALSE,"Generation Calculation";#N/A,#N/A,FALSE,"Unit Heat Rate Calculation";#N/A,#N/A,FALSE,"Final FWH Extraction Flow";#N/A,#N/A,FALSE,"BEFF.XLS";#N/A,#N/A,FALSE,"TURBEFF.XLS";#N/A,#N/A,FALSE,"Condenser Performance";#N/A,#N/A,FALSE,"Stage Pressure Correction";#N/A,#N/A,FALSE,"Electrical Loss Correction";#N/A,#N/A,FALSE,"Throttle P &amp; T Correction";#N/A,#N/A,FALSE,"Final FWH TTD Correction";#N/A,#N/A,FALSE,"Reheat T &amp; dP Correction";#N/A,#N/A,FALSE,"Auxiliary Steam &amp; Extr Corr";#N/A,#N/A,FALSE,"SHS &amp; RHS Correction";#N/A,#N/A,FALSE,"Change Log"}</definedName>
    <definedName name="eur">#REF!</definedName>
    <definedName name="EV__LASTREFTIME__" hidden="1">39826.8319444444</definedName>
    <definedName name="evt" localSheetId="18" hidden="1">{#N/A,#N/A,FALSE,"INPUTDATA";#N/A,#N/A,FALSE,"SUMMARY";#N/A,#N/A,FALSE,"CTAREP";#N/A,#N/A,FALSE,"CTBREP";#N/A,#N/A,FALSE,"TURBEFF";#N/A,#N/A,FALSE,"Condenser Performance"}</definedName>
    <definedName name="evt" hidden="1">{#N/A,#N/A,FALSE,"INPUTDATA";#N/A,#N/A,FALSE,"SUMMARY";#N/A,#N/A,FALSE,"CTAREP";#N/A,#N/A,FALSE,"CTBREP";#N/A,#N/A,FALSE,"TURBEFF";#N/A,#N/A,FALSE,"Condenser Performance"}</definedName>
    <definedName name="EWSF">#REF!</definedName>
    <definedName name="Ex_rate">#REF!</definedName>
    <definedName name="EXAMP">#REF!</definedName>
    <definedName name="exc">#REF!</definedName>
    <definedName name="ExcelFile">#REF!</definedName>
    <definedName name="Exch">#REF!</definedName>
    <definedName name="Exch_Rate">#REF!</definedName>
    <definedName name="EXCH1">#REF!</definedName>
    <definedName name="EXCH10">#REF!</definedName>
    <definedName name="EXCH2">#REF!</definedName>
    <definedName name="EXCH3">#REF!</definedName>
    <definedName name="EXCH4">#REF!</definedName>
    <definedName name="EXCH5">#REF!</definedName>
    <definedName name="EXCH6">#REF!</definedName>
    <definedName name="EXCH7">#REF!</definedName>
    <definedName name="EXCH8">#REF!</definedName>
    <definedName name="EXCH9">#REF!</definedName>
    <definedName name="EXCHANGE">#REF!</definedName>
    <definedName name="EXHIBIT_II">#REF!</definedName>
    <definedName name="EXHIBITII">#REF!</definedName>
    <definedName name="Exit_Year">#REF!</definedName>
    <definedName name="exitcap">#REF!</definedName>
    <definedName name="exitcap2">#REF!</definedName>
    <definedName name="exitcapbuyer">#REF!</definedName>
    <definedName name="exitcapfmv">#REF!</definedName>
    <definedName name="exp">#REF!</definedName>
    <definedName name="Exp_Fcst">#REF!</definedName>
    <definedName name="EXP_OFFSET">#REF!</definedName>
    <definedName name="Exp_return">#REF!</definedName>
    <definedName name="Exp_type">#REF!</definedName>
    <definedName name="ExpandOutputs">#N/A</definedName>
    <definedName name="ExpandVPeriods">#N/A</definedName>
    <definedName name="expensesc">#REF!</definedName>
    <definedName name="ExportFile">#N/A</definedName>
    <definedName name="Exposures">#REF!</definedName>
    <definedName name="ExposuresRev">#REF!</definedName>
    <definedName name="EXPTYPE">#REF!</definedName>
    <definedName name="_xlnm.Extract">#REF!</definedName>
    <definedName name="Extract_MI">#REF!</definedName>
    <definedName name="extrapolated_pk_vols">#REF!</definedName>
    <definedName name="f" localSheetId="19">HLOOKUP(ProjectYear,tblEnergyRate,swEnergytbl+1)</definedName>
    <definedName name="f">HLOOKUP(ProjectYear,tblEnergyRate,swEnergytbl+1)</definedName>
    <definedName name="F_I_">#REF!</definedName>
    <definedName name="fA">#REF!</definedName>
    <definedName name="Fac_Picks">#REF!</definedName>
    <definedName name="factor">#REF!</definedName>
    <definedName name="FandBCostByTotal?">#REF!</definedName>
    <definedName name="FandBRevByTotal?">#REF!</definedName>
    <definedName name="FAS157DataAnchor">#REF!</definedName>
    <definedName name="FAS157RunDate">#REF!</definedName>
    <definedName name="FAS157SponsorName">#REF!</definedName>
    <definedName name="FAS157SummaryAnchor">#REF!</definedName>
    <definedName name="fB">#REF!</definedName>
    <definedName name="FBS">#REF!</definedName>
    <definedName name="FBSwA">#REF!</definedName>
    <definedName name="FCOV">#REF!</definedName>
    <definedName name="FD">#REF!</definedName>
    <definedName name="fdfdfd">{#N/A,#N/A,FALSE,"CAPREIT"}</definedName>
    <definedName name="fdfdfdf">{#N/A,#N/A,FALSE,"CAPREIT"}</definedName>
    <definedName name="Fe_OH">#REF!</definedName>
    <definedName name="Fe_OH_3">#REF!</definedName>
    <definedName name="Fe2__Fe_CO3">#REF!</definedName>
    <definedName name="feb">#REF!</definedName>
    <definedName name="fed_inc_tax">#REF!</definedName>
    <definedName name="fed_other">#REF!</definedName>
    <definedName name="FED_Tax">#REF!</definedName>
    <definedName name="FEE">#REF!</definedName>
    <definedName name="FeeSched">#REF!</definedName>
    <definedName name="FEESCHED0794">#REF!</definedName>
    <definedName name="felix2">#REF!</definedName>
    <definedName name="fer" localSheetId="18" hidden="1">{2;#N/A;"R13C16:R17C16";#N/A;"R13C14:R17C15";FALSE;FALSE;FALSE;95;#N/A;#N/A;"R13C19";#N/A;FALSE;FALSE;FALSE;FALSE;#N/A;"";#N/A;FALSE;"";"";#N/A;#N/A;#N/A}</definedName>
    <definedName name="fer" hidden="1">{2;#N/A;"R13C16:R17C16";#N/A;"R13C14:R17C15";FALSE;FALSE;FALSE;95;#N/A;#N/A;"R13C19";#N/A;FALSE;FALSE;FALSE;FALSE;#N/A;"";#N/A;FALSE;"";"";#N/A;#N/A;#N/A}</definedName>
    <definedName name="FF">#REF!</definedName>
    <definedName name="fff" localSheetId="18" hidden="1">{#N/A,#N/A,FALSE,"SUMMARY";#N/A,#N/A,FALSE,"INPUTDATA";#N/A,#N/A,FALSE,"Condenser Performance"}</definedName>
    <definedName name="fff" hidden="1">{#N/A,#N/A,FALSE,"SUMMARY";#N/A,#N/A,FALSE,"INPUTDATA";#N/A,#N/A,FALSE,"Condenser Performance"}</definedName>
    <definedName name="FFO">#REF!</definedName>
    <definedName name="FFT">#REF!</definedName>
    <definedName name="file">#REF!</definedName>
    <definedName name="FilePath1">#REF!</definedName>
    <definedName name="FilePath2">#REF!</definedName>
    <definedName name="Fin_Cnst_Option_1">#REF!</definedName>
    <definedName name="Fin_Cnst_Option_2">#REF!</definedName>
    <definedName name="Fin_Cnst_Option_3">#REF!</definedName>
    <definedName name="Fin_Cnst_Option_4">#REF!</definedName>
    <definedName name="Fin_Com">#REF!</definedName>
    <definedName name="Fin_Com_1">#REF!</definedName>
    <definedName name="Fin_Com_2">#REF!</definedName>
    <definedName name="Fin_Term_Option_1">#REF!</definedName>
    <definedName name="Fin_Term_Option_2">#REF!</definedName>
    <definedName name="Fin_Term_Option_3">#REF!</definedName>
    <definedName name="Fin_Term_Option_4">#REF!</definedName>
    <definedName name="Finance_Fees_Amort._Period">#REF!</definedName>
    <definedName name="financials">#REF!</definedName>
    <definedName name="financials97">#REF!</definedName>
    <definedName name="financials98">#REF!</definedName>
    <definedName name="financials99">#REF!</definedName>
    <definedName name="Financing_Scenarios">#REF!</definedName>
    <definedName name="FINCFEE">#REF!</definedName>
    <definedName name="FINISHDATE">#REF!</definedName>
    <definedName name="FINSUM">#REF!</definedName>
    <definedName name="FIVE">#REF!</definedName>
    <definedName name="Fix_Exp_Rate">#REF!</definedName>
    <definedName name="fixed">#REF!</definedName>
    <definedName name="Fixed_Cost">#REF!</definedName>
    <definedName name="FIXED_Exp">#REF!</definedName>
    <definedName name="FLHRS">#REF!</definedName>
    <definedName name="FM">#REF!</definedName>
    <definedName name="FO_HOURS">#REF!</definedName>
    <definedName name="For_Bid_Form">#REF!</definedName>
    <definedName name="ForBidForm">#REF!</definedName>
    <definedName name="ForBidFormSub">#REF!</definedName>
    <definedName name="forfeiture">#REF!</definedName>
    <definedName name="Form_926">OFFSET(#REF!,0,0,COUNTA(#REF!),1)</definedName>
    <definedName name="Formwork">#REF!</definedName>
    <definedName name="forney" localSheetId="18" hidden="1">{"Complete Budget",#N/A,FALSE,"Title";"Complete budget",#N/A,FALSE,"Accrual Summary";"Complete budget",#N/A,FALSE,"Accrual-Detail";"Complete budget",#N/A,FALSE,"Accrual-Captions";"Complete budget",#N/A,FALSE,"Accrual-GL Level";"Complete budget",#N/A,FALSE,"Cash Summary";"Complete budget",#N/A,FALSE,"Cash-Detail";"Complete budget",#N/A,FALSE,"Cash-Captions";"Complete budget",#N/A,FALSE,"Cash-GL Level";"Complete budget",#N/A,FALSE,"Production";"Complete budget",#N/A,FALSE,"5year support";"Complete budget",#N/A,FALSE,"Support";"Complete budget",#N/A,FALSE,"AvoidedCost";"Complete budget",#N/A,FALSE,"PowerPrices";"Complete budget",#N/A,FALSE,"GasPrices";"Complete budget",#N/A,FALSE,"Assumptions&amp;Notes";"Complete Budget",#N/A,FALSE,"Debt Covenants";"Complete Budget",#N/A,FALSE,"Accrual Analysis"}</definedName>
    <definedName name="forney" hidden="1">{"Complete Budget",#N/A,FALSE,"Title";"Complete budget",#N/A,FALSE,"Accrual Summary";"Complete budget",#N/A,FALSE,"Accrual-Detail";"Complete budget",#N/A,FALSE,"Accrual-Captions";"Complete budget",#N/A,FALSE,"Accrual-GL Level";"Complete budget",#N/A,FALSE,"Cash Summary";"Complete budget",#N/A,FALSE,"Cash-Detail";"Complete budget",#N/A,FALSE,"Cash-Captions";"Complete budget",#N/A,FALSE,"Cash-GL Level";"Complete budget",#N/A,FALSE,"Production";"Complete budget",#N/A,FALSE,"5year support";"Complete budget",#N/A,FALSE,"Support";"Complete budget",#N/A,FALSE,"AvoidedCost";"Complete budget",#N/A,FALSE,"PowerPrices";"Complete budget",#N/A,FALSE,"GasPrices";"Complete budget",#N/A,FALSE,"Assumptions&amp;Notes";"Complete Budget",#N/A,FALSE,"Debt Covenants";"Complete Budget",#N/A,FALSE,"Accrual Analysis"}</definedName>
    <definedName name="Forney_Alloc">#REF!</definedName>
    <definedName name="Fornitori">#REF!</definedName>
    <definedName name="Fossil_BGS">#REF!</definedName>
    <definedName name="Fossil_Secur_Date">#REF!</definedName>
    <definedName name="fpl">#REF!</definedName>
    <definedName name="fplds">#REF!</definedName>
    <definedName name="fplitxinc">#REF!</definedName>
    <definedName name="FPLPAIDS">#REF!</definedName>
    <definedName name="fplreport">#REF!,#REF!,#REF!,#REF!,#REF!,#REF!,#REF!,#REF!</definedName>
    <definedName name="Framing">#REF!</definedName>
    <definedName name="Framing_labor">#REF!</definedName>
    <definedName name="FranchiseDiscountRate">#REF!</definedName>
    <definedName name="Franci">#REF!</definedName>
    <definedName name="FreeRent">#REF!</definedName>
    <definedName name="FS">#REF!</definedName>
    <definedName name="FSTD">#REF!</definedName>
    <definedName name="FTR">#REF!</definedName>
    <definedName name="fuel">#REF!</definedName>
    <definedName name="fuel_passed">#REF!</definedName>
    <definedName name="FUN">#REF!</definedName>
    <definedName name="FUNCOV">#REF!</definedName>
    <definedName name="FunctionName">#REF!</definedName>
    <definedName name="FunctionNameOut">#REF!</definedName>
    <definedName name="Fund">OFFSET(#REF!,0,0,COUNTA(#REF!),1)</definedName>
    <definedName name="FUNSTD">#REF!</definedName>
    <definedName name="FX">#REF!</definedName>
    <definedName name="fxrates">#REF!</definedName>
    <definedName name="FY">98</definedName>
    <definedName name="G" localSheetId="18" hidden="1">{#N/A,#N/A,FALSE,"Aging Summary";#N/A,#N/A,FALSE,"Ratio Analysis";#N/A,#N/A,FALSE,"Test 120 Day Accts";#N/A,#N/A,FALSE,"Tickmarks"}</definedName>
    <definedName name="G" hidden="1">{#N/A,#N/A,FALSE,"Aging Summary";#N/A,#N/A,FALSE,"Ratio Analysis";#N/A,#N/A,FALSE,"Test 120 Day Accts";#N/A,#N/A,FALSE,"Tickmarks"}</definedName>
    <definedName name="GA">#REF!</definedName>
    <definedName name="GAAP_Other">#REF!</definedName>
    <definedName name="gain">#REF!</definedName>
    <definedName name="GainType">OFFSET(#REF!,0,0,COUNTA(#REF!),1)</definedName>
    <definedName name="GALION">#REF!</definedName>
    <definedName name="GAS">#REF!</definedName>
    <definedName name="gas_curve_for_extrapolation">#REF!</definedName>
    <definedName name="GasNumberPrint">#REF!</definedName>
    <definedName name="gbp">#REF!</definedName>
    <definedName name="GC">#REF!</definedName>
    <definedName name="GCInputs1">#REF!</definedName>
    <definedName name="GCInputs2">#REF!</definedName>
    <definedName name="GCInputsRow1">#REF!</definedName>
    <definedName name="GCInputsRow2">#REF!</definedName>
    <definedName name="GCOutputs1">#REF!</definedName>
    <definedName name="GCOutputs2">#REF!</definedName>
    <definedName name="GCOutputsRow1">#REF!</definedName>
    <definedName name="GCOutputsRow2">#REF!</definedName>
    <definedName name="Gefor">#REF!</definedName>
    <definedName name="GEN">#REF!</definedName>
    <definedName name="GENA">#REF!</definedName>
    <definedName name="GENERAL_INSTRUCTIONS_AND_RECOMMENDED_WORK_STEPS">#REF!</definedName>
    <definedName name="GeneralInflationRate">#REF!</definedName>
    <definedName name="generation">#REF!</definedName>
    <definedName name="GenLedger">#REF!</definedName>
    <definedName name="GENOA">#REF!</definedName>
    <definedName name="GENOA_NORTH">#REF!</definedName>
    <definedName name="GENOA_SOUTH">#REF!</definedName>
    <definedName name="GenStepUpXfmr">#REF!</definedName>
    <definedName name="GES">#REF!</definedName>
    <definedName name="ggg" localSheetId="18" hidden="1">{#N/A,#N/A,FALSE,"T COST";#N/A,#N/A,FALSE,"COST_FH"}</definedName>
    <definedName name="ggg" hidden="1">{#N/A,#N/A,FALSE,"T COST";#N/A,#N/A,FALSE,"COST_FH"}</definedName>
    <definedName name="GGGG">#REF!</definedName>
    <definedName name="gggggggggg" localSheetId="18" hidden="1">{#N/A,#N/A,FALSE,"Aging Summary";#N/A,#N/A,FALSE,"Ratio Analysis";#N/A,#N/A,FALSE,"Test 120 Day Accts";#N/A,#N/A,FALSE,"Tickmarks"}</definedName>
    <definedName name="gggggggggg" hidden="1">{#N/A,#N/A,FALSE,"Aging Summary";#N/A,#N/A,FALSE,"Ratio Analysis";#N/A,#N/A,FALSE,"Test 120 Day Accts";#N/A,#N/A,FALSE,"Tickmarks"}</definedName>
    <definedName name="GH_Royalty">#REF!</definedName>
    <definedName name="GH_Share_of_Equity">#REF!</definedName>
    <definedName name="gita" localSheetId="8" hidden="1">{#N/A,#N/A,FALSE,"O&amp;M by processes";#N/A,#N/A,FALSE,"Elec Act vs Bud";#N/A,#N/A,FALSE,"G&amp;A";#N/A,#N/A,FALSE,"BGS";#N/A,#N/A,FALSE,"Res Cost"}</definedName>
    <definedName name="gita" localSheetId="14" hidden="1">{#N/A,#N/A,FALSE,"O&amp;M by processes";#N/A,#N/A,FALSE,"Elec Act vs Bud";#N/A,#N/A,FALSE,"G&amp;A";#N/A,#N/A,FALSE,"BGS";#N/A,#N/A,FALSE,"Res Cost"}</definedName>
    <definedName name="gita" localSheetId="15" hidden="1">{#N/A,#N/A,FALSE,"O&amp;M by processes";#N/A,#N/A,FALSE,"Elec Act vs Bud";#N/A,#N/A,FALSE,"G&amp;A";#N/A,#N/A,FALSE,"BGS";#N/A,#N/A,FALSE,"Res Cost"}</definedName>
    <definedName name="gita" localSheetId="18" hidden="1">{#N/A,#N/A,FALSE,"O&amp;M by processes";#N/A,#N/A,FALSE,"Elec Act vs Bud";#N/A,#N/A,FALSE,"G&amp;A";#N/A,#N/A,FALSE,"BGS";#N/A,#N/A,FALSE,"Res Cost"}</definedName>
    <definedName name="gita" hidden="1">{#N/A,#N/A,FALSE,"O&amp;M by processes";#N/A,#N/A,FALSE,"Elec Act vs Bud";#N/A,#N/A,FALSE,"G&amp;A";#N/A,#N/A,FALSE,"BGS";#N/A,#N/A,FALSE,"Res Cost"}</definedName>
    <definedName name="gitah" localSheetId="8" hidden="1">{#N/A,#N/A,FALSE,"O&amp;M by processes";#N/A,#N/A,FALSE,"Elec Act vs Bud";#N/A,#N/A,FALSE,"G&amp;A";#N/A,#N/A,FALSE,"BGS";#N/A,#N/A,FALSE,"Res Cost"}</definedName>
    <definedName name="gitah" localSheetId="14" hidden="1">{#N/A,#N/A,FALSE,"O&amp;M by processes";#N/A,#N/A,FALSE,"Elec Act vs Bud";#N/A,#N/A,FALSE,"G&amp;A";#N/A,#N/A,FALSE,"BGS";#N/A,#N/A,FALSE,"Res Cost"}</definedName>
    <definedName name="gitah" localSheetId="15" hidden="1">{#N/A,#N/A,FALSE,"O&amp;M by processes";#N/A,#N/A,FALSE,"Elec Act vs Bud";#N/A,#N/A,FALSE,"G&amp;A";#N/A,#N/A,FALSE,"BGS";#N/A,#N/A,FALSE,"Res Cost"}</definedName>
    <definedName name="gitah" localSheetId="18" hidden="1">{#N/A,#N/A,FALSE,"O&amp;M by processes";#N/A,#N/A,FALSE,"Elec Act vs Bud";#N/A,#N/A,FALSE,"G&amp;A";#N/A,#N/A,FALSE,"BGS";#N/A,#N/A,FALSE,"Res Cost"}</definedName>
    <definedName name="gitah" hidden="1">{#N/A,#N/A,FALSE,"O&amp;M by processes";#N/A,#N/A,FALSE,"Elec Act vs Bud";#N/A,#N/A,FALSE,"G&amp;A";#N/A,#N/A,FALSE,"BGS";#N/A,#N/A,FALSE,"Res Cost"}</definedName>
    <definedName name="GOD" localSheetId="18" hidden="1">{#N/A,#N/A,TRUE,"Facility-Input";#N/A,#N/A,TRUE,"Graphs";#N/A,#N/A,TRUE,"TOTAL"}</definedName>
    <definedName name="GOD" hidden="1">{#N/A,#N/A,TRUE,"Facility-Input";#N/A,#N/A,TRUE,"Graphs";#N/A,#N/A,TRUE,"TOTAL"}</definedName>
    <definedName name="golly" localSheetId="18" hidden="1">{#N/A,#N/A,TRUE,"Facility-Input";#N/A,#N/A,TRUE,"Graphs";#N/A,#N/A,TRUE,"TOTAL"}</definedName>
    <definedName name="golly" hidden="1">{#N/A,#N/A,TRUE,"Facility-Input";#N/A,#N/A,TRUE,"Graphs";#N/A,#N/A,TRUE,"TOTAL"}</definedName>
    <definedName name="GOODBYE" localSheetId="18" hidden="1">{#N/A,#N/A,TRUE,"Facility-Input";#N/A,#N/A,TRUE,"Graphs";#N/A,#N/A,TRUE,"TOTAL"}</definedName>
    <definedName name="GOODBYE" hidden="1">{#N/A,#N/A,TRUE,"Facility-Input";#N/A,#N/A,TRUE,"Graphs";#N/A,#N/A,TRUE,"TOTAL"}</definedName>
    <definedName name="GOTOCommentary" localSheetId="19">#REF!</definedName>
    <definedName name="GOTOCommentary">#REF!</definedName>
    <definedName name="GotoCover" localSheetId="19">#REF!</definedName>
    <definedName name="GotoCover">#REF!</definedName>
    <definedName name="GOTODetail" localSheetId="19">#REF!</definedName>
    <definedName name="GOTODetail">#REF!</definedName>
    <definedName name="GOTOFootnotes" localSheetId="19">#REF!</definedName>
    <definedName name="GOTOFootnotes">#REF!</definedName>
    <definedName name="GOTOGraph" localSheetId="19">#REF!</definedName>
    <definedName name="GOTOGraph">#REF!</definedName>
    <definedName name="GOTOTrend" localSheetId="19">#REF!</definedName>
    <definedName name="GOTOTrend">#REF!</definedName>
    <definedName name="GPOWER">#REF!</definedName>
    <definedName name="GPSplit">OFFSET(#REF!,0,0,COUNTA(#REF!),1)</definedName>
    <definedName name="gr_power">#REF!</definedName>
    <definedName name="GRAFTON">#REF!</definedName>
    <definedName name="Grid">#REF!</definedName>
    <definedName name="Ground_Grid">#REF!</definedName>
    <definedName name="group">#REF!</definedName>
    <definedName name="Grove_City">#REF!</definedName>
    <definedName name="Growth_Est">#REF!</definedName>
    <definedName name="grp_Env">#REF!</definedName>
    <definedName name="grp_NonOP">#REF!</definedName>
    <definedName name="grp_Prod">#REF!</definedName>
    <definedName name="grp_SiteGA">#REF!</definedName>
    <definedName name="GRP_Supplies">#REF!</definedName>
    <definedName name="GRPCALC">#REF!</definedName>
    <definedName name="GRPTI">#REF!</definedName>
    <definedName name="Grubbing">#REF!</definedName>
    <definedName name="Grubbing_Costs">#REF!</definedName>
    <definedName name="Grwth_Rate">#REF!</definedName>
    <definedName name="gsCapacity_rate">#REF!</definedName>
    <definedName name="GSOF">#REF!</definedName>
    <definedName name="GSTD">#REF!</definedName>
    <definedName name="GTcommodityCor">#REF!</definedName>
    <definedName name="GTFUEL">#REF!</definedName>
    <definedName name="GTHR">#REF!</definedName>
    <definedName name="GTPOWER">#REF!</definedName>
    <definedName name="GUPTC">#REF!</definedName>
    <definedName name="h">#N/A</definedName>
    <definedName name="h2_alloc">#REF!</definedName>
    <definedName name="h2_merchant">#REF!</definedName>
    <definedName name="h2_prod">#REF!</definedName>
    <definedName name="h2_top">#REF!</definedName>
    <definedName name="H2O">#REF!</definedName>
    <definedName name="Haarlem">#REF!</definedName>
    <definedName name="Haircut">#REF!</definedName>
    <definedName name="HASKINS">#REF!</definedName>
    <definedName name="HB">#REF!</definedName>
    <definedName name="HB_2">#REF!</definedName>
    <definedName name="HCP">#REF!</definedName>
    <definedName name="hd" localSheetId="18" hidden="1">{#N/A,#N/A,FALSE,"Aging Summary";#N/A,#N/A,FALSE,"Ratio Analysis";#N/A,#N/A,FALSE,"Test 120 Day Accts";#N/A,#N/A,FALSE,"Tickmarks"}</definedName>
    <definedName name="hd" hidden="1">{#N/A,#N/A,FALSE,"Aging Summary";#N/A,#N/A,FALSE,"Ratio Analysis";#N/A,#N/A,FALSE,"Test 120 Day Accts";#N/A,#N/A,FALSE,"Tickmarks"}</definedName>
    <definedName name="HDD">#REF!</definedName>
    <definedName name="HDLGSTI">#REF!</definedName>
    <definedName name="HEADER">#REF!</definedName>
    <definedName name="HeaderRowOut">#REF!</definedName>
    <definedName name="Heatrate">#REF!</definedName>
    <definedName name="HELD">#REF!</definedName>
    <definedName name="hello" localSheetId="18" hidden="1">{#N/A,#N/A,TRUE,"Facility-Input";#N/A,#N/A,TRUE,"Graphs";#N/A,#N/A,TRUE,"TOTAL"}</definedName>
    <definedName name="hello" hidden="1">{#N/A,#N/A,TRUE,"Facility-Input";#N/A,#N/A,TRUE,"Graphs";#N/A,#N/A,TRUE,"TOTAL"}</definedName>
    <definedName name="help">#REF!</definedName>
    <definedName name="henryhub">#REF!</definedName>
    <definedName name="HERE">#REF!</definedName>
    <definedName name="HERE1">#REF!</definedName>
    <definedName name="HERE1A">#REF!</definedName>
    <definedName name="HERE2">#REF!</definedName>
    <definedName name="HERE3">#REF!</definedName>
    <definedName name="HERE4">#REF!</definedName>
    <definedName name="HERE5">#REF!</definedName>
    <definedName name="HERE6">#REF!</definedName>
    <definedName name="HEREA">#REF!</definedName>
    <definedName name="hhh" localSheetId="18" hidden="1">{"detail305",#N/A,FALSE,"BI-305"}</definedName>
    <definedName name="hhh" hidden="1">{"detail305",#N/A,FALSE,"BI-305"}</definedName>
    <definedName name="hhhgj">#REF!</definedName>
    <definedName name="hi" localSheetId="18" hidden="1">{#N/A,#N/A,FALSE,"Aging Summary";#N/A,#N/A,FALSE,"Ratio Analysis";#N/A,#N/A,FALSE,"Test 120 Day Accts";#N/A,#N/A,FALSE,"Tickmarks"}</definedName>
    <definedName name="hi" hidden="1">{#N/A,#N/A,FALSE,"Aging Summary";#N/A,#N/A,FALSE,"Ratio Analysis";#N/A,#N/A,FALSE,"Test 120 Day Accts";#N/A,#N/A,FALSE,"Tickmarks"}</definedName>
    <definedName name="High_EBITDA_Exit_Multiple">#REF!</definedName>
    <definedName name="HISTORICAL_YEAR_DATE">#REF!</definedName>
    <definedName name="HISTORICAL_YEAR_X">#REF!</definedName>
    <definedName name="History">#REF!</definedName>
    <definedName name="HLDGSCALC">#REF!</definedName>
    <definedName name="HoldCoSplit">OFFSET(#REF!,0,0,COUNTA(#REF!),1)</definedName>
    <definedName name="home">#REF!</definedName>
    <definedName name="HOST_DEMAND">#REF!</definedName>
    <definedName name="HOST_HOURS">#REF!</definedName>
    <definedName name="HotelName">#REF!</definedName>
    <definedName name="HOTSU">#REF!</definedName>
    <definedName name="hourending">#REF!</definedName>
    <definedName name="Hourly_Rate">#REF!</definedName>
    <definedName name="HP">#REF!</definedName>
    <definedName name="HR">#REF!</definedName>
    <definedName name="hrcompare0607">#REF!</definedName>
    <definedName name="HRS">#REF!</definedName>
    <definedName name="Hrsprmo">#REF!</definedName>
    <definedName name="HUBBARD">#REF!</definedName>
    <definedName name="HW02AJE1">#REF!</definedName>
    <definedName name="HW02AJE2">#REF!</definedName>
    <definedName name="HW02AJE3">#REF!</definedName>
    <definedName name="HW02AJE4">#REF!</definedName>
    <definedName name="HW02AJE5">#REF!</definedName>
    <definedName name="HW02AJE6">#REF!</definedName>
    <definedName name="HW02AJE7">#REF!</definedName>
    <definedName name="HW02AJE8">#REF!</definedName>
    <definedName name="hwpcoc">#REF!</definedName>
    <definedName name="hwpcoc2">#REF!</definedName>
    <definedName name="hyp8txinc">#REF!</definedName>
    <definedName name="hyp9txinc">#REF!</definedName>
    <definedName name="I">#REF!</definedName>
    <definedName name="I_DiscountRateCF">#REF!</definedName>
    <definedName name="IBI_Tax_Abatement">#REF!</definedName>
    <definedName name="IBI_Tax_Basis">#REF!</definedName>
    <definedName name="icap">#REF!</definedName>
    <definedName name="ICIO_Tax">#REF!</definedName>
    <definedName name="ICIO_Tax_Abatement">#REF!</definedName>
    <definedName name="ICOL">#N/A</definedName>
    <definedName name="impetxinc">#REF!</definedName>
    <definedName name="ImportFile">#N/A</definedName>
    <definedName name="ImportListDG">#REF!</definedName>
    <definedName name="IMPORTO">#REF!</definedName>
    <definedName name="ImportOut">#REF!</definedName>
    <definedName name="INC">#REF!</definedName>
    <definedName name="Include">#REF!</definedName>
    <definedName name="IncludeCor">#REF!</definedName>
    <definedName name="INCOME">#REF!</definedName>
    <definedName name="Income_Statement">#REF!</definedName>
    <definedName name="incomestatement">#REF!</definedName>
    <definedName name="IncomeStreamNumber">OFFSET(#REF!,0,0,COUNTA(#REF!),1)</definedName>
    <definedName name="incr">#REF!=0</definedName>
    <definedName name="incr_post">#REF!</definedName>
    <definedName name="incr_pre">#REF!</definedName>
    <definedName name="Incrementi_singoli_97">#REF!</definedName>
    <definedName name="index" localSheetId="19">OFFSET(rngFirstUserDefCol,5,0,25,6)</definedName>
    <definedName name="index">OFFSET(rngFirstUserDefCol,5,0,25,6)</definedName>
    <definedName name="Inflation">#REF!</definedName>
    <definedName name="Inflation_Factor">#REF!</definedName>
    <definedName name="Initial_Billing">#REF!</definedName>
    <definedName name="INP1W">#REF!</definedName>
    <definedName name="INP1WO">#REF!</definedName>
    <definedName name="INP2W">#REF!</definedName>
    <definedName name="INP2WO">#REF!</definedName>
    <definedName name="INP3W">#REF!</definedName>
    <definedName name="INP3WO">#REF!</definedName>
    <definedName name="INP4W">#REF!</definedName>
    <definedName name="INP4WO">#REF!</definedName>
    <definedName name="INP5W">#REF!</definedName>
    <definedName name="INP5WO">#REF!</definedName>
    <definedName name="INP6W">#REF!</definedName>
    <definedName name="INP6WO">#REF!</definedName>
    <definedName name="INP7W">#REF!</definedName>
    <definedName name="INP7WO">#REF!</definedName>
    <definedName name="INP8W">#REF!</definedName>
    <definedName name="INP8WO">#REF!</definedName>
    <definedName name="INPUT">#REF!</definedName>
    <definedName name="INPW">#REF!</definedName>
    <definedName name="INS">#REF!</definedName>
    <definedName name="Ins_per_Annum">#REF!</definedName>
    <definedName name="INSERT1">#REF!</definedName>
    <definedName name="INSERT2">#REF!</definedName>
    <definedName name="Insulator">#REF!</definedName>
    <definedName name="Insulator_Column">#REF!</definedName>
    <definedName name="Insulator_Costs">#REF!</definedName>
    <definedName name="Insulator_Labor">#REF!</definedName>
    <definedName name="Insulator_Type">#REF!</definedName>
    <definedName name="Insurance___000">#REF!</definedName>
    <definedName name="insvc">#REF!</definedName>
    <definedName name="INT_INC">#REF!</definedName>
    <definedName name="INT_RATE">#REF!</definedName>
    <definedName name="intang_afudc910">#REF!</definedName>
    <definedName name="interest_formulas">#REF!</definedName>
    <definedName name="Interest_on_Cash_Balance">#REF!</definedName>
    <definedName name="Interest_Rate">#REF!</definedName>
    <definedName name="InterestOnlyMortgageTerm">#REF!</definedName>
    <definedName name="International_Assets_Book_Basis">#REF!</definedName>
    <definedName name="International_Assets_Gross_Proceeds">#REF!</definedName>
    <definedName name="IntervalCor">#REF!</definedName>
    <definedName name="INTQ">#REF!</definedName>
    <definedName name="INTY">#REF!</definedName>
    <definedName name="Inv_Duration">#REF!</definedName>
    <definedName name="INV_Past_Col">#REF!</definedName>
    <definedName name="Inv225N.Mich">#REF!</definedName>
    <definedName name="InvAtl">#REF!</definedName>
    <definedName name="InvBeg1stQ">#REF!</definedName>
    <definedName name="InvBeg2ndQ">#REF!</definedName>
    <definedName name="InvCad">#REF!</definedName>
    <definedName name="InvCad2">#REF!</definedName>
    <definedName name="InvCentCity">#REF!</definedName>
    <definedName name="InvColSq">#REF!</definedName>
    <definedName name="InverterInitalSP">#REF!</definedName>
    <definedName name="Invertersize">#REF!</definedName>
    <definedName name="Investment_Approval_Date">#REF!</definedName>
    <definedName name="InvestmentID">OFFSET(#REF!,0,0,COUNTA(#REF!),1)</definedName>
    <definedName name="investmentsc">#REF!</definedName>
    <definedName name="investmentsp">#REF!</definedName>
    <definedName name="InvFtMag">#REF!</definedName>
    <definedName name="InvGtBr">#REF!</definedName>
    <definedName name="InvHntgtn">#REF!</definedName>
    <definedName name="INVOICE">#REF!</definedName>
    <definedName name="InvPhl">#REF!</definedName>
    <definedName name="InvPreston">#REF!</definedName>
    <definedName name="InvRDen">#REF!</definedName>
    <definedName name="InvSFHyatt">#REF!</definedName>
    <definedName name="InvStoneCrest">#REF!</definedName>
    <definedName name="ipo" localSheetId="18" hidden="1">{#N/A,#N/A,FALSE,"Aging Summary";#N/A,#N/A,FALSE,"Ratio Analysis";#N/A,#N/A,FALSE,"Test 120 Day Accts";#N/A,#N/A,FALSE,"Tickmarks"}</definedName>
    <definedName name="ipo" hidden="1">{#N/A,#N/A,FALSE,"Aging Summary";#N/A,#N/A,FALSE,"Ratio Analysis";#N/A,#N/A,FALSE,"Test 120 Day Accts";#N/A,#N/A,FALSE,"Tickmarks"}</definedName>
    <definedName name="IQ_ACCOUNT_CHANGE" hidden="1">"c413"</definedName>
    <definedName name="IQ_ACCOUNTS_PAY" hidden="1">"c32"</definedName>
    <definedName name="IQ_ACCR_INT_PAY" hidden="1">"c1"</definedName>
    <definedName name="IQ_ACCR_INT_PAY_CF" hidden="1">"c2"</definedName>
    <definedName name="IQ_ACCR_INT_RECEIV" hidden="1">"c3"</definedName>
    <definedName name="IQ_ACCR_INT_RECEIV_CF" hidden="1">"c4"</definedName>
    <definedName name="IQ_ACCRUED_EXP" hidden="1">"c8"</definedName>
    <definedName name="IQ_ACCUM_DEP" hidden="1">"c7"</definedName>
    <definedName name="IQ_ACQ_COSTS_CAPITALIZED" hidden="1">"c5"</definedName>
    <definedName name="IQ_ACQUIRE_REAL_ESTATE_CF" hidden="1">"c6"</definedName>
    <definedName name="IQ_ACQUISITION_RE_ASSETS" hidden="1">"c1628"</definedName>
    <definedName name="IQ_AD" hidden="1">"c7"</definedName>
    <definedName name="IQ_ADD_PAID_IN" hidden="1">"c39"</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IT" hidden="1">"c13"</definedName>
    <definedName name="IQ_AE_UTI" hidden="1">"c14"</definedName>
    <definedName name="IQ_ALLOW_BORROW_CONST" hidden="1">"c15"</definedName>
    <definedName name="IQ_ALLOW_CONST" hidden="1">"c16"</definedName>
    <definedName name="IQ_ALLOW_EQUITY_CONST" hidden="1">"c16"</definedName>
    <definedName name="IQ_ALLOW_LL" hidden="1">"c17"</definedName>
    <definedName name="IQ_ALLOWANCE_10YR_ANN_GROWTH" hidden="1">"c18"</definedName>
    <definedName name="IQ_ALLOWANCE_1YR_ANN_GROWTH" hidden="1">"c19"</definedName>
    <definedName name="IQ_ALLOWANCE_2YR_ANN_GROWTH" hidden="1">"c20"</definedName>
    <definedName name="IQ_ALLOWANCE_3YR_ANN_GROWTH" hidden="1">"c21"</definedName>
    <definedName name="IQ_ALLOWANCE_5YR_ANN_GROWTH" hidden="1">"c22"</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ORTIZATION" hidden="1">"c1471"</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IT" hidden="1">"c43"</definedName>
    <definedName name="IQ_AR_TURNS" hidden="1">"c44"</definedName>
    <definedName name="IQ_AR_UTI" hidden="1">"c45"</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IT" hidden="1">"c60"</definedName>
    <definedName name="IQ_ASSET_WRITEDOWN_UTI" hidden="1">"c61"</definedName>
    <definedName name="IQ_AUDITOR_NAME" hidden="1">"c1539"</definedName>
    <definedName name="IQ_AUDITOR_OPINION" hidden="1">"c1540"</definedName>
    <definedName name="IQ_AUTO_WRITTEN" hidden="1">"c62"</definedName>
    <definedName name="IQ_AVG_BROKER_REC" hidden="1">"c63"</definedName>
    <definedName name="IQ_AVG_BROKER_REC_NO" hidden="1">"c64"</definedName>
    <definedName name="IQ_AVG_DAILY_VOL" hidden="1">"c65"</definedName>
    <definedName name="IQ_AVG_INT_BEAR_LIAB" hidden="1">"c66"</definedName>
    <definedName name="IQ_AVG_INT_BEAR_LIAB_10YR_ANN_GROWTH" hidden="1">"c67"</definedName>
    <definedName name="IQ_AVG_INT_BEAR_LIAB_1YR_ANN_GROWTH" hidden="1">"c68"</definedName>
    <definedName name="IQ_AVG_INT_BEAR_LIAB_2YR_ANN_GROWTH" hidden="1">"c69"</definedName>
    <definedName name="IQ_AVG_INT_BEAR_LIAB_3YR_ANN_GROWTH" hidden="1">"c70"</definedName>
    <definedName name="IQ_AVG_INT_BEAR_LIAB_5YR_ANN_GROWTH" hidden="1">"c71"</definedName>
    <definedName name="IQ_AVG_INT_BEAR_LIAB_7YR_ANN_GROWTH" hidden="1">"c72"</definedName>
    <definedName name="IQ_AVG_INT_EARN_ASSETS" hidden="1">"c73"</definedName>
    <definedName name="IQ_AVG_INT_EARN_ASSETS_10YR_ANN_GROWTH" hidden="1">"c74"</definedName>
    <definedName name="IQ_AVG_INT_EARN_ASSETS_1YR_ANN_GROWTH" hidden="1">"c75"</definedName>
    <definedName name="IQ_AVG_INT_EARN_ASSETS_2YR_ANN_GROWTH" hidden="1">"c76"</definedName>
    <definedName name="IQ_AVG_INT_EARN_ASSETS_3YR_ANN_GROWTH" hidden="1">"c77"</definedName>
    <definedName name="IQ_AVG_INT_EARN_ASSETS_5YR_ANN_GROWTH" hidden="1">"c78"</definedName>
    <definedName name="IQ_AVG_INT_EARN_ASSETS_7YR_ANN_GROWTH" hidden="1">"c79"</definedName>
    <definedName name="IQ_AVG_MKTCAP" hidden="1">"c80"</definedName>
    <definedName name="IQ_AVG_PRICE" hidden="1">"c81"</definedName>
    <definedName name="IQ_AVG_PRICE_TARGET" hidden="1">"c82"</definedName>
    <definedName name="IQ_AVG_SHAREOUTSTANDING" hidden="1">"c83"</definedName>
    <definedName name="IQ_AVG_TEV" hidden="1">"c84"</definedName>
    <definedName name="IQ_AVG_VOLUME" hidden="1">"c65"</definedName>
    <definedName name="IQ_BASIC_EPS_EXCL" hidden="1">"c85"</definedName>
    <definedName name="IQ_BASIC_EPS_INCL" hidden="1">"c86"</definedName>
    <definedName name="IQ_BASIC_NORMAL_EPS" hidden="1">"c1592"</definedName>
    <definedName name="IQ_BASIC_WEIGHT" hidden="1">"c87"</definedName>
    <definedName name="IQ_BETA" hidden="1">"c88"</definedName>
    <definedName name="IQ_BIG_INT_BEAR_CD" hidden="1">"c89"</definedName>
    <definedName name="IQ_BOARD_MEMBER" hidden="1">"c96"</definedName>
    <definedName name="IQ_BOARD_MEMBER_TITLE" hidden="1">"c97"</definedName>
    <definedName name="IQ_BROK_COMISSION" hidden="1">"c98"</definedName>
    <definedName name="IQ_BUILDINGS" hidden="1">"c99"</definedName>
    <definedName name="IQ_BUSINESS_DESCRIPTION" hidden="1">"c322"</definedName>
    <definedName name="IQ_BV_OVER_SHARES" hidden="1">"c100"</definedName>
    <definedName name="IQ_BV_SHARE" hidden="1">"c100"</definedName>
    <definedName name="IQ_CAL_Q" hidden="1">"c101"</definedName>
    <definedName name="IQ_CAL_Y" hidden="1">"c102"</definedName>
    <definedName name="IQ_CAPEX" hidden="1">"c103"</definedName>
    <definedName name="IQ_CAPEX_10YR_ANN_GROWTH" hidden="1">"c104"</definedName>
    <definedName name="IQ_CAPEX_1YR_ANN_GROWTH" hidden="1">"c105"</definedName>
    <definedName name="IQ_CAPEX_2YR_ANN_GROWTH" hidden="1">"c106"</definedName>
    <definedName name="IQ_CAPEX_3YR_ANN_GROWTH" hidden="1">"c107"</definedName>
    <definedName name="IQ_CAPEX_5YR_ANN_GROWTH" hidden="1">"c108"</definedName>
    <definedName name="IQ_CAPEX_7YR_ANN_GROWTH" hidden="1">"c109"</definedName>
    <definedName name="IQ_CAPEX_BNK" hidden="1">"c110"</definedName>
    <definedName name="IQ_CAPEX_BR" hidden="1">"c111"</definedName>
    <definedName name="IQ_CAPEX_FIN" hidden="1">"c112"</definedName>
    <definedName name="IQ_CAPEX_INS" hidden="1">"c113"</definedName>
    <definedName name="IQ_CAPEX_UTI" hidden="1">"c114"</definedName>
    <definedName name="IQ_CAPITAL_LEASE" hidden="1">"c115"</definedName>
    <definedName name="IQ_CAPITAL_LEASES" hidden="1">"c115"</definedName>
    <definedName name="IQ_CASH" hidden="1">"c118"</definedName>
    <definedName name="IQ_CASH_ACQUIRE_CF" hidden="1">"c1630"</definedName>
    <definedName name="IQ_CASH_CONVERSION" hidden="1">"c117"</definedName>
    <definedName name="IQ_CASH_DUE_BANKS" hidden="1">"c118"</definedName>
    <definedName name="IQ_CASH_EQUIV" hidden="1">"c118"</definedName>
    <definedName name="IQ_CASH_FINAN" hidden="1">"c119"</definedName>
    <definedName name="IQ_CASH_INTEREST" hidden="1">"c120"</definedName>
    <definedName name="IQ_CASH_INVEST" hidden="1">"c121"</definedName>
    <definedName name="IQ_CASH_OPER" hidden="1">"c122"</definedName>
    <definedName name="IQ_CASH_SEGREG" hidden="1">"c123"</definedName>
    <definedName name="IQ_CASH_ST" hidden="1">"c124"</definedName>
    <definedName name="IQ_CASH_ST_INVEST" hidden="1">"c124"</definedName>
    <definedName name="IQ_CASH_TAXES" hidden="1">"c125"</definedName>
    <definedName name="IQ_CFO_10YR_ANN_GROWTH" hidden="1">"c126"</definedName>
    <definedName name="IQ_CFO_1YR_ANN_GROWTH" hidden="1">"c127"</definedName>
    <definedName name="IQ_CFO_2YR_ANN_GROWTH" hidden="1">"c128"</definedName>
    <definedName name="IQ_CFO_3YR_ANN_GROWTH" hidden="1">"c129"</definedName>
    <definedName name="IQ_CFO_5YR_ANN_GROWTH" hidden="1">"c130"</definedName>
    <definedName name="IQ_CFO_7YR_ANN_GROWTH" hidden="1">"c131"</definedName>
    <definedName name="IQ_CFO_CURRENT_LIAB" hidden="1">"c132"</definedName>
    <definedName name="IQ_CH">110000</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ORY" hidden="1">"c151"</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TRADING_ASSETS" hidden="1">"c159"</definedName>
    <definedName name="IQ_CHANGE_UNEARN_REV" hidden="1">"c160"</definedName>
    <definedName name="IQ_CHANGE_WORK_CAP" hidden="1">"c161"</definedName>
    <definedName name="IQ_CHANGES_WORK_CAP" hidden="1">"c161"</definedName>
    <definedName name="IQ_CHARGE_OFFS_GROSS" hidden="1">"c162"</definedName>
    <definedName name="IQ_CHARGE_OFFS_NET" hidden="1">"c163"</definedName>
    <definedName name="IQ_CHARGE_OFFS_RECOVERED" hidden="1">"c164"</definedName>
    <definedName name="IQ_CHARGE_OFFS_TOTAL_AVG_LOANS" hidden="1">"c165"</definedName>
    <definedName name="IQ_CITY" hidden="1">"c166"</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OSEPRICE" hidden="1">"c174"</definedName>
    <definedName name="IQ_COGS" hidden="1">"c175"</definedName>
    <definedName name="IQ_COMBINED_RATIO" hidden="1">"c176"</definedName>
    <definedName name="IQ_COMMERCIAL_DOM" hidden="1">"c177"</definedName>
    <definedName name="IQ_COMMERCIAL_FIRE_WRITTEN" hidden="1">"c178"</definedName>
    <definedName name="IQ_COMMERCIAL_MORT" hidden="1">"c179"</definedName>
    <definedName name="IQ_COMMISS_FEES" hidden="1">"c180"</definedName>
    <definedName name="IQ_COMMISSION_DEF" hidden="1">"c181"</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IT" hidden="1">"c188"</definedName>
    <definedName name="IQ_COMMON_APIC_UTI" hidden="1">"c189"</definedName>
    <definedName name="IQ_COMMON_DIV_CF" hidden="1">"c190"</definedName>
    <definedName name="IQ_COMMON_EQUITY_10YR_ANN_GROWTH" hidden="1">"c191"</definedName>
    <definedName name="IQ_COMMON_EQUITY_1YR_ANN_GROWTH" hidden="1">"c192"</definedName>
    <definedName name="IQ_COMMON_EQUITY_2YR_ANN_GROWTH" hidden="1">"c193"</definedName>
    <definedName name="IQ_COMMON_EQUITY_3YR_ANN_GROWTH" hidden="1">"c194"</definedName>
    <definedName name="IQ_COMMON_EQUITY_5YR_ANN_GROWTH" hidden="1">"c195"</definedName>
    <definedName name="IQ_COMMON_EQUITY_7YR_ANN_GROWTH" hidden="1">"c196"</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IT" hidden="1">"c211"</definedName>
    <definedName name="IQ_COMMON_REP_UTI" hidden="1">"c212"</definedName>
    <definedName name="IQ_COMMON_STOCK" hidden="1">"c182"</definedName>
    <definedName name="IQ_COMP_BENEFITS" hidden="1">"c213"</definedName>
    <definedName name="IQ_COMPANY_ADDRESS" hidden="1">"c214"</definedName>
    <definedName name="IQ_COMPANY_NAME" hidden="1">"c215"</definedName>
    <definedName name="IQ_COMPANY_NAME_LONG" hidden="1">"c1585"</definedName>
    <definedName name="IQ_COMPANY_PHONE" hidden="1">"c216"</definedName>
    <definedName name="IQ_COMPANY_STREET1" hidden="1">"c217"</definedName>
    <definedName name="IQ_COMPANY_STREET2" hidden="1">"c218"</definedName>
    <definedName name="IQ_COMPANY_TICKER" hidden="1">"c219"</definedName>
    <definedName name="IQ_COMPANY_WEBSITE" hidden="1">"c220"</definedName>
    <definedName name="IQ_COMPANY_ZIP" hidden="1">"c221"</definedName>
    <definedName name="IQ_CONSTRUCTION_LOANS" hidden="1">"c222"</definedName>
    <definedName name="IQ_CONSUMER_LOANS" hidden="1">"c223"</definedName>
    <definedName name="IQ_COST_BORROWINGS" hidden="1">"c225"</definedName>
    <definedName name="IQ_COST_REV" hidden="1">"c226"</definedName>
    <definedName name="IQ_COST_REVENUE" hidden="1">"c226"</definedName>
    <definedName name="IQ_COST_SAVINGS" hidden="1">"c227"</definedName>
    <definedName name="IQ_COST_SERVICE" hidden="1">"c228"</definedName>
    <definedName name="IQ_COST_TOTAL_BORROWINGS" hidden="1">"c229"</definedName>
    <definedName name="IQ_COUNTRY_NAME" hidden="1">"c230"</definedName>
    <definedName name="IQ_CQ">5000</definedName>
    <definedName name="IQ_CREDIT_CARD_FEE_BNK" hidden="1">"c231"</definedName>
    <definedName name="IQ_CREDIT_CARD_FEE_FIN" hidden="1">"c1583"</definedName>
    <definedName name="IQ_CREDIT_LOSS_CF" hidden="1">"c232"</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IT" hidden="1">"c239"</definedName>
    <definedName name="IQ_CURRENCY_GAIN_UTI" hidden="1">"c240"</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IT" hidden="1">"c1570"</definedName>
    <definedName name="IQ_CURRENT_PORT_DEBT_UTI" hidden="1">"c1571"</definedName>
    <definedName name="IQ_CURRENT_PORT_LEASES" hidden="1">"c245"</definedName>
    <definedName name="IQ_CURRENT_RATIO" hidden="1">"c246"</definedName>
    <definedName name="IQ_CY">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IT" hidden="1">"c254"</definedName>
    <definedName name="IQ_DA_CF_UTI" hidden="1">"c255"</definedName>
    <definedName name="IQ_DA_FIN" hidden="1">"c256"</definedName>
    <definedName name="IQ_DA_INS" hidden="1">"c257"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IT" hidden="1">"c266"</definedName>
    <definedName name="IQ_DA_SUPPL_CF_UTI" hidden="1">"c267"</definedName>
    <definedName name="IQ_DA_SUPPL_FIN" hidden="1">"c268"</definedName>
    <definedName name="IQ_DA_SUPPL_INS" hidden="1">"c269"</definedName>
    <definedName name="IQ_DA_SUPPL_REIT" hidden="1">"c270"</definedName>
    <definedName name="IQ_DA_SUPPL_UTI" hidden="1">"c271"</definedName>
    <definedName name="IQ_DA_UTI" hidden="1">"c272"</definedName>
    <definedName name="IQ_DAILY">500000</definedName>
    <definedName name="IQ_DAYS_COVER_SHORT" hidden="1">"c1578"</definedName>
    <definedName name="IQ_DAYS_INVENTORY_OUT" hidden="1">"c273"</definedName>
    <definedName name="IQ_DAYS_PAY_OUTST" hidden="1">"c274"</definedName>
    <definedName name="IQ_DAYS_PAYABLE_OUT" hidden="1">"c274"</definedName>
    <definedName name="IQ_DAYS_SALES_OUT" hidden="1">"c275"</definedName>
    <definedName name="IQ_DAYS_SALES_OUTST" hidden="1">"c275"</definedName>
    <definedName name="IQ_DEF_ACQ_CST" hidden="1">"c301"</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OTHER_COST" hidden="1">"c284"</definedName>
    <definedName name="IQ_DEF_BENEFIT_ROA" hidden="1">"c285"</definedName>
    <definedName name="IQ_DEF_BENEFIT_SERVICE_COST" hidden="1">"c286"</definedName>
    <definedName name="IQ_DEF_BENEFIT_TOTAL_COST" hidden="1">"c287"</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IT" hidden="1">"c297"</definedName>
    <definedName name="IQ_DEF_CHARGES_LT_UTI" hidden="1">"c298"</definedName>
    <definedName name="IQ_DEF_CHARGES_REIT" hidden="1">"c299"</definedName>
    <definedName name="IQ_DEF_CONTRIBUTION_TOTAL_COST" hidden="1">"c300"</definedName>
    <definedName name="IQ_DEF_INC_TAX" hidden="1">"c313"</definedName>
    <definedName name="IQ_DEF_POLICY_ACQ_COSTS" hidden="1">"c301"</definedName>
    <definedName name="IQ_DEF_POLICY_ACQ_COSTS_CF" hidden="1">"c302"</definedName>
    <definedName name="IQ_DEF_POLICY_AMORT" hidden="1">"c303"</definedName>
    <definedName name="IQ_DEF_TAX_ASSET_LT_BR" hidden="1">"c304"</definedName>
    <definedName name="IQ_DEF_TAX_ASSET_LT_FIN" hidden="1">"c305"</definedName>
    <definedName name="IQ_DEF_TAX_ASSET_LT_INS" hidden="1">"c306"</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IT" hidden="1">"c318"</definedName>
    <definedName name="IQ_DEF_TAX_LIAB_LT_UTI" hidden="1">"c319"</definedName>
    <definedName name="IQ_DEFERRED_INC_TAX" hidden="1">"c315"</definedName>
    <definedName name="IQ_DEFERRED_TAXES" hidden="1">"c147"</definedName>
    <definedName name="IQ_DEMAND_DEP" hidden="1">"c320"</definedName>
    <definedName name="IQ_DEPOSITS_FIN" hidden="1">"c321"</definedName>
    <definedName name="IQ_DEPRE_AMORT" hidden="1">"c247"</definedName>
    <definedName name="IQ_DEPRE_AMORT_SUPPL" hidden="1">"c1593"</definedName>
    <definedName name="IQ_DEPRE_DEPLE" hidden="1">"c261"</definedName>
    <definedName name="IQ_DEPRE_SUPP" hidden="1">"c1443"</definedName>
    <definedName name="IQ_DESCRIPTION_LONG" hidden="1">"c322"</definedName>
    <definedName name="IQ_DEVELOP_LAND" hidden="1">"c323"</definedName>
    <definedName name="IQ_DILUT_ADJUST" hidden="1">"c1621"</definedName>
    <definedName name="IQ_DILUT_EPS_EXCL" hidden="1">"c324"</definedName>
    <definedName name="IQ_DILUT_EPS_INCL" hidden="1">"c325"</definedName>
    <definedName name="IQ_DILUT_NORMAL_EPS" hidden="1">"c1594"</definedName>
    <definedName name="IQ_DILUT_WEIGHT" hidden="1">"c326"</definedName>
    <definedName name="IQ_DISCONT_OPER" hidden="1">"c333"</definedName>
    <definedName name="IQ_DISCOUNT_RATE_PENSION_DOMESTIC" hidden="1">"c327"</definedName>
    <definedName name="IQ_DISCOUNT_RATE_PENSION_FOREIGN" hidden="1">"c328"</definedName>
    <definedName name="IQ_DISTR_EXCESS_EARN" hidden="1">"c329"</definedName>
    <definedName name="IQ_DIV_SHARE" hidden="1">"c330"</definedName>
    <definedName name="IQ_DIVEST_CF" hidden="1">"c331"</definedName>
    <definedName name="IQ_DIVID_SHARE" hidden="1">"c330"</definedName>
    <definedName name="IQ_DIVIDEND_YIELD" hidden="1">"c332"</definedName>
    <definedName name="IQ_DNTM" hidden="1">700000</definedName>
    <definedName name="IQ_DO" hidden="1">"c333"</definedName>
    <definedName name="IQ_DO_ASSETS_CURRENT" hidden="1">"c334"</definedName>
    <definedName name="IQ_DO_ASSETS_LT" hidden="1">"c335"</definedName>
    <definedName name="IQ_DO_CF" hidden="1">"c336"</definedName>
    <definedName name="IQ_DPS_10YR_ANN_GROWTH" hidden="1">"c337"</definedName>
    <definedName name="IQ_DPS_1YR_ANN_GROWTH" hidden="1">"c338"</definedName>
    <definedName name="IQ_DPS_2YR_ANN_GROWTH" hidden="1">"c339"</definedName>
    <definedName name="IQ_DPS_3YR_ANN_GROWTH" hidden="1">"c340"</definedName>
    <definedName name="IQ_DPS_5YR_ANN_GROWTH" hidden="1">"c341"</definedName>
    <definedName name="IQ_DPS_7YR_ANN_GROWTH" hidden="1">"c342"</definedName>
    <definedName name="IQ_EARNING_ASSET_YIELD" hidden="1">"c343"</definedName>
    <definedName name="IQ_EARNING_CO" hidden="1">"c344"</definedName>
    <definedName name="IQ_EARNING_CO_10YR_ANN_GROWTH" hidden="1">"c345"</definedName>
    <definedName name="IQ_EARNING_CO_1YR_ANN_GROWTH" hidden="1">"c346"</definedName>
    <definedName name="IQ_EARNING_CO_2YR_ANN_GROWTH" hidden="1">"c347"</definedName>
    <definedName name="IQ_EARNING_CO_3YR_ANN_GROWTH" hidden="1">"c348"</definedName>
    <definedName name="IQ_EARNING_CO_5YR_ANN_GROWTH" hidden="1">"c349"</definedName>
    <definedName name="IQ_EARNING_CO_7YR_ANN_GROWTH" hidden="1">"c350"</definedName>
    <definedName name="IQ_EARNING_CO_MARGIN" hidden="1">"c351"</definedName>
    <definedName name="IQ_EBIT" hidden="1">"c352"</definedName>
    <definedName name="IQ_EBIT_10YR_ANN_GROWTH" hidden="1">"c353"</definedName>
    <definedName name="IQ_EBIT_1YR_ANN_GROWTH" hidden="1">"c354"</definedName>
    <definedName name="IQ_EBIT_2YR_ANN_GROWTH" hidden="1">"c355"</definedName>
    <definedName name="IQ_EBIT_3YR_ANN_GROWTH" hidden="1">"c356"</definedName>
    <definedName name="IQ_EBIT_5YR_ANN_GROWTH" hidden="1">"c357"</definedName>
    <definedName name="IQ_EBIT_7YR_ANN_GROWTH" hidden="1">"c358"</definedName>
    <definedName name="IQ_EBIT_INT" hidden="1">"c360"</definedName>
    <definedName name="IQ_EBIT_MARGIN" hidden="1">"c359"</definedName>
    <definedName name="IQ_EBIT_OVER_IE" hidden="1">"c360"</definedName>
    <definedName name="IQ_EBITDA" hidden="1">"c361"</definedName>
    <definedName name="IQ_EBITDA_10YR_ANN_GROWTH" hidden="1">"c362"</definedName>
    <definedName name="IQ_EBITDA_1YR_ANN_GROWTH" hidden="1">"c363"</definedName>
    <definedName name="IQ_EBITDA_2YR_ANN_GROWTH" hidden="1">"c364"</definedName>
    <definedName name="IQ_EBITDA_3YR_ANN_GROWTH" hidden="1">"c365"</definedName>
    <definedName name="IQ_EBITDA_5YR_ANN_GROWTH" hidden="1">"c366"</definedName>
    <definedName name="IQ_EBITDA_7YR_ANN_GROWTH" hidden="1">"c367"</definedName>
    <definedName name="IQ_EBITDA_CAPEX_INT" hidden="1">"c368"</definedName>
    <definedName name="IQ_EBITDA_CAPEX_OVER_TOTAL_IE" hidden="1">"c368"</definedName>
    <definedName name="IQ_EBITDA_INT" hidden="1">"c373"</definedName>
    <definedName name="IQ_EBITDA_MARGIN" hidden="1">"c372"</definedName>
    <definedName name="IQ_EBITDA_OVER_TOTAL_IE" hidden="1">"c373"</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IT" hidden="1">"c384"</definedName>
    <definedName name="IQ_EBT_EXCL_UTI" hidden="1">"c385"</definedName>
    <definedName name="IQ_EBT_FIN" hidden="1">"c386"</definedName>
    <definedName name="IQ_EBT_INS" hidden="1">"c388"</definedName>
    <definedName name="IQ_EBT_REIT" hidden="1">"c389"</definedName>
    <definedName name="IQ_EBT_UTI" hidden="1">"c390"</definedName>
    <definedName name="IQ_EFFECT_SPECIAL_CHARGE" hidden="1">"c1595"</definedName>
    <definedName name="IQ_EFFICIENCY_RATIO" hidden="1">"c391"</definedName>
    <definedName name="IQ_EMPLOYEES" hidden="1">"c392"</definedName>
    <definedName name="IQ_ENTERPRISE_VALUE" hidden="1">"c84"</definedName>
    <definedName name="IQ_EPS_10YR_ANN_GROWTH" hidden="1">"c393"</definedName>
    <definedName name="IQ_EPS_1YR_ANN_GROWTH" hidden="1">"c394"</definedName>
    <definedName name="IQ_EPS_2YR_ANN_GROWTH" hidden="1">"c395"</definedName>
    <definedName name="IQ_EPS_3YR_ANN_GROWTH" hidden="1">"c396"</definedName>
    <definedName name="IQ_EPS_5YR_ANN_GROWTH" hidden="1">"c397"</definedName>
    <definedName name="IQ_EPS_7YR_ANN_GROWTH" hidden="1">"c398"</definedName>
    <definedName name="IQ_EPS_EST" hidden="1">"c399"</definedName>
    <definedName name="IQ_EQUITY_AFFIL" hidden="1">"c552"</definedName>
    <definedName name="IQ_EQUITY_METHOD" hidden="1">"c404"</definedName>
    <definedName name="IQ_EQV_OVER_BV" hidden="1">"c1596"</definedName>
    <definedName name="IQ_EQV_OVER_LTM_PRETAX_INC" hidden="1">"c739"</definedName>
    <definedName name="IQ_ESOP_DEBT" hidden="1">"c1597"</definedName>
    <definedName name="IQ_EST_ACT_EPS" hidden="1">"c1648"</definedName>
    <definedName name="IQ_EST_DATE" hidden="1">"c1634"</definedName>
    <definedName name="IQ_EST_EPS_GROWTH_1YR" hidden="1">"c1636"</definedName>
    <definedName name="IQ_EST_EPS_GROWTH_Q_1YR" hidden="1">"c1641"</definedName>
    <definedName name="IQ_EV_OVER_EMPLOYEE" hidden="1">"c1225"</definedName>
    <definedName name="IQ_EV_OVER_LTM_EBIT" hidden="1">"c1221"</definedName>
    <definedName name="IQ_EV_OVER_LTM_EBITDA" hidden="1">"c1223"</definedName>
    <definedName name="IQ_EV_OVER_LTM_REVENUE" hidden="1">"c1227"</definedName>
    <definedName name="IQ_EXCHANGE" hidden="1">"c405"</definedName>
    <definedName name="IQ_EXERCISE_PRICE" hidden="1">"c406"</definedName>
    <definedName name="IQ_EXP_RETURN_PENSION_DOMESTIC" hidden="1">"c407"</definedName>
    <definedName name="IQ_EXP_RETURN_PENSION_FOREIGN" hidden="1">"c408"</definedName>
    <definedName name="IQ_EXPLORE_DRILL" hidden="1">"c409"</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IT" hidden="1">"c415"</definedName>
    <definedName name="IQ_EXTRA_ACC_ITEMS_UTI" hidden="1">"c416"</definedName>
    <definedName name="IQ_EXTRA_ITEMS" hidden="1">"c413"</definedName>
    <definedName name="IQ_FDIC" hidden="1">"c417"</definedName>
    <definedName name="IQ_FFO" hidden="1">"c1574"</definedName>
    <definedName name="IQ_FH">100000</definedName>
    <definedName name="IQ_FHLB_DEBT" hidden="1">"c423"</definedName>
    <definedName name="IQ_FILINGDATE_BS" hidden="1">"c424"</definedName>
    <definedName name="IQ_FILINGDATE_CF" hidden="1">"c425"</definedName>
    <definedName name="IQ_FILINGDATE_IS" hidden="1">"c426"</definedName>
    <definedName name="IQ_FIN_DIV_ASSETS_CURRENT" hidden="1">"c427"</definedName>
    <definedName name="IQ_FIN_DIV_ASSETS_LT" hidden="1">"c428"</definedName>
    <definedName name="IQ_FIN_DIV_DEBT_CURRENT" hidden="1">"c429"</definedName>
    <definedName name="IQ_FIN_DIV_DEBT_LT" hidden="1">"c430"</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REV" hidden="1">"c437"</definedName>
    <definedName name="IQ_FINANCING_CASH" hidden="1">"c893"</definedName>
    <definedName name="IQ_FINANCING_CASH_SUPPL" hidden="1">"c899"</definedName>
    <definedName name="IQ_FINISHED_INV" hidden="1">"c438"</definedName>
    <definedName name="IQ_FIRST_YEAR_LIFE" hidden="1">"c439"</definedName>
    <definedName name="IQ_FISCAL_Q" hidden="1">"c440"</definedName>
    <definedName name="IQ_FISCAL_Y" hidden="1">"c441"</definedName>
    <definedName name="IQ_FIVE_PERCENT_OWNER" hidden="1">"c442"</definedName>
    <definedName name="IQ_FIVEPERCENT_PERCENT" hidden="1">"c443"</definedName>
    <definedName name="IQ_FIVEPERCENT_SHARES" hidden="1">"c444"</definedName>
    <definedName name="IQ_FIXED_ASSET_TURNS" hidden="1">"c445"</definedName>
    <definedName name="IQ_FLOAT_PERCENT" hidden="1">"c1575"</definedName>
    <definedName name="IQ_FOREIGN_DEP_IB" hidden="1">"c446"</definedName>
    <definedName name="IQ_FOREIGN_DEP_NON_IB" hidden="1">"c447"</definedName>
    <definedName name="IQ_FOREIGN_EXCHANGE" hidden="1">"c451"</definedName>
    <definedName name="IQ_FOREIGN_LOANS" hidden="1">"c448"</definedName>
    <definedName name="IQ_FQ">500</definedName>
    <definedName name="IQ_FUEL" hidden="1">"c449"</definedName>
    <definedName name="IQ_FULL_TIME" hidden="1">"c450"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Y">1000</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"c452"</definedName>
    <definedName name="IQ_GOODWILL_NET" hidden="1">"c530"</definedName>
    <definedName name="IQ_GP" hidden="1">"c511"</definedName>
    <definedName name="IQ_GP_10YR_ANN_GROWTH" hidden="1">"c512"</definedName>
    <definedName name="IQ_GP_1YR_ANN_GROWTH" hidden="1">"c513"</definedName>
    <definedName name="IQ_GP_2YR_ANN_GROWTH" hidden="1">"c514"</definedName>
    <definedName name="IQ_GP_3YR_ANN_GROWTH" hidden="1">"c515"</definedName>
    <definedName name="IQ_GP_5YR_ANN_GROWTH" hidden="1">"c516"</definedName>
    <definedName name="IQ_GP_7YR_ANN_GROWTH" hidden="1">"c517"</definedName>
    <definedName name="IQ_GPPE" hidden="1">"c518"</definedName>
    <definedName name="IQ_GROSS_DIVID" hidden="1">"c192"</definedName>
    <definedName name="IQ_GROSS_LOANS" hidden="1">"c521"</definedName>
    <definedName name="IQ_GROSS_LOANS_10YR_ANN_GROWTH" hidden="1">"c522"</definedName>
    <definedName name="IQ_GROSS_LOANS_1YR_ANN_GROWTH" hidden="1">"c523"</definedName>
    <definedName name="IQ_GROSS_LOANS_2YR_ANN_GROWTH" hidden="1">"c524"</definedName>
    <definedName name="IQ_GROSS_LOANS_3YR_ANN_GROWTH" hidden="1">"c525"</definedName>
    <definedName name="IQ_GROSS_LOANS_5YR_ANN_GROWTH" hidden="1">"c526"</definedName>
    <definedName name="IQ_GROSS_LOANS_7YR_ANN_GROWTH" hidden="1">"c527"</definedName>
    <definedName name="IQ_GROSS_LOANS_TOTAL_DEPOSITS" hidden="1">"c528"</definedName>
    <definedName name="IQ_GROSS_MARGIN" hidden="1">"c529"</definedName>
    <definedName name="IQ_GROSS_PROFIT" hidden="1">"c511"</definedName>
    <definedName name="IQ_GW" hidden="1">"c530"</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IT" hidden="1">"c1480"</definedName>
    <definedName name="IQ_GW_INTAN_AMORT_UTI" hidden="1">"c1481"</definedName>
    <definedName name="IQ_HIGHPRICE" hidden="1">"c545"</definedName>
    <definedName name="IQ_HOMEOWNERS_WRITTEN" hidden="1">"c546"</definedName>
    <definedName name="IQ_IMPAIR_OIL" hidden="1">"c547"</definedName>
    <definedName name="IQ_IMPAIRMENT_GW" hidden="1">"c548"</definedName>
    <definedName name="IQ_INC_AFTER_TAX" hidden="1">"c1598"</definedName>
    <definedName name="IQ_INC_AVAIL_EXCL" hidden="1">"c789"</definedName>
    <definedName name="IQ_INC_AVAIL_INCL" hidden="1">"c791"</definedName>
    <definedName name="IQ_INC_BEFORE_TAX" hidden="1">"c386"</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S_ANNUITY_LIAB" hidden="1">"c563"</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IT" hidden="1">"c575"</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OVER_TOTAL" hidden="1">"c1581"</definedName>
    <definedName name="IQ_INSIDER_OWNER" hidden="1">"c577"</definedName>
    <definedName name="IQ_INSIDER_PERCENT" hidden="1">"c578"</definedName>
    <definedName name="IQ_INSIDER_SHARES" hidden="1">"c579"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UR_RECEIV" hidden="1">"c1600"</definedName>
    <definedName name="IQ_INT_BORROW" hidden="1">"c583"</definedName>
    <definedName name="IQ_INT_DEPOSITS" hidden="1">"c584"</definedName>
    <definedName name="IQ_INT_DIV_INC" hidden="1">"c585"</definedName>
    <definedName name="IQ_INT_EXP_BR" hidden="1">"c586"</definedName>
    <definedName name="IQ_INT_EXP_COVERAGE" hidden="1">"c587"</definedName>
    <definedName name="IQ_INT_EXP_FIN" hidden="1">"c588"</definedName>
    <definedName name="IQ_INT_EXP_INS" hidden="1">"c589"</definedName>
    <definedName name="IQ_INT_EXP_REIT" hidden="1">"c590"</definedName>
    <definedName name="IQ_INT_EXP_TOTAL" hidden="1">"c591"</definedName>
    <definedName name="IQ_INT_EXP_UTI" hidden="1">"c592"</definedName>
    <definedName name="IQ_INT_INC_BR" hidden="1">"c593"</definedName>
    <definedName name="IQ_INT_INC_FIN" hidden="1">"c594"</definedName>
    <definedName name="IQ_INT_INC_INVEST" hidden="1">"c595"</definedName>
    <definedName name="IQ_INT_INC_LOANS" hidden="1">"c596"</definedName>
    <definedName name="IQ_INT_INC_REIT" hidden="1">"c597"</definedName>
    <definedName name="IQ_INT_INC_TOTAL" hidden="1">"c598"</definedName>
    <definedName name="IQ_INT_INC_UTI" hidden="1">"c599"</definedName>
    <definedName name="IQ_INT_INV_INC" hidden="1">"c600"</definedName>
    <definedName name="IQ_INT_INV_INC_REIT" hidden="1">"c601"</definedName>
    <definedName name="IQ_INT_INV_INC_UTI" hidden="1">"c602"</definedName>
    <definedName name="IQ_INT_ON_BORROWING_COVERAGE" hidden="1">"c603"</definedName>
    <definedName name="IQ_INT_RATE_SPREAD" hidden="1">"c604"</definedName>
    <definedName name="IQ_INTANGIBLES_NET" hidden="1">"c907"</definedName>
    <definedName name="IQ_INTEREST_EXP" hidden="1">"c618"</definedName>
    <definedName name="IQ_INTEREST_EXP_NET" hidden="1">"c1450"</definedName>
    <definedName name="IQ_INTEREST_EXP_NON" hidden="1">"c618"</definedName>
    <definedName name="IQ_INTEREST_EXP_SUPPL" hidden="1">"c1460"</definedName>
    <definedName name="IQ_INTEREST_INC" hidden="1">"c769"</definedName>
    <definedName name="IQ_INTEREST_INC_NON" hidden="1">"c619"</definedName>
    <definedName name="IQ_INTEREST_INVEST_INC" hidden="1">"c619"</definedName>
    <definedName name="IQ_INV_BANKING_FEE" hidden="1">"c620"</definedName>
    <definedName name="IQ_INV_METHOD" hidden="1">"c621"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IT" hidden="1">"c633"</definedName>
    <definedName name="IQ_INVEST_LOANS_CF_UTI" hidden="1">"c634"</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IT" hidden="1">"c642"</definedName>
    <definedName name="IQ_INVEST_SECURITY_CF_UTI" hidden="1">"c643"</definedName>
    <definedName name="IQ_IPRD" hidden="1">"c644"</definedName>
    <definedName name="IQ_ISS_DEBT_NET" hidden="1">"c751"</definedName>
    <definedName name="IQ_ISS_STOCK_NET" hidden="1">"c1601"</definedName>
    <definedName name="IQ_LAND" hidden="1">"c645"</definedName>
    <definedName name="IQ_LASTSALEPRICE" hidden="1">"c646"</definedName>
    <definedName name="IQ_LATESTK" hidden="1">1000</definedName>
    <definedName name="IQ_LATESTQ" hidden="1">500</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IT" hidden="1">"c652"</definedName>
    <definedName name="IQ_LEGAL_SETTLE_UTI" hidden="1">"c653"</definedName>
    <definedName name="IQ_LEVERAGE_RATIO" hidden="1">"c654"</definedName>
    <definedName name="IQ_LIFOR" hidden="1">"c655"</definedName>
    <definedName name="IQ_LL" hidden="1">"c656"</definedName>
    <definedName name="IQ_LOAN_LEASE_RECEIV" hidden="1">"c657"</definedName>
    <definedName name="IQ_LOAN_LOSS" hidden="1">"c656"</definedName>
    <definedName name="IQ_LOAN_SERVICE_REV" hidden="1">"c658"</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IT" hidden="1">"c664"</definedName>
    <definedName name="IQ_LOANS_CF_UTI" hidden="1">"c665"</definedName>
    <definedName name="IQ_LOANS_FOR_SALE" hidden="1">"c666"</definedName>
    <definedName name="IQ_LOANS_PAST_DUE" hidden="1">"c667"</definedName>
    <definedName name="IQ_LOANS_RECEIV_CURRENT" hidden="1">"c668"</definedName>
    <definedName name="IQ_LOANS_RECEIV_LT" hidden="1">"c669"</definedName>
    <definedName name="IQ_LOANS_RECEIV_LT_UTI" hidden="1">"c670"</definedName>
    <definedName name="IQ_LONG_TERM_DEBT" hidden="1">"c674"</definedName>
    <definedName name="IQ_LONG_TERM_DEBT_OVER_TOTAL_CAP" hidden="1">"c677"</definedName>
    <definedName name="IQ_LONG_TERM_GROWTH" hidden="1">"c671"</definedName>
    <definedName name="IQ_LONG_TERM_INV" hidden="1">"c697"</definedName>
    <definedName name="IQ_LOSS_LOSS_EXP" hidden="1">"c672"</definedName>
    <definedName name="IQ_LOWPRICE" hidden="1">"c673"</definedName>
    <definedName name="IQ_LT_DEBT" hidden="1">"c674"</definedName>
    <definedName name="IQ_LT_DEBT_BNK" hidden="1">"c675"</definedName>
    <definedName name="IQ_LT_DEBT_BR" hidden="1">"c676"</definedName>
    <definedName name="IQ_LT_DEBT_CAPITAL" hidden="1">"c677"</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IT" hidden="1">"c686"</definedName>
    <definedName name="IQ_LT_DEBT_ISSUED_UTI" hidden="1">"c687"</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IT" hidden="1">"c700"</definedName>
    <definedName name="IQ_LT_INVEST_UTI" hidden="1">"c701"</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2000</definedName>
    <definedName name="IQ_LTM_REVENUE_OVER_EMPLOYEES" hidden="1">"c1304"</definedName>
    <definedName name="IQ_LTMMONTH" hidden="1">120000</definedName>
    <definedName name="IQ_MACHINERY" hidden="1">"c711"</definedName>
    <definedName name="IQ_MARKETCAP" hidden="1">"c712"</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IT" hidden="1">"c724"</definedName>
    <definedName name="IQ_MERGER_RESTRUCTURE_UTI" hidden="1">"c725"</definedName>
    <definedName name="IQ_MERGER_UTI" hidden="1">"c726"</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IT" hidden="1">"c734"</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M_ACCOUNT" hidden="1">"c743"</definedName>
    <definedName name="IQ_MONTH">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TD" hidden="1">800000</definedName>
    <definedName name="IQ_NAMES_REVISION_DATE_" hidden="1">42728.1988773148</definedName>
    <definedName name="IQ_NET_CHANGE" hidden="1">"c749"</definedName>
    <definedName name="IQ_NET_DEBT" hidden="1">"c1584"</definedName>
    <definedName name="IQ_NET_DEBT_EBITDA" hidden="1">"c750"</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IT" hidden="1">"c756"</definedName>
    <definedName name="IQ_NET_DEBT_ISSUED_UTI" hidden="1">"c757"</definedName>
    <definedName name="IQ_NET_INC" hidden="1">"c781"</definedName>
    <definedName name="IQ_NET_INC_BEFORE" hidden="1">"c344"</definedName>
    <definedName name="IQ_NET_INC_CF" hidden="1">"c793"</definedName>
    <definedName name="IQ_NET_INC_MARGIN" hidden="1">"c794"</definedName>
    <definedName name="IQ_NET_INT_INC_10YR_ANN_GROWTH" hidden="1">"c758"</definedName>
    <definedName name="IQ_NET_INT_INC_1YR_ANN_GROWTH" hidden="1">"c759"</definedName>
    <definedName name="IQ_NET_INT_INC_2YR_ANN_GROWTH" hidden="1">"c760"</definedName>
    <definedName name="IQ_NET_INT_INC_3YR_ANN_GROWTH" hidden="1">"c761"</definedName>
    <definedName name="IQ_NET_INT_INC_5YR_ANN_GROWTH" hidden="1">"c762"</definedName>
    <definedName name="IQ_NET_INT_INC_7YR_ANN_GROWTH" hidden="1">"c763"</definedName>
    <definedName name="IQ_NET_INT_INC_BNK" hidden="1">"c764"</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IT" hidden="1">"c770"</definedName>
    <definedName name="IQ_NET_INTEREST_EXP_UTI" hidden="1">"c771"</definedName>
    <definedName name="IQ_NET_INTEREST_INC" hidden="1">"c764"</definedName>
    <definedName name="IQ_NET_INTEREST_INC_AFTER_LL" hidden="1">"c1604"</definedName>
    <definedName name="IQ_NET_LOANS" hidden="1">"c772"</definedName>
    <definedName name="IQ_NET_LOANS_10YR_ANN_GROWTH" hidden="1">"c773"</definedName>
    <definedName name="IQ_NET_LOANS_1YR_ANN_GROWTH" hidden="1">"c774"</definedName>
    <definedName name="IQ_NET_LOANS_2YR_ANN_GROWTH" hidden="1">"c775"</definedName>
    <definedName name="IQ_NET_LOANS_3YR_ANN_GROWTH" hidden="1">"c776"</definedName>
    <definedName name="IQ_NET_LOANS_5YR_ANN_GROWTH" hidden="1">"c777"</definedName>
    <definedName name="IQ_NET_LOANS_7YR_ANN_GROWTH" hidden="1">"c778"</definedName>
    <definedName name="IQ_NET_LOANS_TOTAL_DEPOSITS" hidden="1">"c779"</definedName>
    <definedName name="IQ_NET_RENTAL_EXP_FN" hidden="1">"c780"</definedName>
    <definedName name="IQ_NI" hidden="1">"c781"</definedName>
    <definedName name="IQ_NI_10YR_ANN_GROWTH" hidden="1">"c782"</definedName>
    <definedName name="IQ_NI_1YR_ANN_GROWTH" hidden="1">"c783"</definedName>
    <definedName name="IQ_NI_2YR_ANN_GROWTH" hidden="1">"c784"</definedName>
    <definedName name="IQ_NI_3YR_ANN_GROWTH" hidden="1">"c785"</definedName>
    <definedName name="IQ_NI_5YR_ANN_GROWTH" hidden="1">"c786"</definedName>
    <definedName name="IQ_NI_7YR_ANN_GROWTH" hidden="1">"c787"</definedName>
    <definedName name="IQ_NI_AFTER_CAPITALIZED" hidden="1">"c788"</definedName>
    <definedName name="IQ_NI_AVAIL_EXCL" hidden="1">"c789"</definedName>
    <definedName name="IQ_NI_AVAIL_EXCL_MARGIN" hidden="1">"c790"</definedName>
    <definedName name="IQ_NI_AVAIL_INCL" hidden="1">"c791"</definedName>
    <definedName name="IQ_NI_BEFORE_CAPITALIZED" hidden="1">"c792"</definedName>
    <definedName name="IQ_NI_CF" hidden="1">"c793"</definedName>
    <definedName name="IQ_NI_MARGIN" hidden="1">"c794"</definedName>
    <definedName name="IQ_NI_SFAS" hidden="1">"c795"</definedName>
    <definedName name="IQ_NON_ACCRUAL_LOANS" hidden="1">"c796"</definedName>
    <definedName name="IQ_NON_CASH" hidden="1">"c797"</definedName>
    <definedName name="IQ_NON_CASH_ITEMS" hidden="1">"c797"</definedName>
    <definedName name="IQ_NON_INS_EXP" hidden="1">"c798"</definedName>
    <definedName name="IQ_NON_INS_REV" hidden="1">"c799"</definedName>
    <definedName name="IQ_NON_INT_BEAR_CD" hidden="1">"c800"</definedName>
    <definedName name="IQ_NON_INT_EXP" hidden="1">"c801"</definedName>
    <definedName name="IQ_NON_INT_INC" hidden="1">"c802"</definedName>
    <definedName name="IQ_NON_INT_INC_10YR_ANN_GROWTH" hidden="1">"c803"</definedName>
    <definedName name="IQ_NON_INT_INC_1YR_ANN_GROWTH" hidden="1">"c804"</definedName>
    <definedName name="IQ_NON_INT_INC_2YR_ANN_GROWTH" hidden="1">"c805"</definedName>
    <definedName name="IQ_NON_INT_INC_3YR_ANN_GROWTH" hidden="1">"c806"</definedName>
    <definedName name="IQ_NON_INT_INC_5YR_ANN_GROWTH" hidden="1">"c807"</definedName>
    <definedName name="IQ_NON_INT_INC_7YR_ANN_GROWTH" hidden="1">"c808"</definedName>
    <definedName name="IQ_NON_INTEREST_EXP" hidden="1">"c801"</definedName>
    <definedName name="IQ_NON_INTEREST_INC" hidden="1">"c802"</definedName>
    <definedName name="IQ_NON_OPER_EXP" hidden="1">"c809"</definedName>
    <definedName name="IQ_NON_OPER_INC" hidden="1">"c810"</definedName>
    <definedName name="IQ_NON_PERF_ASSETS_10YR_ANN_GROWTH" hidden="1">"c811"</definedName>
    <definedName name="IQ_NON_PERF_ASSETS_1YR_ANN_GROWTH" hidden="1">"c812"</definedName>
    <definedName name="IQ_NON_PERF_ASSETS_2YR_ANN_GROWTH" hidden="1">"c813"</definedName>
    <definedName name="IQ_NON_PERF_ASSETS_3YR_ANN_GROWTH" hidden="1">"c814"</definedName>
    <definedName name="IQ_NON_PERF_ASSETS_5YR_ANN_GROWTH" hidden="1">"c815"</definedName>
    <definedName name="IQ_NON_PERF_ASSETS_7YR_ANN_GROWTH" hidden="1">"c816"</definedName>
    <definedName name="IQ_NON_PERF_ASSETS_TOTAL_ASSETS" hidden="1">"c817"</definedName>
    <definedName name="IQ_NON_PERF_LOANS_10YR_ANN_GROWTH" hidden="1">"c818"</definedName>
    <definedName name="IQ_NON_PERF_LOANS_1YR_ANN_GROWTH" hidden="1">"c819"</definedName>
    <definedName name="IQ_NON_PERF_LOANS_2YR_ANN_GROWTH" hidden="1">"c820"</definedName>
    <definedName name="IQ_NON_PERF_LOANS_3YR_ANN_GROWTH" hidden="1">"c821"</definedName>
    <definedName name="IQ_NON_PERF_LOANS_5YR_ANN_GROWTH" hidden="1">"c822"</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RMAL_INC_AFTER" hidden="1">"c1605"</definedName>
    <definedName name="IQ_NORMAL_INC_AVAIL" hidden="1">"c1606"</definedName>
    <definedName name="IQ_NORMAL_INC_BEFORE" hidden="1">"c1607"</definedName>
    <definedName name="IQ_NOTES_PAY" hidden="1">"c1176"</definedName>
    <definedName name="IQ_NOW_ACCOUNT" hidden="1">"c828"</definedName>
    <definedName name="IQ_NPPE" hidden="1">"c829"</definedName>
    <definedName name="IQ_NPPE_10YR_ANN_GROWTH" hidden="1">"c830"</definedName>
    <definedName name="IQ_NPPE_1YR_ANN_GROWTH" hidden="1">"c831"</definedName>
    <definedName name="IQ_NPPE_2YR_ANN_GROWTH" hidden="1">"c832"</definedName>
    <definedName name="IQ_NPPE_3YR_ANN_GROWTH" hidden="1">"c833"</definedName>
    <definedName name="IQ_NPPE_5YR_ANN_GROWTH" hidden="1">"c834"</definedName>
    <definedName name="IQ_NPPE_7YR_ANN_GROWTH" hidden="1">"c835"</definedName>
    <definedName name="IQ_NTM">6000</definedName>
    <definedName name="IQ_NUKE" hidden="1">"c836"</definedName>
    <definedName name="IQ_NUKE_CF" hidden="1">"c837"</definedName>
    <definedName name="IQ_NUKE_CONTR" hidden="1">"c838"</definedName>
    <definedName name="IQ_OCCUPY_EXP" hidden="1">"c839"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NPRICE" hidden="1">"c848"</definedName>
    <definedName name="IQ_OPER_INC" hidden="1">"c849"</definedName>
    <definedName name="IQ_OPER_INC_BR" hidden="1">"c850"</definedName>
    <definedName name="IQ_OPER_INC_FIN" hidden="1">"c851"</definedName>
    <definedName name="IQ_OPER_INC_INS" hidden="1">"c852"</definedName>
    <definedName name="IQ_OPER_INC_MARGIN" hidden="1">"c362"</definedName>
    <definedName name="IQ_OPER_INC_REIT" hidden="1">"c853"</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ISSUED" hidden="1">"c857"</definedName>
    <definedName name="IQ_OTHER_ADJUST_GROSS_LOANS" hidden="1">"c859"</definedName>
    <definedName name="IQ_OTHER_ASSETS" hidden="1">"c860"</definedName>
    <definedName name="IQ_OTHER_ASSETS_BNK" hidden="1">"c861"</definedName>
    <definedName name="IQ_OTHER_ASSETS_BR" hidden="1">"c862"</definedName>
    <definedName name="IQ_OTHER_ASSETS_FIN" hidden="1">"c863"</definedName>
    <definedName name="IQ_OTHER_ASSETS_INS" hidden="1">"c864"</definedName>
    <definedName name="IQ_OTHER_ASSETS_REIT" hidden="1">"c865"</definedName>
    <definedName name="IQ_OTHER_ASSETS_UTI" hidden="1">"c866"</definedName>
    <definedName name="IQ_OTHER_BEARING_LIAB" hidden="1">"c1608"</definedName>
    <definedName name="IQ_OTHER_BENEFITS_OBLIGATION" hidden="1">"c867"</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REIT" hidden="1">"c882"</definedName>
    <definedName name="IQ_OTHER_CL_SUPPL_UTI" hidden="1">"c883"</definedName>
    <definedName name="IQ_OTHER_CL_UTI" hidden="1">"c884"</definedName>
    <definedName name="IQ_OTHER_CURRENT_ASSETS" hidden="1">"c868"</definedName>
    <definedName name="IQ_OTHER_CURRENT_LIAB" hidden="1">"c877"</definedName>
    <definedName name="IQ_OTHER_DEP" hidden="1">"c885"</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IT" hidden="1">"c904"</definedName>
    <definedName name="IQ_OTHER_FINANCE_ACT_SUPPL_UTI" hidden="1">"c905"</definedName>
    <definedName name="IQ_OTHER_FINANCE_ACT_UTI" hidden="1">"c906"</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IT" hidden="1">"c912"</definedName>
    <definedName name="IQ_OTHER_INTAN_UTI" hidden="1">"c913"</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IT" hidden="1">"c927"</definedName>
    <definedName name="IQ_OTHER_INVEST_ACT_SUPPL_UTI" hidden="1">"c928"</definedName>
    <definedName name="IQ_OTHER_INVEST_ACT_UTI" hidden="1">"c929"</definedName>
    <definedName name="IQ_OTHER_INVESTING" hidden="1">"c916"</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IT" hidden="1">"c940"</definedName>
    <definedName name="IQ_OTHER_LIAB_LT_UTI" hidden="1">"c941"</definedName>
    <definedName name="IQ_OTHER_LIAB_REIT" hidden="1">"c942"</definedName>
    <definedName name="IQ_OTHER_LIAB_UTI" hidden="1">"c943"</definedName>
    <definedName name="IQ_OTHER_LIAB_WRITTEN" hidden="1">"c944"</definedName>
    <definedName name="IQ_OTHER_LOANS" hidden="1">"c945"</definedName>
    <definedName name="IQ_OTHER_LONG_TERM" hidden="1">"c946"</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IT" hidden="1">"c951"</definedName>
    <definedName name="IQ_OTHER_LT_ASSETS_UTI" hidden="1">"c952"</definedName>
    <definedName name="IQ_OTHER_NET" hidden="1">"c959"</definedName>
    <definedName name="IQ_OTHER_NON_INT_EXP" hidden="1">"c953"</definedName>
    <definedName name="IQ_OTHER_NON_INT_EXP_TOTAL" hidden="1">"c954"</definedName>
    <definedName name="IQ_OTHER_NON_INT_INC" hidden="1">"c955"</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IT" hidden="1">"c965"</definedName>
    <definedName name="IQ_OTHER_NON_OPER_EXP_SUPPL_UTI" hidden="1">"c966"</definedName>
    <definedName name="IQ_OTHER_NON_OPER_EXP_UTI" hidden="1">"c967"</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IT" hidden="1">"c1003"</definedName>
    <definedName name="IQ_OTHER_OPER_TOT_UTI" hidden="1">"c1004"</definedName>
    <definedName name="IQ_OTHER_OPER_UTI" hidden="1">"c1005"</definedName>
    <definedName name="IQ_OTHER_PC_WRITTEN" hidden="1">"c1006"</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IT" hidden="1">"c1019"</definedName>
    <definedName name="IQ_OTHER_REV_SUPPL_UTI" hidden="1">"c1020"</definedName>
    <definedName name="IQ_OTHER_REV_UTI" hidden="1">"c1021"</definedName>
    <definedName name="IQ_OTHER_REVENUE" hidden="1">"c1010"</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IT" hidden="1">"c1499"</definedName>
    <definedName name="IQ_OTHER_UNUSUAL_SUPPL_UTI" hidden="1">"c1500"</definedName>
    <definedName name="IQ_OTHER_UNUSUAL_UTI" hidden="1">"c1565"</definedName>
    <definedName name="IQ_OUTSTANDING_BS_DATE" hidden="1">"c1022"</definedName>
    <definedName name="IQ_OUTSTANDING_FILING_DATE" hidden="1">"c1023"</definedName>
    <definedName name="IQ_PART_TIME" hidden="1">"c1024"</definedName>
    <definedName name="IQ_PAY_ACCRUED" hidden="1">"c8"</definedName>
    <definedName name="IQ_PBV" hidden="1">"c1025"</definedName>
    <definedName name="IQ_PBV_AVG" hidden="1">"c1026"</definedName>
    <definedName name="IQ_PC_WRITTEN" hidden="1">"c1027"</definedName>
    <definedName name="IQ_PE_EXCL" hidden="1">"c1028"</definedName>
    <definedName name="IQ_PE_EXCL_AVG" hidden="1">"c1029"</definedName>
    <definedName name="IQ_PE_EXCL_FWD" hidden="1">"c1030"</definedName>
    <definedName name="IQ_PE_RATIO" hidden="1">"c1610"</definedName>
    <definedName name="IQ_PENSION" hidden="1">"c1031"</definedName>
    <definedName name="IQ_PERIODDATE" hidden="1">"c1034"</definedName>
    <definedName name="IQ_PERIODDATE_BS" hidden="1">"c1032"</definedName>
    <definedName name="IQ_PERIODDATE_CF" hidden="1">"c1033"</definedName>
    <definedName name="IQ_PERIODDATE_IS" hidden="1">"c1034"</definedName>
    <definedName name="IQ_PERIODLENGTH_CF" hidden="1">"c1502"</definedName>
    <definedName name="IQ_PERIODLENGTH_IS" hidden="1">"c1503"</definedName>
    <definedName name="IQ_PERTYPE" hidden="1">"c1611"</definedName>
    <definedName name="IQ_POLICY_BENEFITS" hidden="1">"c1036"</definedName>
    <definedName name="IQ_POLICY_COST" hidden="1">"c1037"</definedName>
    <definedName name="IQ_POLICY_LIAB" hidden="1">"c1612"</definedName>
    <definedName name="IQ_POLICY_LOANS" hidden="1">"c1038"</definedName>
    <definedName name="IQ_POST_RETIRE_EXP" hidden="1">"c1039"</definedName>
    <definedName name="IQ_PRE_OPEN_COST" hidden="1">"c1040"</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IT" hidden="1">"c1058"</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IT" hidden="1">"c1065"</definedName>
    <definedName name="IQ_PREF_REP_UTI" hidden="1">"c1066"</definedName>
    <definedName name="IQ_PREF_STOCK" hidden="1">"c1052"</definedName>
    <definedName name="IQ_PREF_TOT" hidden="1">"c1044"</definedName>
    <definedName name="IQ_PREMIUMS_ANNUITY_REV" hidden="1">"c1067"</definedName>
    <definedName name="IQ_PREPAID_EXP" hidden="1">"c1068"</definedName>
    <definedName name="IQ_PREPAID_EXPEN" hidden="1">"c1068"</definedName>
    <definedName name="IQ_PRICE_OVER_BVPS" hidden="1">"c1026"</definedName>
    <definedName name="IQ_PRICE_OVER_LTM_EPS" hidden="1">"c1029"</definedName>
    <definedName name="IQ_PRICEDATE" hidden="1">"c1069"</definedName>
    <definedName name="IQ_PRICING_DATE" hidden="1">"c1613"</definedName>
    <definedName name="IQ_PRIMARY_INDUSTRY" hidden="1">"c1070"</definedName>
    <definedName name="IQ_PRO_FORMA_BASIC_EPS" hidden="1">"c1614"</definedName>
    <definedName name="IQ_PRO_FORMA_DILUT_EPS" hidden="1">"c1615"</definedName>
    <definedName name="IQ_PRO_FORMA_NET_INC" hidden="1">"c795"</definedName>
    <definedName name="IQ_PROFESSIONAL" hidden="1">"c1071"</definedName>
    <definedName name="IQ_PROFESSIONAL_TITLE" hidden="1">"c1072"</definedName>
    <definedName name="IQ_PROPERTY_EXP" hidden="1">"c1073"</definedName>
    <definedName name="IQ_PROPERTY_GROSS" hidden="1">"c518"</definedName>
    <definedName name="IQ_PROPERTY_MGMT_FEE" hidden="1">"c1074"</definedName>
    <definedName name="IQ_PROPERTY_NET" hidden="1">"c829"</definedName>
    <definedName name="IQ_PROV_BAD_DEBTS" hidden="1">"c1075"</definedName>
    <definedName name="IQ_PROV_BAD_DEBTS_CF" hidden="1">"c1076"</definedName>
    <definedName name="IQ_PROVISION_10YR_ANN_GROWTH" hidden="1">"c1077"</definedName>
    <definedName name="IQ_PROVISION_1YR_ANN_GROWTH" hidden="1">"c1078"</definedName>
    <definedName name="IQ_PROVISION_2YR_ANN_GROWTH" hidden="1">"c1079"</definedName>
    <definedName name="IQ_PROVISION_3YR_ANN_GROWTH" hidden="1">"c1080"</definedName>
    <definedName name="IQ_PROVISION_5YR_ANN_GROWTH" hidden="1">"c1081"</definedName>
    <definedName name="IQ_PROVISION_7YR_ANN_GROWTH" hidden="1">"c1082"</definedName>
    <definedName name="IQ_PROVISION_CHARGE_OFFS" hidden="1">"c1083"</definedName>
    <definedName name="IQ_PTBV" hidden="1">"c1084"</definedName>
    <definedName name="IQ_PTBV_AVG" hidden="1">"c1085"</definedName>
    <definedName name="IQ_QTD" hidden="1">750000</definedName>
    <definedName name="IQ_QUICK_RATIO" hidden="1">"c1086"</definedName>
    <definedName name="IQ_RATE_COMP_GROWTH_DOMESTIC" hidden="1">"c1087"</definedName>
    <definedName name="IQ_RATE_COMP_GROWTH_FOREIGN" hidden="1">"c1088"</definedName>
    <definedName name="IQ_RAW_INV" hidden="1">"c1089"</definedName>
    <definedName name="IQ_RD_EXP" hidden="1">"c1090"</definedName>
    <definedName name="IQ_RD_EXP_FN" hidden="1">"c1091"</definedName>
    <definedName name="IQ_RE" hidden="1">"c1092"</definedName>
    <definedName name="IQ_REAL_ESTATE" hidden="1">"c1093"</definedName>
    <definedName name="IQ_REAL_ESTATE_ASSETS" hidden="1">"c1094"</definedName>
    <definedName name="IQ_REDEEM_PREF_STOCK" hidden="1">"c1059"</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NTAL_REV" hidden="1">"c1101"</definedName>
    <definedName name="IQ_RESEARCH_DEV" hidden="1">"c1090"</definedName>
    <definedName name="IQ_RESIDENTIAL_LOANS" hidden="1">"c1102"</definedName>
    <definedName name="IQ_RESTATEMENT_BS" hidden="1">"c1643"</definedName>
    <definedName name="IQ_RESTATEMENT_CF" hidden="1">"c1644"</definedName>
    <definedName name="IQ_RESTATEMENT_IS" hidden="1">"c1642"</definedName>
    <definedName name="IQ_RESTRICTED_CASH" hidden="1">"c1103"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IT" hidden="1">"c1110"</definedName>
    <definedName name="IQ_RESTRUCTURE_UTI" hidden="1">"c1111"</definedName>
    <definedName name="IQ_RESTRUCTURED_LOANS" hidden="1">"c1112"</definedName>
    <definedName name="IQ_RETAINED_EARN" hidden="1">"c1092"</definedName>
    <definedName name="IQ_RETURN_ASSETS" hidden="1">"c1113"</definedName>
    <definedName name="IQ_RETURN_ASSETS_BANK" hidden="1">"c1114"</definedName>
    <definedName name="IQ_RETURN_ASSETS_BROK" hidden="1">"c1115"</definedName>
    <definedName name="IQ_RETURN_ASSETS_FS" hidden="1">"c1116"</definedName>
    <definedName name="IQ_RETURN_CAPITAL" hidden="1">"c1117"</definedName>
    <definedName name="IQ_RETURN_EQUITY" hidden="1">"c1118"</definedName>
    <definedName name="IQ_RETURN_EQUITY_BANK" hidden="1">"c1119"</definedName>
    <definedName name="IQ_RETURN_EQUITY_BROK" hidden="1">"c1120"</definedName>
    <definedName name="IQ_RETURN_EQUITY_FS" hidden="1">"c1121"</definedName>
    <definedName name="IQ_RETURN_INVESTMENT" hidden="1">"c1117"</definedName>
    <definedName name="IQ_REV" hidden="1">"c1122"</definedName>
    <definedName name="IQ_REV_BEFORE_LL" hidden="1">"c1123"</definedName>
    <definedName name="IQ_REV_UTI" hidden="1">"c1125"</definedName>
    <definedName name="IQ_REVENUE" hidden="1">"c1122"</definedName>
    <definedName name="IQ_SALARY" hidden="1">"c1130"</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ME_STORE" hidden="1">"c1149"</definedName>
    <definedName name="IQ_SAVING_DEP" hidden="1">"c1150"</definedName>
    <definedName name="IQ_SECUR_RECEIV" hidden="1">"c1151"</definedName>
    <definedName name="IQ_SECURITY_BORROW" hidden="1">"c1152"</definedName>
    <definedName name="IQ_SECURITY_OWN" hidden="1">"c1153"</definedName>
    <definedName name="IQ_SECURITY_RESELL" hidden="1">"c1154"</definedName>
    <definedName name="IQ_SEPARATE_ACCT_ASSETS" hidden="1">"c1155"</definedName>
    <definedName name="IQ_SEPARATE_ACCT_LIAB" hidden="1">"c1156"</definedName>
    <definedName name="IQ_SERV_CHARGE_DEPOSITS" hidden="1">"c1157"</definedName>
    <definedName name="IQ_SGA" hidden="1">"c1158"</definedName>
    <definedName name="IQ_SGA_BNK" hidden="1">"c1159"</definedName>
    <definedName name="IQ_SGA_INS" hidden="1">"c1160"</definedName>
    <definedName name="IQ_SGA_REIT" hidden="1">"c1161"</definedName>
    <definedName name="IQ_SGA_SUPPL" hidden="1">"c1162"</definedName>
    <definedName name="IQ_SGA_UTI" hidden="1">"c1163"</definedName>
    <definedName name="IQ_SHAREOUTSTANDING" hidden="1">"c83"</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TERM_INVEST" hidden="1">"c1197"</definedName>
    <definedName name="IQ_SMALL_INT_BEAR_CD" hidden="1">"c1166"</definedName>
    <definedName name="IQ_SOFTWARE" hidden="1">"c1167"</definedName>
    <definedName name="IQ_SOURCE" hidden="1">"c1168"</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IT" hidden="1">"c1174"</definedName>
    <definedName name="IQ_SPECIAL_DIV_CF_UTI" hidden="1">"c1175"</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IT" hidden="1">"c1186"</definedName>
    <definedName name="IQ_ST_DEBT_ISSUED_UTI" hidden="1">"c1187"</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IT" hidden="1">"c1194"</definedName>
    <definedName name="IQ_ST_DEBT_REPAID_UTI" hidden="1">"c1195"</definedName>
    <definedName name="IQ_ST_DEBT_UTI" hidden="1">"c1196"</definedName>
    <definedName name="IQ_ST_INVEST" hidden="1">"c1197"</definedName>
    <definedName name="IQ_ST_INVEST_UTI" hidden="1">"c1198"</definedName>
    <definedName name="IQ_ST_NOTE_RECEIV" hidden="1">"c1199"</definedName>
    <definedName name="IQ_STATE" hidden="1">"c1200"</definedName>
    <definedName name="IQ_STATUTORY_SURPLUS" hidden="1">"c1201"</definedName>
    <definedName name="IQ_STOCK_BASED" hidden="1">"c1202"</definedName>
    <definedName name="IQ_STOCK_BASED_CF" hidden="1">"c1203"</definedName>
    <definedName name="IQ_STRIKE_PRICE_ISSUED" hidden="1">"c1645"</definedName>
    <definedName name="IQ_STRIKE_PRICE_OS" hidden="1">"c1646"</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VA" hidden="1">"c1214"</definedName>
    <definedName name="IQ_TAX_BENEFIT_OPTIONS" hidden="1">"c1215"</definedName>
    <definedName name="IQ_TAX_EQUIV_NET_INT_INC" hidden="1">"c1216"</definedName>
    <definedName name="IQ_TBV_SHARE" hidden="1">"c1217"</definedName>
    <definedName name="IQ_TEMPLATE" hidden="1">"c1521"</definedName>
    <definedName name="IQ_TENANT" hidden="1">"c1218"</definedName>
    <definedName name="IQ_TEV" hidden="1">"c1219"</definedName>
    <definedName name="IQ_TEV_EBIT" hidden="1">"c1220"</definedName>
    <definedName name="IQ_TEV_EBIT_AVG" hidden="1">"c1221"</definedName>
    <definedName name="IQ_TEV_EBITDA" hidden="1">"c1222"</definedName>
    <definedName name="IQ_TEV_EBITDA_AVG" hidden="1">"c1223"</definedName>
    <definedName name="IQ_TEV_EBITDA_FWD" hidden="1">"c1224"</definedName>
    <definedName name="IQ_TEV_EMPLOYEE_AVG" hidden="1">"c1225"</definedName>
    <definedName name="IQ_TEV_TOTAL_REV" hidden="1">"c1226"</definedName>
    <definedName name="IQ_TEV_TOTAL_REV_AVG" hidden="1">"c1227"</definedName>
    <definedName name="IQ_TEV_TOTAL_REV_FWD" hidden="1">"c1228"</definedName>
    <definedName name="IQ_TIER_ONE_RATIO" hidden="1">"c1229"</definedName>
    <definedName name="IQ_TIME_DEP" hidden="1">"c1230"</definedName>
    <definedName name="IQ_TODAY" hidden="1">0</definedName>
    <definedName name="IQ_TOT_ADJ_INC" hidden="1">"c1616"</definedName>
    <definedName name="IQ_TOTAL_AR_BR" hidden="1">"c1231"</definedName>
    <definedName name="IQ_TOTAL_AR_REIT" hidden="1">"c1232"</definedName>
    <definedName name="IQ_TOTAL_AR_UTI" hidden="1">"c1233"</definedName>
    <definedName name="IQ_TOTAL_ASSETS" hidden="1">"c1234"</definedName>
    <definedName name="IQ_TOTAL_ASSETS_10YR_ANN_GROWTH" hidden="1">"c1235"</definedName>
    <definedName name="IQ_TOTAL_ASSETS_1YR_ANN_GROWTH" hidden="1">"c1236"</definedName>
    <definedName name="IQ_TOTAL_ASSETS_2YR_ANN_GROWTH" hidden="1">"c1237"</definedName>
    <definedName name="IQ_TOTAL_ASSETS_3YR_ANN_GROWTH" hidden="1">"c1238"</definedName>
    <definedName name="IQ_TOTAL_ASSETS_5YR_ANN_GROWTH" hidden="1">"c1239"</definedName>
    <definedName name="IQ_TOTAL_ASSETS_7YR_ANN_GROWTH" hidden="1">"c1240"</definedName>
    <definedName name="IQ_TOTAL_AVG_CE_TOTAL_AVG_ASSETS" hidden="1">"c1241"</definedName>
    <definedName name="IQ_TOTAL_AVG_EQUITY_TOTAL_AVG_ASSETS" hidden="1">"c1242"</definedName>
    <definedName name="IQ_TOTAL_CA" hidden="1">"c1243"</definedName>
    <definedName name="IQ_TOTAL_CAP" hidden="1">"c1507"</definedName>
    <definedName name="IQ_TOTAL_CAPITAL_RATIO" hidden="1">"c1244"</definedName>
    <definedName name="IQ_TOTAL_CASH_DIVID" hidden="1">"c1266"</definedName>
    <definedName name="IQ_TOTAL_CASH_FINAN" hidden="1">"c119"</definedName>
    <definedName name="IQ_TOTAL_CASH_INVEST" hidden="1">"c121"</definedName>
    <definedName name="IQ_TOTAL_CASH_OPER" hidden="1">"c122"</definedName>
    <definedName name="IQ_TOTAL_CL" hidden="1">"c1245"</definedName>
    <definedName name="IQ_TOTAL_COMMON" hidden="1">"c1022"</definedName>
    <definedName name="IQ_TOTAL_COMMON_EQUITY" hidden="1">"c1246"</definedName>
    <definedName name="IQ_TOTAL_CURRENT_ASSETS" hidden="1">"c1243"</definedName>
    <definedName name="IQ_TOTAL_CURRENT_LIAB" hidden="1">"c1245"</definedName>
    <definedName name="IQ_TOTAL_DEBT" hidden="1">"c1247"</definedName>
    <definedName name="IQ_TOTAL_DEBT_CAPITAL" hidden="1">"c1248"</definedName>
    <definedName name="IQ_TOTAL_DEBT_EBITDA" hidden="1">"c1249"</definedName>
    <definedName name="IQ_TOTAL_DEBT_EQUITY" hidden="1">"c1250"</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IT" hidden="1">"c1255"</definedName>
    <definedName name="IQ_TOTAL_DEBT_ISSUED_UTI" hidden="1">"c1256"</definedName>
    <definedName name="IQ_TOTAL_DEBT_ISSUES_INS" hidden="1">"c1257"</definedName>
    <definedName name="IQ_TOTAL_DEBT_OVER_EBITDA" hidden="1">"c1249"</definedName>
    <definedName name="IQ_TOTAL_DEBT_OVER_TOTAL_BV" hidden="1">"c1250"</definedName>
    <definedName name="IQ_TOTAL_DEBT_OVER_TOTAL_CAP" hidden="1">"c1248"</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IT" hidden="1">"c1263"</definedName>
    <definedName name="IQ_TOTAL_DEBT_REPAID_UTI" hidden="1">"c1264"</definedName>
    <definedName name="IQ_TOTAL_DEPOSITS" hidden="1">"c1265"</definedName>
    <definedName name="IQ_TOTAL_DIV_PAID_CF" hidden="1">"c1266"</definedName>
    <definedName name="IQ_TOTAL_EMPLOYEE" hidden="1">"c1522"</definedName>
    <definedName name="IQ_TOTAL_EQUITY" hidden="1">"c1267"</definedName>
    <definedName name="IQ_TOTAL_EQUITY_10YR_ANN_GROWTH" hidden="1">"c1268"</definedName>
    <definedName name="IQ_TOTAL_EQUITY_1YR_ANN_GROWTH" hidden="1">"c1269"</definedName>
    <definedName name="IQ_TOTAL_EQUITY_2YR_ANN_GROWTH" hidden="1">"c1270"</definedName>
    <definedName name="IQ_TOTAL_EQUITY_3YR_ANN_GROWTH" hidden="1">"c1271"</definedName>
    <definedName name="IQ_TOTAL_EQUITY_5YR_ANN_GROWTH" hidden="1">"c1272"</definedName>
    <definedName name="IQ_TOTAL_EQUITY_7YR_ANN_GROWTH" hidden="1">"c1273"</definedName>
    <definedName name="IQ_TOTAL_EQUITY_ALLOWANCE_TOTAL_LOANS" hidden="1">"c1274"</definedName>
    <definedName name="IQ_TOTAL_INTEREST_EXP" hidden="1">"c591"</definedName>
    <definedName name="IQ_TOTAL_INVENTORY" hidden="1">"c622"</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FIN" hidden="1">"c1280"</definedName>
    <definedName name="IQ_TOTAL_LIAB_INS" hidden="1">"c1281"</definedName>
    <definedName name="IQ_TOTAL_LIAB_REIT" hidden="1">"c1282"</definedName>
    <definedName name="IQ_TOTAL_LIAB_SHAREHOLD" hidden="1">"c1279"</definedName>
    <definedName name="IQ_TOTAL_LIAB_TOTAL_ASSETS" hidden="1">"c1283"</definedName>
    <definedName name="IQ_TOTAL_LONG_DEBT" hidden="1">"c1617"</definedName>
    <definedName name="IQ_TOTAL_OPER_EXP_BR" hidden="1">"c1284"</definedName>
    <definedName name="IQ_TOTAL_OPER_EXP_FIN" hidden="1">"c1285"</definedName>
    <definedName name="IQ_TOTAL_OPER_EXP_INS" hidden="1">"c1286"</definedName>
    <definedName name="IQ_TOTAL_OPER_EXP_REIT" hidden="1">"c1287"</definedName>
    <definedName name="IQ_TOTAL_OPER_EXP_UTI" hidden="1">"c1288"</definedName>
    <definedName name="IQ_TOTAL_OPER_EXPEN" hidden="1">"c1445"</definedName>
    <definedName name="IQ_TOTAL_OTHER_OPER" hidden="1">"c1289"</definedName>
    <definedName name="IQ_TOTAL_PENSION_ASSETS" hidden="1">"c1290"</definedName>
    <definedName name="IQ_TOTAL_PENSION_EXP" hidden="1">"c1291"</definedName>
    <definedName name="IQ_TOTAL_PENSION_OBLIGATION" hidden="1">"c1292"</definedName>
    <definedName name="IQ_TOTAL_RECEIV" hidden="1">"c1293"</definedName>
    <definedName name="IQ_TOTAL_REV" hidden="1">"c1294"</definedName>
    <definedName name="IQ_TOTAL_REV_10YR_ANN_GROWTH" hidden="1">"c1295"</definedName>
    <definedName name="IQ_TOTAL_REV_1YR_ANN_GROWTH" hidden="1">"c1296"</definedName>
    <definedName name="IQ_TOTAL_REV_2YR_ANN_GROWTH" hidden="1">"c1297"</definedName>
    <definedName name="IQ_TOTAL_REV_3YR_ANN_GROWTH" hidden="1">"c1298"</definedName>
    <definedName name="IQ_TOTAL_REV_5YR_ANN_GROWTH" hidden="1">"c1299"</definedName>
    <definedName name="IQ_TOTAL_REV_7YR_ANN_GROWTH" hidden="1">"c1300"</definedName>
    <definedName name="IQ_TOTAL_REV_AS_REPORTED" hidden="1">"c1301"</definedName>
    <definedName name="IQ_TOTAL_REV_BNK" hidden="1">"c1302"</definedName>
    <definedName name="IQ_TOTAL_REV_BR" hidden="1">"c1303"</definedName>
    <definedName name="IQ_TOTAL_REV_EMPLOYEE" hidden="1">"c1304"</definedName>
    <definedName name="IQ_TOTAL_REV_FIN" hidden="1">"c1305"</definedName>
    <definedName name="IQ_TOTAL_REV_INS" hidden="1">"c1306"</definedName>
    <definedName name="IQ_TOTAL_REV_REIT" hidden="1">"c1307"</definedName>
    <definedName name="IQ_TOTAL_REV_UTI" hidden="1">"c1308"</definedName>
    <definedName name="IQ_TOTAL_REVENUE" hidden="1">"c1294"</definedName>
    <definedName name="IQ_TOTAL_SPECIAL" hidden="1">"c1618"</definedName>
    <definedName name="IQ_TOTAL_ST_BORROW" hidden="1">"c1177"</definedName>
    <definedName name="IQ_TOTAL_UNUSUAL" hidden="1">"c1508"</definedName>
    <definedName name="IQ_TRADE_AR" hidden="1">"c40"</definedName>
    <definedName name="IQ_TRADE_PRINCIPAL" hidden="1">"c1309"</definedName>
    <definedName name="IQ_TRADING_ASSETS" hidden="1">"c1310"</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IT" hidden="1">"c1317"</definedName>
    <definedName name="IQ_TREASURY_OTHER_EQUITY_UTI" hidden="1">"c1318"</definedName>
    <definedName name="IQ_TREASURY_STOCK" hidden="1">"c1311"</definedName>
    <definedName name="IQ_TRUST_INC" hidden="1">"c1319"</definedName>
    <definedName name="IQ_TRUST_PREF" hidden="1">"c1320"</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IT" hidden="1">"c1327"</definedName>
    <definedName name="IQ_UNEARN_REV_CURRENT_UTI" hidden="1">"c1328"</definedName>
    <definedName name="IQ_UNEARN_REV_LT" hidden="1">"c1329"</definedName>
    <definedName name="IQ_UNPAID_CLAIMS" hidden="1">"c1330"</definedName>
    <definedName name="IQ_UNREALIZED_GAIN" hidden="1">"c1619"</definedName>
    <definedName name="IQ_US_GAAP" hidden="1">"c1331"</definedName>
    <definedName name="IQ_UTIL_PPE_NET" hidden="1">"c1620"</definedName>
    <definedName name="IQ_UV_PENSION_LIAB" hidden="1">"c1332"</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UME" hidden="1">"c1333"</definedName>
    <definedName name="IQ_WEEK">50000</definedName>
    <definedName name="IQ_WEIGHTED_AVG_PRICE" hidden="1">"c1334"</definedName>
    <definedName name="IQ_WIP_INV" hidden="1">"c1335"</definedName>
    <definedName name="IQ_WORKMEN_WRITTEN" hidden="1">"c1336"</definedName>
    <definedName name="IQ_YEARHIGH" hidden="1">"c1337"</definedName>
    <definedName name="IQ_YEARLOW" hidden="1">"c1338"</definedName>
    <definedName name="IQ_YTD">3000</definedName>
    <definedName name="IQ_YTDMONTH" hidden="1">130000</definedName>
    <definedName name="IQ_Z_SCORE" hidden="1">"c1339"</definedName>
    <definedName name="IRATE">#REF!</definedName>
    <definedName name="Iron">#REF!</definedName>
    <definedName name="IROW">#N/A</definedName>
    <definedName name="IRR">#REF!</definedName>
    <definedName name="IRR_Analysis">#REF!</definedName>
    <definedName name="IRR_Delta">#REF!</definedName>
    <definedName name="IRR_Delta_Wind">#REF!</definedName>
    <definedName name="IRR10B">#REF!</definedName>
    <definedName name="IRROUT">#REF!</definedName>
    <definedName name="itc">#REF!</definedName>
    <definedName name="j">#REF!</definedName>
    <definedName name="jan">#REF!</definedName>
    <definedName name="je">#REF!</definedName>
    <definedName name="JE_S">#REF!</definedName>
    <definedName name="jeentry912">#REF!</definedName>
    <definedName name="jeform">#REF!</definedName>
    <definedName name="JEG">#REF!</definedName>
    <definedName name="JEH">#REF!</definedName>
    <definedName name="jentry">#REF!</definedName>
    <definedName name="jentry89">#REF!</definedName>
    <definedName name="jentry90">#REF!</definedName>
    <definedName name="jentry91">#REF!</definedName>
    <definedName name="jentry92">#REF!</definedName>
    <definedName name="JES">#REF!</definedName>
    <definedName name="JESUS" localSheetId="18" hidden="1">{#N/A,#N/A,TRUE,"Facility-Input";#N/A,#N/A,TRUE,"Graphs";#N/A,#N/A,TRUE,"TOTAL"}</definedName>
    <definedName name="JESUS" hidden="1">{#N/A,#N/A,TRUE,"Facility-Input";#N/A,#N/A,TRUE,"Graphs";#N/A,#N/A,TRUE,"TOTAL"}</definedName>
    <definedName name="JGM">#REF!</definedName>
    <definedName name="jh" localSheetId="18" hidden="1">{#N/A,#N/A,FALSE,"Aging Summary";#N/A,#N/A,FALSE,"Ratio Analysis";#N/A,#N/A,FALSE,"Test 120 Day Accts";#N/A,#N/A,FALSE,"Tickmarks"}</definedName>
    <definedName name="jh" hidden="1">{#N/A,#N/A,FALSE,"Aging Summary";#N/A,#N/A,FALSE,"Ratio Analysis";#N/A,#N/A,FALSE,"Test 120 Day Accts";#N/A,#N/A,FALSE,"Tickmarks"}</definedName>
    <definedName name="jhfg">#N/A</definedName>
    <definedName name="JHG">#REF!</definedName>
    <definedName name="jjj" localSheetId="18" hidden="1">{#N/A,#N/A,FALSE,"INPUTDATA";#N/A,#N/A,FALSE,"SUMMARY";#N/A,#N/A,FALSE,"CTAREP";#N/A,#N/A,FALSE,"CTBREP";#N/A,#N/A,FALSE,"PMG4ST86";#N/A,#N/A,FALSE,"TURBEFF";#N/A,#N/A,FALSE,"Condenser Performance"}</definedName>
    <definedName name="jjj" hidden="1">{#N/A,#N/A,FALSE,"INPUTDATA";#N/A,#N/A,FALSE,"SUMMARY";#N/A,#N/A,FALSE,"CTAREP";#N/A,#N/A,FALSE,"CTBREP";#N/A,#N/A,FALSE,"PMG4ST86";#N/A,#N/A,FALSE,"TURBEFF";#N/A,#N/A,FALSE,"Condenser Performance"}</definedName>
    <definedName name="JLB">#REF!</definedName>
    <definedName name="jo">#N/A</definedName>
    <definedName name="JOBNO">#REF!</definedName>
    <definedName name="jonetxinc">#REF!</definedName>
    <definedName name="JPH">#REF!</definedName>
    <definedName name="JTP">#REF!</definedName>
    <definedName name="july">#REF!</definedName>
    <definedName name="Jun">#REF!</definedName>
    <definedName name="june">#REF!</definedName>
    <definedName name="JV1_38_90">#REF!</definedName>
    <definedName name="jvirr">#REF!</definedName>
    <definedName name="jyoti2">#REF!</definedName>
    <definedName name="k">#REF!</definedName>
    <definedName name="K1_">#REF!</definedName>
    <definedName name="K1P">#REF!</definedName>
    <definedName name="K2_">#REF!</definedName>
    <definedName name="K2P">#REF!</definedName>
    <definedName name="kerntxinc">#REF!</definedName>
    <definedName name="key">#REF!</definedName>
    <definedName name="KeyCon_Close_Date">#REF!</definedName>
    <definedName name="KeyControlFigure">#REF!</definedName>
    <definedName name="Keys">#REF!</definedName>
    <definedName name="kfpartner">#REF!</definedName>
    <definedName name="kk">#REF!</definedName>
    <definedName name="kkk" localSheetId="18" hidden="1">{#N/A,#N/A,FALSE,"INPUTDATA";#N/A,#N/A,FALSE,"SUMMARY";#N/A,#N/A,FALSE,"CTAREP";#N/A,#N/A,FALSE,"CTBREP";#N/A,#N/A,FALSE,"TURBEFF";#N/A,#N/A,FALSE,"Condenser Performance"}</definedName>
    <definedName name="kkk" hidden="1">{#N/A,#N/A,FALSE,"INPUTDATA";#N/A,#N/A,FALSE,"SUMMARY";#N/A,#N/A,FALSE,"CTAREP";#N/A,#N/A,FALSE,"CTBREP";#N/A,#N/A,FALSE,"TURBEFF";#N/A,#N/A,FALSE,"Condenser Performance"}</definedName>
    <definedName name="KMD">#REF!</definedName>
    <definedName name="ko" localSheetId="18" hidden="1">{#N/A,#N/A,FALSE,"Aging Summary";#N/A,#N/A,FALSE,"Ratio Analysis";#N/A,#N/A,FALSE,"Test 120 Day Accts";#N/A,#N/A,FALSE,"Tickmarks"}</definedName>
    <definedName name="ko" hidden="1">{#N/A,#N/A,FALSE,"Aging Summary";#N/A,#N/A,FALSE,"Ratio Analysis";#N/A,#N/A,FALSE,"Test 120 Day Accts";#N/A,#N/A,FALSE,"Tickmarks"}</definedName>
    <definedName name="KS">#REF!</definedName>
    <definedName name="KSP">#REF!</definedName>
    <definedName name="Kva_Column">#REF!</definedName>
    <definedName name="kW">#REF!</definedName>
    <definedName name="KWP">#REF!</definedName>
    <definedName name="l">#REF!</definedName>
    <definedName name="L_Adjust">#REF!</definedName>
    <definedName name="L_AJE_Tot">#REF!</definedName>
    <definedName name="L_CY_Beg">#REF!</definedName>
    <definedName name="L_CY_End">#REF!</definedName>
    <definedName name="L_PY_End">#REF!</definedName>
    <definedName name="L_RJE_Tot">#REF!</definedName>
    <definedName name="LABEL_BLK">#N/A</definedName>
    <definedName name="LABEL_CK0">#N/A</definedName>
    <definedName name="LABEL_CK1">#N/A</definedName>
    <definedName name="LABEL_CK2">#N/A</definedName>
    <definedName name="LABEL_CK3">#N/A</definedName>
    <definedName name="LABEL_ERR">#N/A</definedName>
    <definedName name="LABEL_ERR_MSG">#N/A</definedName>
    <definedName name="Labor">#REF!</definedName>
    <definedName name="Labor____of_People">#REF!</definedName>
    <definedName name="Labor_Impact">#REF!</definedName>
    <definedName name="Labor_Index">#REF!</definedName>
    <definedName name="labor2001">#REF!</definedName>
    <definedName name="labor2002">#REF!</definedName>
    <definedName name="labor2003">#REF!</definedName>
    <definedName name="labor2004">#REF!</definedName>
    <definedName name="labor2005">#REF!</definedName>
    <definedName name="LaborAnglePole">#REF!</definedName>
    <definedName name="LaborInfl">#REF!</definedName>
    <definedName name="LaborPole">#REF!</definedName>
    <definedName name="Lallo">#REF!</definedName>
    <definedName name="LAlloc">#REF!</definedName>
    <definedName name="Lamar_Alloc">#REF!</definedName>
    <definedName name="Land_Lease">#REF!</definedName>
    <definedName name="Land_Required">#REF!</definedName>
    <definedName name="LastRow1">#REF!</definedName>
    <definedName name="LastRow2">#REF!</definedName>
    <definedName name="LastRowA">4</definedName>
    <definedName name="LayoutOut">#REF!</definedName>
    <definedName name="LB0">#REF!</definedName>
    <definedName name="LCPI_04">#REF!</definedName>
    <definedName name="LCPI_05">#REF!</definedName>
    <definedName name="LCPI_06">#REF!</definedName>
    <definedName name="LCPI_07">#REF!</definedName>
    <definedName name="LCPI_08">#REF!</definedName>
    <definedName name="LCPI_09">#REF!</definedName>
    <definedName name="LCPI08">#REF!</definedName>
    <definedName name="LEAD">#REF!</definedName>
    <definedName name="LEAD_2">#REF!</definedName>
    <definedName name="LEVEL">#REF!</definedName>
    <definedName name="lew" localSheetId="18" hidden="1">{#N/A,#N/A,FALSE,"INPUTDATA";#N/A,#N/A,FALSE,"SUMMARY"}</definedName>
    <definedName name="lew" hidden="1">{#N/A,#N/A,FALSE,"INPUTDATA";#N/A,#N/A,FALSE,"SUMMARY"}</definedName>
    <definedName name="LHMonth">#REF!</definedName>
    <definedName name="LHYear">#REF!</definedName>
    <definedName name="Library" hidden="1">"a1"</definedName>
    <definedName name="Life">#REF!</definedName>
    <definedName name="limcount" hidden="1">1</definedName>
    <definedName name="Limestone_Cost____ton">#REF!</definedName>
    <definedName name="Limestone_Usage__tons_MWH">#REF!</definedName>
    <definedName name="Line_Losses">#REF!</definedName>
    <definedName name="Lines">#REF!</definedName>
    <definedName name="LiqProps">#REF!</definedName>
    <definedName name="list">#REF!</definedName>
    <definedName name="List_Ancillary_Cases">#REF!</definedName>
    <definedName name="List_CnstFin_Cases">#REF!</definedName>
    <definedName name="List_CnstFund_Cases">#REF!</definedName>
    <definedName name="List_CnstPreFin_Cases">#REF!</definedName>
    <definedName name="List_MajMaint_Cases">#REF!</definedName>
    <definedName name="List_Market_Cases">#REF!</definedName>
    <definedName name="List_PropTax_Cases">#REF!</definedName>
    <definedName name="List_Sensitivity_Cases">#REF!</definedName>
    <definedName name="List_TermFin_Cases">#REF!</definedName>
    <definedName name="List_TermFund_Cases">#REF!</definedName>
    <definedName name="List_TermRsv_Cases">#REF!</definedName>
    <definedName name="LJG">#REF!</definedName>
    <definedName name="LJK">#REF!</definedName>
    <definedName name="LKK">#REF!</definedName>
    <definedName name="lll" localSheetId="18" hidden="1">{#N/A,#N/A,FALSE,"INPUTDATA";#N/A,#N/A,FALSE,"SUMMARY";#N/A,#N/A,FALSE,"CTAREP";#N/A,#N/A,FALSE,"CTBREP";#N/A,#N/A,FALSE,"TURBEFF";#N/A,#N/A,FALSE,"Condenser Performance"}</definedName>
    <definedName name="lll" hidden="1">{#N/A,#N/A,FALSE,"INPUTDATA";#N/A,#N/A,FALSE,"SUMMARY";#N/A,#N/A,FALSE,"CTAREP";#N/A,#N/A,FALSE,"CTBREP";#N/A,#N/A,FALSE,"TURBEFF";#N/A,#N/A,FALSE,"Condenser Performance"}</definedName>
    <definedName name="LNG_Tank_Lease">#REF!</definedName>
    <definedName name="LNSallo">#REF!</definedName>
    <definedName name="loan">#REF!</definedName>
    <definedName name="LOAN_CONST">#REF!</definedName>
    <definedName name="LOAN_FEE">#REF!</definedName>
    <definedName name="loanpayc">#REF!</definedName>
    <definedName name="loanpayp">#REF!</definedName>
    <definedName name="loanrecc">#REF!</definedName>
    <definedName name="loanrecp">#REF!</definedName>
    <definedName name="LOC">#REF!</definedName>
    <definedName name="location">#REF!</definedName>
    <definedName name="Location2">#REF!</definedName>
    <definedName name="LocationColumn1">#REF!</definedName>
    <definedName name="LocationColumn2">#REF!</definedName>
    <definedName name="LocationDescr">#REF!</definedName>
    <definedName name="LocationDescr2">#REF!</definedName>
    <definedName name="Locations">#REF!</definedName>
    <definedName name="Locativa">#REF!</definedName>
    <definedName name="LocTbl">#REF!</definedName>
    <definedName name="LODI">#REF!</definedName>
    <definedName name="LogReturnsCor">#REF!</definedName>
    <definedName name="louirr">#REF!</definedName>
    <definedName name="Low_EBITDA_Exit_Multiple">#REF!</definedName>
    <definedName name="lp">#N/A</definedName>
    <definedName name="lpo" localSheetId="18" hidden="1">{#N/A,#N/A,FALSE,"Aging Summary";#N/A,#N/A,FALSE,"Ratio Analysis";#N/A,#N/A,FALSE,"Test 120 Day Accts";#N/A,#N/A,FALSE,"Tickmarks"}</definedName>
    <definedName name="lpo" hidden="1">{#N/A,#N/A,FALSE,"Aging Summary";#N/A,#N/A,FALSE,"Ratio Analysis";#N/A,#N/A,FALSE,"Test 120 Day Accts";#N/A,#N/A,FALSE,"Tickmarks"}</definedName>
    <definedName name="LPSplit">OFFSET(#REF!,0,0,COUNTA(#REF!),1)</definedName>
    <definedName name="Lst_Price">#REF!</definedName>
    <definedName name="lstBooks_Click">#N/A</definedName>
    <definedName name="LT">#REF!</definedName>
    <definedName name="LTO">#REF!</definedName>
    <definedName name="LTV">#REF!</definedName>
    <definedName name="LUCAS">#REF!</definedName>
    <definedName name="m">#REF!</definedName>
    <definedName name="MACROS">#REF!</definedName>
    <definedName name="MACRS15_1">#REF!</definedName>
    <definedName name="MACRS15_10">#REF!</definedName>
    <definedName name="MACRS15_11">#REF!</definedName>
    <definedName name="MACRS15_12">#REF!</definedName>
    <definedName name="MACRS15_13">#REF!</definedName>
    <definedName name="MACRS15_14">#REF!</definedName>
    <definedName name="MACRS15_15">#REF!</definedName>
    <definedName name="MACRS15_16">#REF!</definedName>
    <definedName name="MACRS15_2">#REF!</definedName>
    <definedName name="MACRS15_3">#REF!</definedName>
    <definedName name="MACRS15_4">#REF!</definedName>
    <definedName name="MACRS15_5">#REF!</definedName>
    <definedName name="MACRS15_6">#REF!</definedName>
    <definedName name="MACRS15_7">#REF!</definedName>
    <definedName name="MACRS15_8">#REF!</definedName>
    <definedName name="MACRS15_9">#REF!</definedName>
    <definedName name="MACRS5_1">#REF!</definedName>
    <definedName name="MACRS5_2">#REF!</definedName>
    <definedName name="MACRS5_3">#REF!</definedName>
    <definedName name="MACRS5_4">#REF!</definedName>
    <definedName name="MACRS5_5">#REF!</definedName>
    <definedName name="MACRS5_6">#REF!</definedName>
    <definedName name="Main_auto_1ph_xfmr_price">#REF!</definedName>
    <definedName name="Main_auto_xfmr_price">#REF!</definedName>
    <definedName name="Main_T_Line_Dist">#REF!</definedName>
    <definedName name="Main_xfmr_concrete">#REF!</definedName>
    <definedName name="Main_xfmr_phase">#REF!</definedName>
    <definedName name="Main_xfmr_price">#REF!</definedName>
    <definedName name="Main_xfmr_rock">#REF!</definedName>
    <definedName name="Main_xfmr_steel">#REF!</definedName>
    <definedName name="majormaintenance">#REF!</definedName>
    <definedName name="ManagementCoSplit">OFFSET(#REF!,0,0,COUNTA(#REF!),1)</definedName>
    <definedName name="MAPCAP">#REF!</definedName>
    <definedName name="MAPOM">#REF!</definedName>
    <definedName name="mapping">#REF!</definedName>
    <definedName name="MAPTOTAL">#REF!</definedName>
    <definedName name="mar">#REF!</definedName>
    <definedName name="march_01_capital_accrual">#REF!</definedName>
    <definedName name="Materials">#REF!</definedName>
    <definedName name="matrix1">#REF!</definedName>
    <definedName name="Maximum_Bank_Debt___EBITDA">#REF!</definedName>
    <definedName name="Maximum_Sub._Debt___EBITDA">#REF!</definedName>
    <definedName name="may">#REF!</definedName>
    <definedName name="me">"Button 5"</definedName>
    <definedName name="MEC">#REF!</definedName>
    <definedName name="MENU">#REF!</definedName>
    <definedName name="MERCH_CAP">#REF!</definedName>
    <definedName name="MERCH_CAP1">#REF!</definedName>
    <definedName name="MERCH_CAP2">#REF!</definedName>
    <definedName name="MERCH_CAP3">#REF!</definedName>
    <definedName name="MERIT">#REF!</definedName>
    <definedName name="Messages">#REF!</definedName>
    <definedName name="MessagesDG">#REF!</definedName>
    <definedName name="MessagesDW">#REF!</definedName>
    <definedName name="Meter_Type">#REF!</definedName>
    <definedName name="Metering">#REF!</definedName>
    <definedName name="Metering_Concrete">#REF!</definedName>
    <definedName name="Metering_Labor">#REF!</definedName>
    <definedName name="Metering_Steel">#REF!</definedName>
    <definedName name="Method_abbrev">#REF!</definedName>
    <definedName name="MFR">#REF!</definedName>
    <definedName name="Mgmt">#REF!</definedName>
    <definedName name="Mgmt_Exp">#REF!</definedName>
    <definedName name="Mgmt_Exp_Rate">#REF!</definedName>
    <definedName name="MGMT_FEE">#REF!</definedName>
    <definedName name="Mgmt_Participation">#REF!</definedName>
    <definedName name="Mgmt_Participation_Equity">#REF!</definedName>
    <definedName name="midcols">#REF!,#REF!,#REF!,#REF!,#REF!,#REF!,#REF!,#REF!,#REF!,#REF!,#REF!,#REF!,#REF!,#REF!,#REF!,#REF!</definedName>
    <definedName name="MILAN">#REF!</definedName>
    <definedName name="million">1000000</definedName>
    <definedName name="MIN">#REF!</definedName>
    <definedName name="Min_Amps">#REF!</definedName>
    <definedName name="MIN_CAPACITY">#REF!</definedName>
    <definedName name="MIN_TAKE">#REF!</definedName>
    <definedName name="Minimum_Cash_Balance">#REF!</definedName>
    <definedName name="MinRate_Bruno">#REF!</definedName>
    <definedName name="MinRate_Cielo">#REF!</definedName>
    <definedName name="MinRate_Cowden">#REF!</definedName>
    <definedName name="MinRate_NonCielo">#REF!</definedName>
    <definedName name="MinRate_Terry">#REF!</definedName>
    <definedName name="MinRate_Wooley">#REF!</definedName>
    <definedName name="misc">#REF!</definedName>
    <definedName name="mistie1">#REF!</definedName>
    <definedName name="mistiered">#REF!</definedName>
    <definedName name="MKT">#REF!</definedName>
    <definedName name="MKT_IN">#REF!</definedName>
    <definedName name="MktIndustrialRent">#REF!</definedName>
    <definedName name="MktMultiFamilyRent">#REF!</definedName>
    <definedName name="MktOfficeRent">#REF!</definedName>
    <definedName name="MktRetailARent">#REF!</definedName>
    <definedName name="MktRetailILRent">#REF!</definedName>
    <definedName name="MktRetailRent">#REF!</definedName>
    <definedName name="MktStor.OtherRent">#REF!</definedName>
    <definedName name="MLHRS">#REF!</definedName>
    <definedName name="MM">#REF!</definedName>
    <definedName name="MM_EOH_Table">#REF!</definedName>
    <definedName name="MM_OutageCost_Table">#REF!</definedName>
    <definedName name="mmm" localSheetId="18" hidden="1">{"summary",#N/A,FALSE,"PCR DIRECTORY"}</definedName>
    <definedName name="mmm" hidden="1">{"summary",#N/A,FALSE,"PCR DIRECTORY"}</definedName>
    <definedName name="mmmmm" localSheetId="18" hidden="1">{#N/A,#N/A,FALSE,"SUMMARY";#N/A,#N/A,FALSE,"INPUTDATA";#N/A,#N/A,FALSE,"Condenser Performance"}</definedName>
    <definedName name="mmmmm" hidden="1">{#N/A,#N/A,FALSE,"SUMMARY";#N/A,#N/A,FALSE,"INPUTDATA";#N/A,#N/A,FALSE,"Condenser Performance"}</definedName>
    <definedName name="MMW">#REF!</definedName>
    <definedName name="MODEL_NUM">#REF!</definedName>
    <definedName name="ModelID1">#REF!</definedName>
    <definedName name="ModelID2">#REF!</definedName>
    <definedName name="MONCON">#REF!</definedName>
    <definedName name="MonoPoleColumn">#REF!</definedName>
    <definedName name="MonoPoleCost">#REF!</definedName>
    <definedName name="MONROEVILLE">#REF!</definedName>
    <definedName name="month">#REF!</definedName>
    <definedName name="MONTHKPAP">#REF!</definedName>
    <definedName name="MONTHKPBM">#REF!</definedName>
    <definedName name="months">#REF!</definedName>
    <definedName name="MonthSelection">#REF!</definedName>
    <definedName name="MonthsList">#REF!</definedName>
    <definedName name="monttxinc">#REF!</definedName>
    <definedName name="Morph_Purchase_Price_Allocation_7_1_2003_Problems_List">#REF!</definedName>
    <definedName name="Mortgage_Lender_Credit">#REF!</definedName>
    <definedName name="MosToStab">#REF!</definedName>
    <definedName name="MSA_SAP_DATA">#REF!</definedName>
    <definedName name="MTC_Amortization">#REF!</definedName>
    <definedName name="MTD">#REF!</definedName>
    <definedName name="mthincst2003">#REF!</definedName>
    <definedName name="mthincstmt2002">#REF!</definedName>
    <definedName name="Mtlconc">#REF!</definedName>
    <definedName name="MTM">#REF!</definedName>
    <definedName name="Multiplier">#REF!</definedName>
    <definedName name="Mw">#REF!</definedName>
    <definedName name="MWY">#REF!</definedName>
    <definedName name="n" localSheetId="18" hidden="1">{#N/A,#N/A,FALSE,"Results";#N/A,#N/A,FALSE,"Input Data";#N/A,#N/A,FALSE,"Generation Calculation";#N/A,#N/A,FALSE,"Unit Heat Rate Calculation";#N/A,#N/A,FALSE,"Final FWH Extraction Flow";#N/A,#N/A,FALSE,"BEFF.XLS";#N/A,#N/A,FALSE,"TURBEFF.XLS";#N/A,#N/A,FALSE,"Condenser Performance";#N/A,#N/A,FALSE,"Stage Pressure Correction";#N/A,#N/A,FALSE,"Electrical Loss Correction";#N/A,#N/A,FALSE,"Throttle P &amp; T Correction";#N/A,#N/A,FALSE,"Final FWH TTD Correction";#N/A,#N/A,FALSE,"Reheat T &amp; dP Correction";#N/A,#N/A,FALSE,"Auxiliary Steam &amp; Extr Corr";#N/A,#N/A,FALSE,"SHS &amp; RHS Correction";#N/A,#N/A,FALSE,"Change Log"}</definedName>
    <definedName name="n" hidden="1">{#N/A,#N/A,FALSE,"Results";#N/A,#N/A,FALSE,"Input Data";#N/A,#N/A,FALSE,"Generation Calculation";#N/A,#N/A,FALSE,"Unit Heat Rate Calculation";#N/A,#N/A,FALSE,"Final FWH Extraction Flow";#N/A,#N/A,FALSE,"BEFF.XLS";#N/A,#N/A,FALSE,"TURBEFF.XLS";#N/A,#N/A,FALSE,"Condenser Performance";#N/A,#N/A,FALSE,"Stage Pressure Correction";#N/A,#N/A,FALSE,"Electrical Loss Correction";#N/A,#N/A,FALSE,"Throttle P &amp; T Correction";#N/A,#N/A,FALSE,"Final FWH TTD Correction";#N/A,#N/A,FALSE,"Reheat T &amp; dP Correction";#N/A,#N/A,FALSE,"Auxiliary Steam &amp; Extr Corr";#N/A,#N/A,FALSE,"SHS &amp; RHS Correction";#N/A,#N/A,FALSE,"Change Log"}</definedName>
    <definedName name="nada" localSheetId="18" hidden="1">{2;#N/A;"R13C16:R17C16";#N/A;"R13C14:R17C15";FALSE;FALSE;FALSE;95;#N/A;#N/A;"R13C19";#N/A;FALSE;FALSE;FALSE;FALSE;#N/A;"";#N/A;FALSE;"";"";#N/A;#N/A;#N/A}</definedName>
    <definedName name="nada" hidden="1">{2;#N/A;"R13C16:R17C16";#N/A;"R13C14:R17C15";FALSE;FALSE;FALSE;95;#N/A;#N/A;"R13C19";#N/A;FALSE;FALSE;FALSE;FALSE;#N/A;"";#N/A;FALSE;"";"";#N/A;#N/A;#N/A}</definedName>
    <definedName name="naec1">#REF!</definedName>
    <definedName name="naec2">#REF!</definedName>
    <definedName name="naeccoc">#REF!</definedName>
    <definedName name="NAECCOC2">#REF!</definedName>
    <definedName name="NAME">#REF!</definedName>
    <definedName name="NAME_OF_ESI_SUB_ENTITY">#REF!</definedName>
    <definedName name="NAME0">#REF!</definedName>
    <definedName name="NAME1">#REF!</definedName>
    <definedName name="NAME10">#REF!</definedName>
    <definedName name="NAME11">#REF!</definedName>
    <definedName name="NAME12">#REF!</definedName>
    <definedName name="NAME13">#REF!</definedName>
    <definedName name="NAME14">#REF!</definedName>
    <definedName name="NAME15">#REF!</definedName>
    <definedName name="NAME16">#REF!</definedName>
    <definedName name="NAME17">#REF!</definedName>
    <definedName name="NAME18">#REF!</definedName>
    <definedName name="NAME19">#REF!</definedName>
    <definedName name="NAME2">#REF!</definedName>
    <definedName name="NAME20">#REF!</definedName>
    <definedName name="NAME21">#REF!</definedName>
    <definedName name="NAME22">#REF!</definedName>
    <definedName name="NAME23">#REF!</definedName>
    <definedName name="NAME24">#REF!</definedName>
    <definedName name="NAME25">#REF!</definedName>
    <definedName name="NAME26">#REF!</definedName>
    <definedName name="NAME27">#REF!</definedName>
    <definedName name="NAME28">#REF!</definedName>
    <definedName name="NAME29">#REF!</definedName>
    <definedName name="NAME3">#REF!</definedName>
    <definedName name="NAME30">#REF!</definedName>
    <definedName name="NAME31">#REF!</definedName>
    <definedName name="NAME32">#REF!</definedName>
    <definedName name="NAME33">#REF!</definedName>
    <definedName name="NAME34">#REF!</definedName>
    <definedName name="NAME35">#REF!</definedName>
    <definedName name="NAME36">#REF!</definedName>
    <definedName name="NAME37">#REF!</definedName>
    <definedName name="NAME38">#REF!</definedName>
    <definedName name="NAME39">#REF!</definedName>
    <definedName name="NAME4">#REF!</definedName>
    <definedName name="NAME40">#REF!</definedName>
    <definedName name="NAME41">#REF!</definedName>
    <definedName name="NAME42">#REF!</definedName>
    <definedName name="NAME43">#REF!</definedName>
    <definedName name="NAME44">#REF!</definedName>
    <definedName name="NAME45">#REF!</definedName>
    <definedName name="NAME46">#REF!</definedName>
    <definedName name="NAME47">#REF!</definedName>
    <definedName name="NAME48">#REF!</definedName>
    <definedName name="NAME49">#REF!</definedName>
    <definedName name="NAME5">#REF!</definedName>
    <definedName name="NAME50">#REF!</definedName>
    <definedName name="NAME6">#REF!</definedName>
    <definedName name="NAME7">#REF!</definedName>
    <definedName name="NAME8">#REF!</definedName>
    <definedName name="NAME9">#REF!</definedName>
    <definedName name="NamesColumn1">#REF!</definedName>
    <definedName name="NamesColumn2">#REF!</definedName>
    <definedName name="NAPOLEON">#REF!</definedName>
    <definedName name="NEASG">#REF!</definedName>
    <definedName name="NERC_prelim2005_file">#REF!</definedName>
    <definedName name="NESC">#REF!</definedName>
    <definedName name="net_power">#REF!</definedName>
    <definedName name="Net_Rentable_Area">#REF!</definedName>
    <definedName name="NETCAP">#REF!</definedName>
    <definedName name="new">#REF!</definedName>
    <definedName name="New_Debt_Issue_Size">#REF!</definedName>
    <definedName name="New_Debt_Net_Proceeds">#REF!</definedName>
    <definedName name="New_Debt_Rate">#REF!</definedName>
    <definedName name="New_Debt_U_W_Fees">#REF!</definedName>
    <definedName name="New_Debt_U_W_Spread">#REF!</definedName>
    <definedName name="new_ins">#REF!</definedName>
    <definedName name="new_name">#REF!</definedName>
    <definedName name="New_Senior_Debt">#REF!</definedName>
    <definedName name="new_senior_debt_rate">#REF!</definedName>
    <definedName name="New_Wilmington">#REF!</definedName>
    <definedName name="newdata">#REF!</definedName>
    <definedName name="NewFuels">#REF!</definedName>
    <definedName name="newname" localSheetId="18" hidden="1">{#N/A,#N/A,FALSE,"CAP 1998";#N/A,#N/A,FALSE,"CAP 1999";#N/A,#N/A,FALSE,"CAP 2000";#N/A,#N/A,FALSE,"CAP_2001";#N/A,#N/A,FALSE,"CAP_2002";#N/A,#N/A,FALSE,"MAINT_1998";#N/A,#N/A,FALSE,"MAINT_1999";#N/A,#N/A,FALSE,"MAINT_2000";#N/A,#N/A,FALSE,"MAINT_2001";#N/A,#N/A,FALSE,"MAINT_2002"}</definedName>
    <definedName name="newname" hidden="1">{#N/A,#N/A,FALSE,"CAP 1998";#N/A,#N/A,FALSE,"CAP 1999";#N/A,#N/A,FALSE,"CAP 2000";#N/A,#N/A,FALSE,"CAP_2001";#N/A,#N/A,FALSE,"CAP_2002";#N/A,#N/A,FALSE,"MAINT_1998";#N/A,#N/A,FALSE,"MAINT_1999";#N/A,#N/A,FALSE,"MAINT_2000";#N/A,#N/A,FALSE,"MAINT_2001";#N/A,#N/A,FALSE,"MAINT_2002"}</definedName>
    <definedName name="newtable">#REF!</definedName>
    <definedName name="NEWTON_FALLS">#REF!</definedName>
    <definedName name="ng_feed">#REF!</definedName>
    <definedName name="ng_fuel">#REF!</definedName>
    <definedName name="ng_price">#REF!</definedName>
    <definedName name="ngcost_cogen">#REF!</definedName>
    <definedName name="ngcost_fuel">#REF!</definedName>
    <definedName name="ngcost_h2">#REF!</definedName>
    <definedName name="NILES">#REF!</definedName>
    <definedName name="nlg">#REF!</definedName>
    <definedName name="nnnn" localSheetId="18" hidden="1">{#N/A,#N/A,FALSE,"T COST";#N/A,#N/A,FALSE,"COST_FH"}</definedName>
    <definedName name="nnnn" hidden="1">{#N/A,#N/A,FALSE,"T COST";#N/A,#N/A,FALSE,"COST_FH"}</definedName>
    <definedName name="No.Cassion">#REF!</definedName>
    <definedName name="Nominal_Output_MW">#REF!</definedName>
    <definedName name="non_cap_int">#REF!</definedName>
    <definedName name="nonoperatingcosts">#REF!</definedName>
    <definedName name="nonrec_oil">#REF!</definedName>
    <definedName name="NonUtil_06Actual_Essbase">#REF!</definedName>
    <definedName name="not">#REF!</definedName>
    <definedName name="NOTES">#REF!</definedName>
    <definedName name="nov">#REF!</definedName>
    <definedName name="NOX">#REF!</definedName>
    <definedName name="NPV">#REF!</definedName>
    <definedName name="NROW">#N/A</definedName>
    <definedName name="nrv">#REF!</definedName>
    <definedName name="NSF">#REF!</definedName>
    <definedName name="NSP_COS">#REF!</definedName>
    <definedName name="NSProjectionMethodIndex">#REF!</definedName>
    <definedName name="NSRequiredLevelOfEvidenceItems">#REF!</definedName>
    <definedName name="NSTargetedTestingItems">#REF!</definedName>
    <definedName name="Nuclear_Secur_Date">#REF!</definedName>
    <definedName name="Num_Turbines">#REF!</definedName>
    <definedName name="Number_of_Payments">MATCH(0.01,End_Bal,-1)+1</definedName>
    <definedName name="NumPartners">#REF!</definedName>
    <definedName name="numqtrs">#REF!</definedName>
    <definedName name="NvsAnswerCol">"[Drill19]JRNLLAYOUT!$A$4:$A$46"</definedName>
    <definedName name="NvsASD">"V2003-12-31"</definedName>
    <definedName name="NvsAutoDrillOk">"VN"</definedName>
    <definedName name="NvsDateToNumber">"Y"</definedName>
    <definedName name="NvsElapsedTime">0.0000961805562837981</definedName>
    <definedName name="NvsEndTime">38040.4118747685</definedName>
    <definedName name="NvsInstLang">"VENG"</definedName>
    <definedName name="NvsInstSpec">"%"</definedName>
    <definedName name="NvsInstSpec1">","</definedName>
    <definedName name="NvsInstSpec2">","</definedName>
    <definedName name="NvsInstSpec3">","</definedName>
    <definedName name="NvsInstSpec4">","</definedName>
    <definedName name="NvsInstSpec5">","</definedName>
    <definedName name="NvsInstSpec6">","</definedName>
    <definedName name="NvsInstSpec7">","</definedName>
    <definedName name="NvsInstSpec8">","</definedName>
    <definedName name="NvsInstSpec9">","</definedName>
    <definedName name="NvsLayoutType">"M3"</definedName>
    <definedName name="NvsNplSpec">"%,X,RZF..,CZF.."</definedName>
    <definedName name="NvsPanelBusUnit">"V"</definedName>
    <definedName name="NvsPanelEffdt">"V1994-01-01"</definedName>
    <definedName name="NvsPanelSetid">"VSNRZA"</definedName>
    <definedName name="NvsParentRef">"'[BS CONS.xls]Sheet1'!$AM$151"</definedName>
    <definedName name="NvsReqBU">"V00048"</definedName>
    <definedName name="NvsReqBUOnly">"VN"</definedName>
    <definedName name="NvsTransLed">"VN"</definedName>
    <definedName name="NvsTreeASD">"V2003-12-31"</definedName>
    <definedName name="NvsValTbl.ACCOUNT">"GL_ACCOUNT_TBL"</definedName>
    <definedName name="NvsValTbl.AFFILIATE">"AFFILIATE_VW"</definedName>
    <definedName name="NvsValTbl.BUSINESS_UNIT">"BUS_UNIT_TBL_FS"</definedName>
    <definedName name="NvsValTbl.CURRENCY_CD">"CURRENCY_CD_TBL"</definedName>
    <definedName name="NvsValTbl.DEPTID">"DEPARTMENT_TBL"</definedName>
    <definedName name="NvsValTbl.JOURNAL_ID">"JRNL_POST_VW"</definedName>
    <definedName name="NvsValTbl.OPERATING_UNIT">"OPER_UNIT_TBL"</definedName>
    <definedName name="NvsValTbl.SCENARIO">"BD_SCENARIO_TBL"</definedName>
    <definedName name="NvsValTbl.TU_LOCATION">"TU_LOC_TBL"</definedName>
    <definedName name="NWASG">#REF!</definedName>
    <definedName name="o">#REF!</definedName>
    <definedName name="O_DEGRADE">#REF!</definedName>
    <definedName name="O_HRS">#REF!</definedName>
    <definedName name="OAK_HARBOR">#REF!</definedName>
    <definedName name="OandM">#REF!</definedName>
    <definedName name="OBERLIN">#REF!</definedName>
    <definedName name="OCC">#REF!</definedName>
    <definedName name="OCF">#REF!</definedName>
    <definedName name="offpk_basis">#REF!</definedName>
    <definedName name="offpk_bma">#REF!</definedName>
    <definedName name="offpk_correlations">#REF!</definedName>
    <definedName name="offpkgrowth">#REF!</definedName>
    <definedName name="OIRR">#REF!</definedName>
    <definedName name="ok" localSheetId="18" hidden="1">{#N/A,#N/A,FALSE,"Aging Summary";#N/A,#N/A,FALSE,"Ratio Analysis";#N/A,#N/A,FALSE,"Test 120 Day Accts";#N/A,#N/A,FALSE,"Tickmarks"}</definedName>
    <definedName name="ok" hidden="1">{#N/A,#N/A,FALSE,"Aging Summary";#N/A,#N/A,FALSE,"Ratio Analysis";#N/A,#N/A,FALSE,"Test 120 Day Accts";#N/A,#N/A,FALSE,"Tickmarks"}</definedName>
    <definedName name="oldname" localSheetId="18" hidden="1">{#N/A,#N/A,FALSE,"CAP 1998";#N/A,#N/A,FALSE,"CAP 1999";#N/A,#N/A,FALSE,"CAP 2000";#N/A,#N/A,FALSE,"CAP_2001";#N/A,#N/A,FALSE,"CAP_2002";#N/A,#N/A,FALSE,"MAINT_1998";#N/A,#N/A,FALSE,"MAINT_1999";#N/A,#N/A,FALSE,"MAINT_2000";#N/A,#N/A,FALSE,"MAINT_2001";#N/A,#N/A,FALSE,"MAINT_2002"}</definedName>
    <definedName name="oldname" hidden="1">{#N/A,#N/A,FALSE,"CAP 1998";#N/A,#N/A,FALSE,"CAP 1999";#N/A,#N/A,FALSE,"CAP 2000";#N/A,#N/A,FALSE,"CAP_2001";#N/A,#N/A,FALSE,"CAP_2002";#N/A,#N/A,FALSE,"MAINT_1998";#N/A,#N/A,FALSE,"MAINT_1999";#N/A,#N/A,FALSE,"MAINT_2000";#N/A,#N/A,FALSE,"MAINT_2001";#N/A,#N/A,FALSE,"MAINT_2002"}</definedName>
    <definedName name="olg" localSheetId="18" hidden="1">{#N/A,#N/A,FALSE,"Results";#N/A,#N/A,FALSE,"Input Data";#N/A,#N/A,FALSE,"Generation Calculation";#N/A,#N/A,FALSE,"Unit Heat Rate Calculation";#N/A,#N/A,FALSE,"BEFF.XLS";#N/A,#N/A,FALSE,"TURBEFF.XLS";#N/A,#N/A,FALSE,"Final FWH Extraction Flow";#N/A,#N/A,FALSE,"Condenser Performance";#N/A,#N/A,FALSE,"Stage Pressure Correction"}</definedName>
    <definedName name="olg" hidden="1">{#N/A,#N/A,FALSE,"Results";#N/A,#N/A,FALSE,"Input Data";#N/A,#N/A,FALSE,"Generation Calculation";#N/A,#N/A,FALSE,"Unit Heat Rate Calculation";#N/A,#N/A,FALSE,"BEFF.XLS";#N/A,#N/A,FALSE,"TURBEFF.XLS";#N/A,#N/A,FALSE,"Final FWH Extraction Flow";#N/A,#N/A,FALSE,"Condenser Performance";#N/A,#N/A,FALSE,"Stage Pressure Correction"}</definedName>
    <definedName name="OM">#REF!</definedName>
    <definedName name="OM_06Actual_Essbase">#REF!</definedName>
    <definedName name="OMFEE">#REF!</definedName>
    <definedName name="OMIO">#REF!</definedName>
    <definedName name="one">1</definedName>
    <definedName name="OnePager">#REF!</definedName>
    <definedName name="onpkgrowth">#REF!</definedName>
    <definedName name="OPA">#REF!</definedName>
    <definedName name="OPB">#REF!</definedName>
    <definedName name="OpeningDate">#REF!</definedName>
    <definedName name="OpeningYear">#REF!</definedName>
    <definedName name="Operating_Assumptions">#REF!</definedName>
    <definedName name="OPERATING_HOURS">#REF!</definedName>
    <definedName name="operatingcosts">#REF!</definedName>
    <definedName name="operatingrevenue">#REF!</definedName>
    <definedName name="OPERATIONS">#N/A</definedName>
    <definedName name="Operator_Fee">#REF!</definedName>
    <definedName name="operexp">#REF!</definedName>
    <definedName name="operexp97">#REF!</definedName>
    <definedName name="operexp98">#REF!</definedName>
    <definedName name="operexp99">#REF!</definedName>
    <definedName name="operrev97">#REF!</definedName>
    <definedName name="operrev98">#REF!</definedName>
    <definedName name="operrev99">#REF!</definedName>
    <definedName name="opexgrwth">#REF!</definedName>
    <definedName name="opexpgrwth">#REF!</definedName>
    <definedName name="ophours">#REF!</definedName>
    <definedName name="opiu" localSheetId="18" hidden="1">{2;#N/A;"R13C16:R17C16";#N/A;"R13C14:R17C15";FALSE;FALSE;FALSE;95;#N/A;#N/A;"R13C19";#N/A;FALSE;FALSE;FALSE;FALSE;#N/A;"";#N/A;FALSE;"";"";#N/A;#N/A;#N/A}</definedName>
    <definedName name="opiu" hidden="1">{2;#N/A;"R13C16:R17C16";#N/A;"R13C14:R17C15";FALSE;FALSE;FALSE;95;#N/A;#N/A;"R13C19";#N/A;FALSE;FALSE;FALSE;FALSE;#N/A;"";#N/A;FALSE;"";"";#N/A;#N/A;#N/A}</definedName>
    <definedName name="OPL">#REF!</definedName>
    <definedName name="OPS">#REF!</definedName>
    <definedName name="OPSW">#REF!</definedName>
    <definedName name="OPSWO">#REF!</definedName>
    <definedName name="OPTGCOST">#REF!</definedName>
    <definedName name="Option_Account">#REF!</definedName>
    <definedName name="Option_cnst_fin">#REF!</definedName>
    <definedName name="Option_Cnst_Fund">#REF!</definedName>
    <definedName name="Option_Cnst_Input">#REF!</definedName>
    <definedName name="Option_Cnst_Pre">#REF!</definedName>
    <definedName name="Option_MM_Exp">#REF!</definedName>
    <definedName name="Option_Other">#REF!</definedName>
    <definedName name="Option_PropTax">#REF!</definedName>
    <definedName name="Option_Term_Calc">#REF!</definedName>
    <definedName name="Option_Term_Fin">#REF!</definedName>
    <definedName name="Option_Term_Input">#REF!</definedName>
    <definedName name="Options">#REF!</definedName>
    <definedName name="Organization">#REF!</definedName>
    <definedName name="OrgCost">#REF!</definedName>
    <definedName name="ORIGACCR">#REF!</definedName>
    <definedName name="ormetxinc">#REF!</definedName>
    <definedName name="OROE">#REF!</definedName>
    <definedName name="OT">#REF!</definedName>
    <definedName name="OTHER">#REF!</definedName>
    <definedName name="Other_1">#REF!</definedName>
    <definedName name="Other_2">#REF!</definedName>
    <definedName name="Other_3">#REF!</definedName>
    <definedName name="Other_4">#REF!</definedName>
    <definedName name="Other_5">#REF!</definedName>
    <definedName name="Other_6">#REF!</definedName>
    <definedName name="otherterm">#REF!</definedName>
    <definedName name="OTHEXP">#REF!</definedName>
    <definedName name="OTHINC">#REF!</definedName>
    <definedName name="OUTAGE">#REF!</definedName>
    <definedName name="outage_ot">#REF!</definedName>
    <definedName name="Outage_Rate">#REF!</definedName>
    <definedName name="outage_work">#REF!</definedName>
    <definedName name="outbasis_esi">#REF!</definedName>
    <definedName name="outbasis_other">#REF!</definedName>
    <definedName name="OverallProps">#REF!</definedName>
    <definedName name="overhaul">#REF!</definedName>
    <definedName name="Overtime_Rate">#REF!</definedName>
    <definedName name="overview">#REF!</definedName>
    <definedName name="Own">#REF!</definedName>
    <definedName name="Owner">#REF!</definedName>
    <definedName name="ownership">#REF!</definedName>
    <definedName name="Ownership_Tables">#REF!</definedName>
    <definedName name="P" localSheetId="18" hidden="1">{#N/A,#N/A,FALSE,"Proforma Five Yr";#N/A,#N/A,FALSE,"Capital Input";#N/A,#N/A,FALSE,"Calculations";#N/A,#N/A,FALSE,"Transaction Summary-DTW"}</definedName>
    <definedName name="P" hidden="1">{#N/A,#N/A,FALSE,"Proforma Five Yr";#N/A,#N/A,FALSE,"Capital Input";#N/A,#N/A,FALSE,"Calculations";#N/A,#N/A,FALSE,"Transaction Summary-DTW"}</definedName>
    <definedName name="P_BOILER_FUEL">#REF!</definedName>
    <definedName name="P_CAPACITY2">#REF!</definedName>
    <definedName name="P_DUCT_FUEL">#REF!</definedName>
    <definedName name="p_Fe">#REF!</definedName>
    <definedName name="p_Fe_OH_3">#REF!</definedName>
    <definedName name="p_FeOH">#REF!</definedName>
    <definedName name="P_FUEL_V">#REF!</definedName>
    <definedName name="P_GT_FUEL">#REF!</definedName>
    <definedName name="P_HRS">#REF!</definedName>
    <definedName name="P_L">#REF!</definedName>
    <definedName name="P_OFUEL">#REF!</definedName>
    <definedName name="P1_">#REF!</definedName>
    <definedName name="PAGE_1_END">#REF!</definedName>
    <definedName name="PAGE_1_START">#REF!</definedName>
    <definedName name="PAGE1">#N/A</definedName>
    <definedName name="PAGE10">#REF!</definedName>
    <definedName name="page1a">#REF!</definedName>
    <definedName name="PAGE2">#N/A</definedName>
    <definedName name="PAGE3">#REF!</definedName>
    <definedName name="PAGE4">#REF!</definedName>
    <definedName name="PAGE5">#REF!</definedName>
    <definedName name="PAGE6">#REF!</definedName>
    <definedName name="PAGE7">#REF!</definedName>
    <definedName name="PAGE8">#REF!</definedName>
    <definedName name="PAGE9">#REF!</definedName>
    <definedName name="PageCommand">#REF!</definedName>
    <definedName name="PageMember">#REF!</definedName>
    <definedName name="pagenumber1">#REF!</definedName>
    <definedName name="pagenumber3">#REF!</definedName>
    <definedName name="pagenumber4">#REF!</definedName>
    <definedName name="panel">#REF!</definedName>
    <definedName name="parc">#REF!</definedName>
    <definedName name="parea">#REF!,#REF!,#REF!,#REF!,#REF!,#REF!,#REF!,#REF!,#REF!,#REF!,#REF!,#REF!,#REF!,#REF!,#REF!</definedName>
    <definedName name="pareaold">#REF!,#REF!,#REF!,#REF!,#REF!,#REF!,#REF!,#REF!,#REF!,#REF!,#REF!,#REF!,#REF!,#REF!,#REF!</definedName>
    <definedName name="PART1">#REF!</definedName>
    <definedName name="PART2">#REF!</definedName>
    <definedName name="Partialyr">#REF!</definedName>
    <definedName name="PARTNER">#REF!</definedName>
    <definedName name="partnercap">#REF!</definedName>
    <definedName name="Parts">#REF!</definedName>
    <definedName name="pasivo">#REF!</definedName>
    <definedName name="PasswordCopy">#REF!</definedName>
    <definedName name="PasswordDG">#REF!</definedName>
    <definedName name="PATHNAME">#REF!</definedName>
    <definedName name="PAY">#REF!</definedName>
    <definedName name="PAYBACK">#REF!</definedName>
    <definedName name="payroll">#REF!</definedName>
    <definedName name="PB">#REF!</definedName>
    <definedName name="PB_2">#REF!</definedName>
    <definedName name="PCap" localSheetId="18" hidden="1">#REF!</definedName>
    <definedName name="PCap" hidden="1">#REF!</definedName>
    <definedName name="pcash">#REF!</definedName>
    <definedName name="pcown">#REF!</definedName>
    <definedName name="pctHW">#REF!</definedName>
    <definedName name="pctSWExp">#REF!</definedName>
    <definedName name="pctTraining">#REF!</definedName>
    <definedName name="PEAK">#REF!</definedName>
    <definedName name="PeakHrWest">#REF!</definedName>
    <definedName name="peaks">#REF!</definedName>
    <definedName name="PeakTypeOut">#REF!</definedName>
    <definedName name="PeakTypes">#REF!</definedName>
    <definedName name="PEC">#REF!</definedName>
    <definedName name="PEMBERVILLE">#REF!</definedName>
    <definedName name="PEOPLE">#REF!</definedName>
    <definedName name="Percent_Ownership">#REF!</definedName>
    <definedName name="Percentage_of_Shares_to_Buy">#REF!</definedName>
    <definedName name="period">12</definedName>
    <definedName name="Period_Ended">#REF!</definedName>
    <definedName name="Periodic_rate" localSheetId="19">#REF!/#REF!</definedName>
    <definedName name="Periodic_rate">#REF!/#REF!</definedName>
    <definedName name="Permit_Fee_Construction_License">#REF!</definedName>
    <definedName name="pHF">#REF!</definedName>
    <definedName name="PHILOSOPHY">#REF!</definedName>
    <definedName name="PHS">#REF!</definedName>
    <definedName name="PIE">#REF!</definedName>
    <definedName name="pig_dig5" localSheetId="18" hidden="1">{#N/A,#N/A,FALSE,"T COST";#N/A,#N/A,FALSE,"COST_FH"}</definedName>
    <definedName name="pig_dig5" hidden="1">{#N/A,#N/A,FALSE,"T COST";#N/A,#N/A,FALSE,"COST_FH"}</definedName>
    <definedName name="pig_dog" localSheetId="18" hidden="1">{2;#N/A;"R13C16:R17C16";#N/A;"R13C14:R17C15";FALSE;FALSE;FALSE;95;#N/A;#N/A;"R13C19";#N/A;FALSE;FALSE;FALSE;FALSE;#N/A;"";#N/A;FALSE;"";"";#N/A;#N/A;#N/A}</definedName>
    <definedName name="pig_dog" hidden="1">{2;#N/A;"R13C16:R17C16";#N/A;"R13C14:R17C15";FALSE;FALSE;FALSE;95;#N/A;#N/A;"R13C19";#N/A;FALSE;FALSE;FALSE;FALSE;#N/A;"";#N/A;FALSE;"";"";#N/A;#N/A;#N/A}</definedName>
    <definedName name="pig_dog\" localSheetId="18" hidden="1">{"EXCELHLP.HLP!1802";5;10;5;10;13;13;13;8;5;5;10;14;13;13;13;13;5;10;14;13;5;10;1;2;24}</definedName>
    <definedName name="pig_dog\" hidden="1">{"EXCELHLP.HLP!1802";5;10;5;10;13;13;13;8;5;5;10;14;13;13;13;13;5;10;14;13;5;10;1;2;24}</definedName>
    <definedName name="pig_dog2" localSheetId="18" hidden="1">{#N/A,#N/A,FALSE,"Results";#N/A,#N/A,FALSE,"Input Data";#N/A,#N/A,FALSE,"Generation Calculation";#N/A,#N/A,FALSE,"Unit Heat Rate Calculation";#N/A,#N/A,FALSE,"Final FWH Extraction Flow";#N/A,#N/A,FALSE,"BEFF.XLS";#N/A,#N/A,FALSE,"TURBEFF.XLS";#N/A,#N/A,FALSE,"Condenser Performance";#N/A,#N/A,FALSE,"Stage Pressure Correction";#N/A,#N/A,FALSE,"Electrical Loss Correction";#N/A,#N/A,FALSE,"Throttle P &amp; T Correction";#N/A,#N/A,FALSE,"Final FWH TTD Correction";#N/A,#N/A,FALSE,"Reheat T &amp; dP Correction";#N/A,#N/A,FALSE,"Auxiliary Steam &amp; Extr Corr";#N/A,#N/A,FALSE,"SHS &amp; RHS Correction";#N/A,#N/A,FALSE,"Change Log"}</definedName>
    <definedName name="pig_dog2" hidden="1">{#N/A,#N/A,FALSE,"Results";#N/A,#N/A,FALSE,"Input Data";#N/A,#N/A,FALSE,"Generation Calculation";#N/A,#N/A,FALSE,"Unit Heat Rate Calculation";#N/A,#N/A,FALSE,"Final FWH Extraction Flow";#N/A,#N/A,FALSE,"BEFF.XLS";#N/A,#N/A,FALSE,"TURBEFF.XLS";#N/A,#N/A,FALSE,"Condenser Performance";#N/A,#N/A,FALSE,"Stage Pressure Correction";#N/A,#N/A,FALSE,"Electrical Loss Correction";#N/A,#N/A,FALSE,"Throttle P &amp; T Correction";#N/A,#N/A,FALSE,"Final FWH TTD Correction";#N/A,#N/A,FALSE,"Reheat T &amp; dP Correction";#N/A,#N/A,FALSE,"Auxiliary Steam &amp; Extr Corr";#N/A,#N/A,FALSE,"SHS &amp; RHS Correction";#N/A,#N/A,FALSE,"Change Log"}</definedName>
    <definedName name="pig_dog3" localSheetId="18" hidden="1">{#N/A,#N/A,FALSE,"Results";#N/A,#N/A,FALSE,"Input Data";#N/A,#N/A,FALSE,"Generation Calculation";#N/A,#N/A,FALSE,"Unit Heat Rate Calculation";#N/A,#N/A,FALSE,"BEFF.XLS";#N/A,#N/A,FALSE,"TURBEFF.XLS";#N/A,#N/A,FALSE,"Final FWH Extraction Flow";#N/A,#N/A,FALSE,"Condenser Performance";#N/A,#N/A,FALSE,"Stage Pressure Correction"}</definedName>
    <definedName name="pig_dog3" hidden="1">{#N/A,#N/A,FALSE,"Results";#N/A,#N/A,FALSE,"Input Data";#N/A,#N/A,FALSE,"Generation Calculation";#N/A,#N/A,FALSE,"Unit Heat Rate Calculation";#N/A,#N/A,FALSE,"BEFF.XLS";#N/A,#N/A,FALSE,"TURBEFF.XLS";#N/A,#N/A,FALSE,"Final FWH Extraction Flow";#N/A,#N/A,FALSE,"Condenser Performance";#N/A,#N/A,FALSE,"Stage Pressure Correction"}</definedName>
    <definedName name="pig_dog4" localSheetId="18" hidden="1">{#N/A,#N/A,FALSE,"SUMMARY";#N/A,#N/A,FALSE,"INPUTDATA";#N/A,#N/A,FALSE,"Condenser Performance"}</definedName>
    <definedName name="pig_dog4" hidden="1">{#N/A,#N/A,FALSE,"SUMMARY";#N/A,#N/A,FALSE,"INPUTDATA";#N/A,#N/A,FALSE,"Condenser Performance"}</definedName>
    <definedName name="pig_dog6" localSheetId="18" hidden="1">{#N/A,#N/A,FALSE,"INPUTDATA";#N/A,#N/A,FALSE,"SUMMARY";#N/A,#N/A,FALSE,"CTAREP";#N/A,#N/A,FALSE,"CTBREP";#N/A,#N/A,FALSE,"TURBEFF";#N/A,#N/A,FALSE,"Condenser Performance"}</definedName>
    <definedName name="pig_dog6" hidden="1">{#N/A,#N/A,FALSE,"INPUTDATA";#N/A,#N/A,FALSE,"SUMMARY";#N/A,#N/A,FALSE,"CTAREP";#N/A,#N/A,FALSE,"CTBREP";#N/A,#N/A,FALSE,"TURBEFF";#N/A,#N/A,FALSE,"Condenser Performance"}</definedName>
    <definedName name="pig_dog7" localSheetId="18" hidden="1">{#N/A,#N/A,FALSE,"INPUTDATA";#N/A,#N/A,FALSE,"SUMMARY"}</definedName>
    <definedName name="pig_dog7" hidden="1">{#N/A,#N/A,FALSE,"INPUTDATA";#N/A,#N/A,FALSE,"SUMMARY"}</definedName>
    <definedName name="pig_dog8" localSheetId="18" hidden="1">{#N/A,#N/A,FALSE,"INPUTDATA";#N/A,#N/A,FALSE,"SUMMARY";#N/A,#N/A,FALSE,"CTAREP";#N/A,#N/A,FALSE,"CTBREP";#N/A,#N/A,FALSE,"PMG4ST86";#N/A,#N/A,FALSE,"TURBEFF";#N/A,#N/A,FALSE,"Condenser Performance"}</definedName>
    <definedName name="pig_dog8" hidden="1">{#N/A,#N/A,FALSE,"INPUTDATA";#N/A,#N/A,FALSE,"SUMMARY";#N/A,#N/A,FALSE,"CTAREP";#N/A,#N/A,FALSE,"CTBREP";#N/A,#N/A,FALSE,"PMG4ST86";#N/A,#N/A,FALSE,"TURBEFF";#N/A,#N/A,FALSE,"Condenser Performance"}</definedName>
    <definedName name="PIONEER">#REF!</definedName>
    <definedName name="pip">#REF!</definedName>
    <definedName name="PJE">#REF!</definedName>
    <definedName name="pk_basis">#REF!</definedName>
    <definedName name="pk_bma">#REF!</definedName>
    <definedName name="pk_correlations">#REF!</definedName>
    <definedName name="pk_vols">#REF!</definedName>
    <definedName name="pka" localSheetId="18" hidden="1">{#N/A,#N/A,FALSE,"INPUTDATA";#N/A,#N/A,FALSE,"SUMMARY";#N/A,#N/A,FALSE,"CTAREP";#N/A,#N/A,FALSE,"CTBREP";#N/A,#N/A,FALSE,"PMG4ST86";#N/A,#N/A,FALSE,"TURBEFF";#N/A,#N/A,FALSE,"Condenser Performance"}</definedName>
    <definedName name="pka" hidden="1">{#N/A,#N/A,FALSE,"INPUTDATA";#N/A,#N/A,FALSE,"SUMMARY";#N/A,#N/A,FALSE,"CTAREP";#N/A,#N/A,FALSE,"CTBREP";#N/A,#N/A,FALSE,"PMG4ST86";#N/A,#N/A,FALSE,"TURBEFF";#N/A,#N/A,FALSE,"Condenser Performance"}</definedName>
    <definedName name="pl">#REF!</definedName>
    <definedName name="PL_Exch_Rate">#REF!</definedName>
    <definedName name="Plant_Capacity">#REF!</definedName>
    <definedName name="Plant_Op_Fee">#REF!</definedName>
    <definedName name="Plant_Property_Tax_Rate">#REF!</definedName>
    <definedName name="PlantAlloc">#REF!</definedName>
    <definedName name="Platform_Print_Range">#REF!</definedName>
    <definedName name="ples">#REF!</definedName>
    <definedName name="pm">#REF!</definedName>
    <definedName name="pms" localSheetId="18" hidden="1">{"detail305",#N/A,FALSE,"BI-305"}</definedName>
    <definedName name="pms" hidden="1">{"detail305",#N/A,FALSE,"BI-305"}</definedName>
    <definedName name="pnc" localSheetId="18" hidden="1">{#N/A,#N/A,FALSE,"T COST";#N/A,#N/A,FALSE,"COST_FH"}</definedName>
    <definedName name="pnc" hidden="1">{#N/A,#N/A,FALSE,"T COST";#N/A,#N/A,FALSE,"COST_FH"}</definedName>
    <definedName name="poi">#N/A</definedName>
    <definedName name="poiuy" localSheetId="18" hidden="1">{#N/A,#N/A,FALSE,"Aging Summary";#N/A,#N/A,FALSE,"Ratio Analysis";#N/A,#N/A,FALSE,"Test 120 Day Accts";#N/A,#N/A,FALSE,"Tickmarks"}</definedName>
    <definedName name="poiuy" hidden="1">{#N/A,#N/A,FALSE,"Aging Summary";#N/A,#N/A,FALSE,"Ratio Analysis";#N/A,#N/A,FALSE,"Test 120 Day Accts";#N/A,#N/A,FALSE,"Tickmarks"}</definedName>
    <definedName name="Pole_Class">#REF!</definedName>
    <definedName name="Pole_List">#REF!</definedName>
    <definedName name="Pole_Weight">#REF!</definedName>
    <definedName name="PosDefCor">#REF!</definedName>
    <definedName name="posdtxinc">#REF!</definedName>
    <definedName name="PosPhases">#REF!</definedName>
    <definedName name="post_fossil">#REF!</definedName>
    <definedName name="Post_PPA_a">#REF!</definedName>
    <definedName name="POWER">#REF!</definedName>
    <definedName name="power_price">#REF!</definedName>
    <definedName name="power_use">#REF!</definedName>
    <definedName name="PowerCurve">#REF!</definedName>
    <definedName name="PP_Tax">#REF!</definedName>
    <definedName name="PPA">#REF!</definedName>
    <definedName name="ppa_gas2">#REF!</definedName>
    <definedName name="ppa_gasvols2">#REF!</definedName>
    <definedName name="PPA1_TERM">#REF!</definedName>
    <definedName name="PPage">#REF!</definedName>
    <definedName name="PPage1">#REF!</definedName>
    <definedName name="PPage2">#REF!</definedName>
    <definedName name="PPE">#REF!</definedName>
    <definedName name="ppp" localSheetId="19">HLOOKUP(ProjectYear,tblEnergyRate,swEnergytbl+1)</definedName>
    <definedName name="ppp">HLOOKUP(ProjectYear,tblEnergyRate,swEnergytbl+1)</definedName>
    <definedName name="PQcor">#REF!</definedName>
    <definedName name="PR_Factor">#REF!</definedName>
    <definedName name="PR0">#REF!</definedName>
    <definedName name="PRAXIS">#REF!</definedName>
    <definedName name="prb" localSheetId="18" hidden="1">{"summary",#N/A,FALSE,"PCR DIRECTORY"}</definedName>
    <definedName name="prb" hidden="1">{"summary",#N/A,FALSE,"PCR DIRECTORY"}</definedName>
    <definedName name="Pre_Com_Time">#REF!</definedName>
    <definedName name="Pre_Com_Time_1">#REF!</definedName>
    <definedName name="Pre_Com_Time_2">#REF!</definedName>
    <definedName name="PrecomFinalcom">#REF!</definedName>
    <definedName name="PrecomFinalcom_1">#REF!</definedName>
    <definedName name="PrecomFinalcom_2">#REF!</definedName>
    <definedName name="premium">#REF!</definedName>
    <definedName name="premiumc">#REF!</definedName>
    <definedName name="premiump">#REF!</definedName>
    <definedName name="PreorPostDeal">OFFSET(#REF!,0,0,COUNTA(#REF!),1)</definedName>
    <definedName name="PresentationNormalA4">#REF!</definedName>
    <definedName name="PreTaxDebt">#REF!</definedName>
    <definedName name="PriceCurtailment">#REF!</definedName>
    <definedName name="PriceNameCor">#REF!</definedName>
    <definedName name="Pricing_Steel_Pole_BasePlate">#REF!</definedName>
    <definedName name="Pricing_Steel_Pole_Embed">#REF!</definedName>
    <definedName name="PRINS">#REF!</definedName>
    <definedName name="PRINT">#REF!</definedName>
    <definedName name="PRINT_ALL">#REF!</definedName>
    <definedName name="_xlnm.Print_Area" localSheetId="3">'1 - Revenue Credits'!$A$1:$F$47</definedName>
    <definedName name="_xlnm.Print_Area" localSheetId="4">'2 - Cost Support '!$A$1:$F$174</definedName>
    <definedName name="_xlnm.Print_Area" localSheetId="5">'3 - Cost Support'!$A$1:$M$137</definedName>
    <definedName name="_xlnm.Print_Area" localSheetId="6">'3 - Cost Support (cont.)'!$A$1:$Q$44</definedName>
    <definedName name="_xlnm.Print_Area" localSheetId="7">'4 - Incentives'!$A$1:$R$160</definedName>
    <definedName name="_xlnm.Print_Area" localSheetId="8">'5 - True-Up'!$A$1:$I$45</definedName>
    <definedName name="_xlnm.Print_Area" localSheetId="9">'6a-ADIT Projection'!$A$1:$I$49</definedName>
    <definedName name="_xlnm.Print_Area" localSheetId="10">'6b-ADIT Projection Proration'!$A$1:$L$61</definedName>
    <definedName name="_xlnm.Print_Area" localSheetId="11">'6c- ADIT BOY'!$A$1:$H$84</definedName>
    <definedName name="_xlnm.Print_Area" localSheetId="12">'6d- ADIT EOY'!$A$1:$H$84</definedName>
    <definedName name="_xlnm.Print_Area" localSheetId="13">'6e-ADIT True-up'!$A$1:$I$49</definedName>
    <definedName name="_xlnm.Print_Area" localSheetId="14">'6f-ADIT True-up Proration'!$A$1:$AF$62</definedName>
    <definedName name="_xlnm.Print_Area" localSheetId="15">'7- Depreciation Rates'!$A$1:$D$54</definedName>
    <definedName name="_xlnm.Print_Area" localSheetId="16">'8a - Workpaper'!$A$1:$AB$136</definedName>
    <definedName name="_xlnm.Print_Area" localSheetId="18">'8c - WP Inc Tax Adj'!$A$1:$F$28</definedName>
    <definedName name="_xlnm.Print_Area" localSheetId="2">'Appendix A'!$A$1:$M$312</definedName>
    <definedName name="_xlnm.Print_Area">#REF!</definedName>
    <definedName name="Print_Area_1">#REF!</definedName>
    <definedName name="Print_Area_2">#REF!</definedName>
    <definedName name="Print_Area_3">#REF!</definedName>
    <definedName name="Print_Area_4">#REF!</definedName>
    <definedName name="Print_Area_MI">#REF!</definedName>
    <definedName name="print_Avail">#REF!</definedName>
    <definedName name="Print_ESI">#REF!</definedName>
    <definedName name="print_Force_Out">#REF!</definedName>
    <definedName name="Print_Summary">#REF!</definedName>
    <definedName name="_xlnm.Print_Titles" localSheetId="9">'6a-ADIT Projection'!$19:$20</definedName>
    <definedName name="_xlnm.Print_Titles" localSheetId="10">'6b-ADIT Projection Proration'!$6:$7</definedName>
    <definedName name="_xlnm.Print_Titles" localSheetId="13">'6e-ADIT True-up'!$19:$20</definedName>
    <definedName name="_xlnm.Print_Titles" localSheetId="14">'6f-ADIT True-up Proration'!$6:$7</definedName>
    <definedName name="_xlnm.Print_Titles">#REF!,#REF!</definedName>
    <definedName name="Print_Titles_MI">#REF!,#REF!</definedName>
    <definedName name="Print1">#REF!</definedName>
    <definedName name="Print3">#REF!</definedName>
    <definedName name="Print4">#REF!</definedName>
    <definedName name="Print5">#REF!</definedName>
    <definedName name="PrintArea">#REF!</definedName>
    <definedName name="PrintareaDec">#REF!,#REF!,#REF!</definedName>
    <definedName name="PrintCommentary" localSheetId="19">#REF!</definedName>
    <definedName name="PrintCommentary">#REF!</definedName>
    <definedName name="PrintDetail" localSheetId="19">#REF!</definedName>
    <definedName name="PrintDetail">#REF!</definedName>
    <definedName name="PrintFootnotes" localSheetId="19">#REF!</definedName>
    <definedName name="PrintFootnotes">#REF!</definedName>
    <definedName name="printfpli">#REF!,#REF!,#REF!</definedName>
    <definedName name="PrintGraph" localSheetId="19">#REF!</definedName>
    <definedName name="PrintGraph">#REF!</definedName>
    <definedName name="PrintTrend" localSheetId="19">#REF!</definedName>
    <definedName name="PrintTrend">#REF!</definedName>
    <definedName name="Prior_Month">#REF!</definedName>
    <definedName name="PRIOR_YEAR_DATE">#REF!</definedName>
    <definedName name="PRIOR_YEAR_X">#REF!</definedName>
    <definedName name="Prj_Output">#REF!</definedName>
    <definedName name="PRNT">#REF!</definedName>
    <definedName name="Pro_Rata_Factor">#REF!</definedName>
    <definedName name="Probability">#REF!</definedName>
    <definedName name="ProbabilityAssignment">#REF!</definedName>
    <definedName name="Product_Line">#REF!</definedName>
    <definedName name="prof">#REF!</definedName>
    <definedName name="Proforma">#REF!</definedName>
    <definedName name="ProformaLookup">#REF!</definedName>
    <definedName name="ProImportExport.ImportFile">#N/A</definedName>
    <definedName name="ProImportExport.SaveNewFile">#N/A</definedName>
    <definedName name="Proj_Capacity">#REF!</definedName>
    <definedName name="proj_daily_pk_vols">#REF!</definedName>
    <definedName name="Proj_Ex">#REF!</definedName>
    <definedName name="proj_fuel_price">#REF!</definedName>
    <definedName name="proj_fuel_vol">#REF!</definedName>
    <definedName name="projcf">#REF!</definedName>
    <definedName name="project">#REF!</definedName>
    <definedName name="Project_Cost__All_In___000">#REF!</definedName>
    <definedName name="Project_Name">#REF!</definedName>
    <definedName name="ProjectDefaults">#REF!</definedName>
    <definedName name="ProjectEndYr">#REF!</definedName>
    <definedName name="ProjectionActual">OFFSET(#REF!,0,0,COUNTA(#REF!),1)</definedName>
    <definedName name="ProjectionBaseYear">#REF!</definedName>
    <definedName name="ProjectName">{"Client Name or Project Name"}</definedName>
    <definedName name="ProjectScenario">#REF!</definedName>
    <definedName name="ProjectTitle">#REF!</definedName>
    <definedName name="ProjIDList">#REF!</definedName>
    <definedName name="PROJNAME">#REF!</definedName>
    <definedName name="ProjTerm">#REF!</definedName>
    <definedName name="Promote_Fee">#REF!</definedName>
    <definedName name="PROMPT1">#N/A</definedName>
    <definedName name="property">#REF!</definedName>
    <definedName name="PropertyTaxInflationRate">#REF!</definedName>
    <definedName name="PropertyType">OFFSET(#REF!,0,0,COUNTA(#REF!),1)</definedName>
    <definedName name="PropSize">#REF!</definedName>
    <definedName name="PROSPECT">#REF!</definedName>
    <definedName name="protected_sheet_password">#REF!</definedName>
    <definedName name="PRTAX">#REF!</definedName>
    <definedName name="prtrecon">#REF!,#REF!,#REF!,#REF!</definedName>
    <definedName name="ps">#REF!</definedName>
    <definedName name="PS_Data">#REF!</definedName>
    <definedName name="PS_Tax_Year">#REF!,#REF!</definedName>
    <definedName name="PSCo_COS">#REF!</definedName>
    <definedName name="pscompare0607">#REF!</definedName>
    <definedName name="PSF">#REF!</definedName>
    <definedName name="Pship_Country">#REF!</definedName>
    <definedName name="Pship_NA1">#REF!</definedName>
    <definedName name="Pship_NA2">#REF!</definedName>
    <definedName name="Pship_NA3">#REF!</definedName>
    <definedName name="Pship_NA4">#REF!</definedName>
    <definedName name="Pship_NA5">#REF!</definedName>
    <definedName name="Pship_NA6">#REF!</definedName>
    <definedName name="Pship_NA7">#REF!</definedName>
    <definedName name="psnh1">#REF!</definedName>
    <definedName name="psnh2">#REF!</definedName>
    <definedName name="psnhcoc">#REF!</definedName>
    <definedName name="PSNHCOC2">#REF!</definedName>
    <definedName name="ptable">#REF!</definedName>
    <definedName name="PTAX">#REF!</definedName>
    <definedName name="PTC">#REF!</definedName>
    <definedName name="PTCD">#REF!</definedName>
    <definedName name="PTCexpire">#REF!</definedName>
    <definedName name="PTFAlloc">#REF!</definedName>
    <definedName name="PTP95_Cost_Mw_Month">#REF!</definedName>
    <definedName name="PTP95_Cost_Mwh">#REF!</definedName>
    <definedName name="PTP96_Cost_Mw_Month">#REF!</definedName>
    <definedName name="PTP96_Cost_Mwh_Month">#REF!</definedName>
    <definedName name="Purpose">#REF!</definedName>
    <definedName name="PURPWR">#REF!</definedName>
    <definedName name="pursuitwo">#REF!</definedName>
    <definedName name="PURSVC">#REF!</definedName>
    <definedName name="PV_Delta">#REF!</definedName>
    <definedName name="PYEAR">#REF!</definedName>
    <definedName name="PZ_GAS">#REF!</definedName>
    <definedName name="PZ_HEAT">#REF!</definedName>
    <definedName name="PZ_PRINT">#REF!</definedName>
    <definedName name="q">#REF!</definedName>
    <definedName name="q_MTEP06_App_AB_Facility">#REF!</definedName>
    <definedName name="q_MTEP06_App_AB_Projects">#REF!</definedName>
    <definedName name="QIU">OFFSET(#REF!,0,0,COUNTA(#REF!),1)</definedName>
    <definedName name="qqqqqqq" localSheetId="18" hidden="1">{#N/A,#N/A,FALSE,"Sum6 (1)"}</definedName>
    <definedName name="qqqqqqq" hidden="1">{#N/A,#N/A,FALSE,"Sum6 (1)"}</definedName>
    <definedName name="QRS11_10">#REF!</definedName>
    <definedName name="QRS11_11">#REF!</definedName>
    <definedName name="QRS11_12">#REF!</definedName>
    <definedName name="QRS11_13">#REF!</definedName>
    <definedName name="QRS11_14">#REF!</definedName>
    <definedName name="QRS11_15">#REF!</definedName>
    <definedName name="QRS11_17">#REF!</definedName>
    <definedName name="QRS11_24">#REF!</definedName>
    <definedName name="QRS11_26">#REF!</definedName>
    <definedName name="QRS11_27">#REF!</definedName>
    <definedName name="QRS11_28">#REF!</definedName>
    <definedName name="QRS11_29">#REF!</definedName>
    <definedName name="QRS11_7">#REF!</definedName>
    <definedName name="QRS11_8">#REF!</definedName>
    <definedName name="QRS11_9">#REF!</definedName>
    <definedName name="qryDetailQuantQuery_USD_1">#REF!</definedName>
    <definedName name="qryDetailQuantQuery_USD_2">#REF!</definedName>
    <definedName name="qryProjMorphFundings">#REF!</definedName>
    <definedName name="qryProjMorphFundings11903">#REF!</definedName>
    <definedName name="qrySDP">#REF!</definedName>
    <definedName name="QSE">#REF!</definedName>
    <definedName name="QSESF">#REF!</definedName>
    <definedName name="QTRLYCF">#REF!</definedName>
    <definedName name="Qty">#REF!</definedName>
    <definedName name="Qty_Cost_Select">#REF!</definedName>
    <definedName name="QUALTEC">#REF!</definedName>
    <definedName name="QUALTEC_QUALITY_SERVICES__INC.">#REF!</definedName>
    <definedName name="QUARTERLY_CF">#REF!</definedName>
    <definedName name="query">#REF!</definedName>
    <definedName name="Query_Module_Project_List_Export">#REF!</definedName>
    <definedName name="queryp1">#REF!</definedName>
    <definedName name="qw" localSheetId="19">OFFSET(rngFirstUserDefCol,5,0,25,6)</definedName>
    <definedName name="qw">OFFSET(rngFirstUserDefCol,5,0,25,6)</definedName>
    <definedName name="r.ref">#REF!</definedName>
    <definedName name="R_E_PROF">#REF!</definedName>
    <definedName name="range">#REF!</definedName>
    <definedName name="Range_AllET">#REF!</definedName>
    <definedName name="Range1">#REF!</definedName>
    <definedName name="RangeVar">#REF!</definedName>
    <definedName name="Rate">#REF!</definedName>
    <definedName name="Rate_CSW">#REF!</definedName>
    <definedName name="Rate_Reduction">#REF!</definedName>
    <definedName name="Rate_Reduction_Yearly_Amount">#REF!</definedName>
    <definedName name="rate_schedule">#REF!</definedName>
    <definedName name="Rated">#REF!</definedName>
    <definedName name="Rating">#REF!</definedName>
    <definedName name="Ratio_Analysis">#REF!</definedName>
    <definedName name="RawMtrlInfl">#REF!</definedName>
    <definedName name="RDVers">"2.10a"</definedName>
    <definedName name="Rebar">#REF!</definedName>
    <definedName name="Rebar_Ratio">#REF!</definedName>
    <definedName name="rebecca">#REF!</definedName>
    <definedName name="rebecca2">#REF!</definedName>
    <definedName name="rebecca3">#REF!</definedName>
    <definedName name="rebecca4">#REF!</definedName>
    <definedName name="rebecca5">#REF!</definedName>
    <definedName name="rebecca6">#REF!</definedName>
    <definedName name="rec">#REF!</definedName>
    <definedName name="Receivearea">#REF!</definedName>
    <definedName name="reclass_debt">#REF!</definedName>
    <definedName name="reconciliation">#REF!</definedName>
    <definedName name="Reconciliation_Sheet">#REF!</definedName>
    <definedName name="_xlnm.Recorder">#REF!</definedName>
    <definedName name="recur_exp">#REF!</definedName>
    <definedName name="RedPer">#REF!</definedName>
    <definedName name="ref">#REF!</definedName>
    <definedName name="Ref_1">#REF!</definedName>
    <definedName name="Ref_Plants">#REF!</definedName>
    <definedName name="Refinanced_Debt_Rate">#REF!</definedName>
    <definedName name="RELIABILITY">#REF!</definedName>
    <definedName name="rename" localSheetId="18" hidden="1">{#N/A,#N/A,FALSE,"Aging Summary";#N/A,#N/A,FALSE,"Ratio Analysis";#N/A,#N/A,FALSE,"Test 120 Day Accts";#N/A,#N/A,FALSE,"Tickmarks"}</definedName>
    <definedName name="rename" hidden="1">{#N/A,#N/A,FALSE,"Aging Summary";#N/A,#N/A,FALSE,"Ratio Analysis";#N/A,#N/A,FALSE,"Test 120 Day Accts";#N/A,#N/A,FALSE,"Tickmarks"}</definedName>
    <definedName name="RenewalProb">#REF!</definedName>
    <definedName name="rental_rate">#REF!</definedName>
    <definedName name="reopendate">#REF!</definedName>
    <definedName name="RepAllFormat">#REF!</definedName>
    <definedName name="RepAllHead">#REF!</definedName>
    <definedName name="RepDataFormat">#REF!</definedName>
    <definedName name="RepDataMoney1">#REF!</definedName>
    <definedName name="RepDataMoney2">#REF!</definedName>
    <definedName name="RepDataMoney3">#REF!</definedName>
    <definedName name="RepDataMoney4">#REF!</definedName>
    <definedName name="RepDataPercent1">#REF!</definedName>
    <definedName name="RepDataPercent2">#REF!</definedName>
    <definedName name="RepDataPercent3">#REF!</definedName>
    <definedName name="RepDelete">#REF!</definedName>
    <definedName name="REPLKW">#REF!</definedName>
    <definedName name="REPORT">#REF!</definedName>
    <definedName name="REPORT_DATE">#REF!</definedName>
    <definedName name="Reportable_Transaction">OFFSET(#REF!,0,0,COUNTA(#REF!),1)</definedName>
    <definedName name="ReportCol1">#REF!</definedName>
    <definedName name="REPORTDATE">#REF!</definedName>
    <definedName name="ReportDate2">#REF!</definedName>
    <definedName name="ReportRange">#REF!</definedName>
    <definedName name="RepPercent">#REF!</definedName>
    <definedName name="Request">#REF!</definedName>
    <definedName name="RES">#REF!</definedName>
    <definedName name="RESERVE_INT">#REF!</definedName>
    <definedName name="reserves">#REF!</definedName>
    <definedName name="resid_hand">#REF!</definedName>
    <definedName name="restruct_tog">#REF!</definedName>
    <definedName name="result">#REF!</definedName>
    <definedName name="resultc">#REF!</definedName>
    <definedName name="resultp">#REF!</definedName>
    <definedName name="retained">#REF!</definedName>
    <definedName name="retainedc">#REF!</definedName>
    <definedName name="retainedp">#REF!</definedName>
    <definedName name="Return_Calculation">#REF!</definedName>
    <definedName name="Return_Schedule">#REF!</definedName>
    <definedName name="REV">#REF!</definedName>
    <definedName name="rev_option">#REF!</definedName>
    <definedName name="REVENUES">#REF!</definedName>
    <definedName name="reverse_toll_gas">#REF!</definedName>
    <definedName name="reverse_toll_vols">#REF!</definedName>
    <definedName name="Revolver_Rate">#REF!</definedName>
    <definedName name="revreq">#REF!</definedName>
    <definedName name="RG">#REF!</definedName>
    <definedName name="RG_2">#REF!</definedName>
    <definedName name="RIC">#REF!</definedName>
    <definedName name="RIMANENZE">#REF!</definedName>
    <definedName name="RIP">#REF!</definedName>
    <definedName name="Risk_Ref">#REF!</definedName>
    <definedName name="RiskCollectDistributionSamples">2</definedName>
    <definedName name="RiskDet">TRUE</definedName>
    <definedName name="RiskFixedSeed">1</definedName>
    <definedName name="RiskHasSettings">TRUE</definedName>
    <definedName name="RiskMinimizeOnStart">FALSE</definedName>
    <definedName name="RiskMonitorConvergence">FALSE</definedName>
    <definedName name="RiskNumIterations">10000</definedName>
    <definedName name="RiskNumSimulations">1</definedName>
    <definedName name="RiskPauseOnError">FALSE</definedName>
    <definedName name="RiskRealTimeResults">FALSE</definedName>
    <definedName name="RiskResultsUpdateFreq">100</definedName>
    <definedName name="RiskRunAfterRecalcMacro">FALSE</definedName>
    <definedName name="RiskRunAfterSimMacro">FALSE</definedName>
    <definedName name="RiskRunBeforeRecalcMacro">FALSE</definedName>
    <definedName name="RiskRunBeforeSimMacro">FALSE</definedName>
    <definedName name="RiskSamplingType">3</definedName>
    <definedName name="RiskStandardRecalc">1</definedName>
    <definedName name="RiskStatFunctionsUpdateFreq">1</definedName>
    <definedName name="RiskUpdateDisplay">FALSE</definedName>
    <definedName name="RiskUpdateStatFunctions">TRUE</definedName>
    <definedName name="RiskUseDifferentSeedForEachSim">FALSE</definedName>
    <definedName name="RiskUseFixedSeed">FALSE</definedName>
    <definedName name="RMM">#REF!</definedName>
    <definedName name="rngAppName">#REF!</definedName>
    <definedName name="rngAppVersion">#REF!</definedName>
    <definedName name="rngBeginningDate">#REF!</definedName>
    <definedName name="rngCAProvinceCodes" comment="List of 2 letter Canadian Province Abbreviations/Codes">OFFSET(#REF!,,,COUNTA(#REF!))</definedName>
    <definedName name="rngClientViewSheets">OFFSET(#REF!,,,COUNTA(#REF!))</definedName>
    <definedName name="rngCountry">#REF!</definedName>
    <definedName name="rngDomorFor">#REF!</definedName>
    <definedName name="rngEndingDate">#REF!</definedName>
    <definedName name="rngEntityType">#REF!</definedName>
    <definedName name="rngGroupingCriteria">#REF!</definedName>
    <definedName name="rngHyperlinkUnhide">OFFSET(#REF!,,,COUNTA(#REF!))</definedName>
    <definedName name="rngImportShtList">OFFSET(#REF!,,,COUNTA(#REF!))</definedName>
    <definedName name="rngIRSCtrs">#REF!</definedName>
    <definedName name="rngM1Items">OFFSET(#REF!,,,COUNTA(#REF!))</definedName>
    <definedName name="rngMapType">#REF!</definedName>
    <definedName name="rngParentEntityID">#REF!</definedName>
    <definedName name="rngPTNum">#REF!</definedName>
    <definedName name="rngPtrNum">#REF!</definedName>
    <definedName name="rngRemoveChar">OFFSET(#REF!,,,COUNTA(#REF!))</definedName>
    <definedName name="rngSpecialItemList">OFFSET(#REF!,,,COUNTA(#REF!))</definedName>
    <definedName name="rngState">#REF!</definedName>
    <definedName name="rngStateNames">#REF!</definedName>
    <definedName name="rngStateSourceAccountsControl">#REF!</definedName>
    <definedName name="rngTaxYearTypes">OFFSET(#REF!,,,COUNTA(#REF!))</definedName>
    <definedName name="rngUserDef_PA" localSheetId="19">OFFSET(rngFirstUserDefCol,5,0,25,6)</definedName>
    <definedName name="rngUserDef_PA">OFFSET(rngFirstUserDefCol,5,0,25,6)</definedName>
    <definedName name="ROB">#REF!</definedName>
    <definedName name="RodDia">#REF!</definedName>
    <definedName name="roledata">#REF!</definedName>
    <definedName name="rolegroup">#REF!</definedName>
    <definedName name="rolegroupamt">#REF!</definedName>
    <definedName name="round">1</definedName>
    <definedName name="Route_Complexity">#REF!</definedName>
    <definedName name="ROW">#REF!</definedName>
    <definedName name="row_Actual">#REF!</definedName>
    <definedName name="row_ActualCash">#REF!</definedName>
    <definedName name="row_ActualRev">#REF!</definedName>
    <definedName name="row_blank">#REF!,#REF!,#REF!,#REF!,#REF!,#REF!,#REF!</definedName>
    <definedName name="row_Budget">#REF!</definedName>
    <definedName name="row_BudgetCash">#REF!</definedName>
    <definedName name="row_BudgetRev">#REF!</definedName>
    <definedName name="row_data">#REF!,#REF!,#REF!,#REF!,#REF!,#REF!,#REF!</definedName>
    <definedName name="row_header">#REF!,#REF!,#REF!,#REF!,#REF!,#REF!,#REF!,#REF!,#REF!,#REF!,#REF!,#REF!,#REF!</definedName>
    <definedName name="row_Reforecast">#REF!</definedName>
    <definedName name="row_ReforecastCash">#REF!</definedName>
    <definedName name="row_ReforecastRev">#REF!</definedName>
    <definedName name="ROW_Width">#REF!</definedName>
    <definedName name="RowCommand">#REF!</definedName>
    <definedName name="ROWCOUNT">#N/A</definedName>
    <definedName name="RowMember">#REF!</definedName>
    <definedName name="rows">#REF!</definedName>
    <definedName name="RowStart">#REF!</definedName>
    <definedName name="RPT_DATE" comment="REPORT UPDATE DATE">#REF!</definedName>
    <definedName name="Rpt2Act">#REF!</definedName>
    <definedName name="Rpt2ActTot">#REF!</definedName>
    <definedName name="Rpt2Var">#REF!</definedName>
    <definedName name="Rpt2VarTot">#REF!</definedName>
    <definedName name="Rpt3EssData">#REF!</definedName>
    <definedName name="Rpt6YE">#REF!</definedName>
    <definedName name="Rpt6YTD">#REF!</definedName>
    <definedName name="Rpt8Act">#REF!</definedName>
    <definedName name="Rpt8Bud">#REF!</definedName>
    <definedName name="RptDecBUBud">#REF!</definedName>
    <definedName name="RptDecBud">#REF!</definedName>
    <definedName name="RptYTDAct">#REF!</definedName>
    <definedName name="RptYTDBUBud">#REF!</definedName>
    <definedName name="rr">#REF!</definedName>
    <definedName name="rrr" localSheetId="18" hidden="1">{#N/A,#N/A,FALSE,"INPUTDATA";#N/A,#N/A,FALSE,"SUMMARY"}</definedName>
    <definedName name="rrr" hidden="1">{#N/A,#N/A,FALSE,"INPUTDATA";#N/A,#N/A,FALSE,"SUMMARY"}</definedName>
    <definedName name="rrrr" localSheetId="8" hidden="1">{#N/A,#N/A,FALSE,"O&amp;M by processes";#N/A,#N/A,FALSE,"Elec Act vs Bud";#N/A,#N/A,FALSE,"G&amp;A";#N/A,#N/A,FALSE,"BGS";#N/A,#N/A,FALSE,"Res Cost"}</definedName>
    <definedName name="rrrr" localSheetId="14" hidden="1">{#N/A,#N/A,FALSE,"O&amp;M by processes";#N/A,#N/A,FALSE,"Elec Act vs Bud";#N/A,#N/A,FALSE,"G&amp;A";#N/A,#N/A,FALSE,"BGS";#N/A,#N/A,FALSE,"Res Cost"}</definedName>
    <definedName name="rrrr" localSheetId="15" hidden="1">{#N/A,#N/A,FALSE,"O&amp;M by processes";#N/A,#N/A,FALSE,"Elec Act vs Bud";#N/A,#N/A,FALSE,"G&amp;A";#N/A,#N/A,FALSE,"BGS";#N/A,#N/A,FALSE,"Res Cost"}</definedName>
    <definedName name="rrrr" localSheetId="18" hidden="1">{#N/A,#N/A,FALSE,"O&amp;M by processes";#N/A,#N/A,FALSE,"Elec Act vs Bud";#N/A,#N/A,FALSE,"G&amp;A";#N/A,#N/A,FALSE,"BGS";#N/A,#N/A,FALSE,"Res Cost"}</definedName>
    <definedName name="rrrr" hidden="1">{#N/A,#N/A,FALSE,"O&amp;M by processes";#N/A,#N/A,FALSE,"Elec Act vs Bud";#N/A,#N/A,FALSE,"G&amp;A";#N/A,#N/A,FALSE,"BGS";#N/A,#N/A,FALSE,"Res Cost"}</definedName>
    <definedName name="RTAX">#REF!</definedName>
    <definedName name="RTNS2">#REF!</definedName>
    <definedName name="RTT">#REF!</definedName>
    <definedName name="RunNoOut">#REF!</definedName>
    <definedName name="s">#REF!</definedName>
    <definedName name="S_AcctDes">#REF!</definedName>
    <definedName name="S_Adjust">#REF!</definedName>
    <definedName name="S_Adjust_Data">#REF!</definedName>
    <definedName name="S_Adjust_GT">#REF!</definedName>
    <definedName name="S_AJE_Tot">#REF!</definedName>
    <definedName name="S_AJE_Tot_Data">#REF!</definedName>
    <definedName name="S_AJE_Tot_GT">#REF!</definedName>
    <definedName name="S_CompNum">#REF!</definedName>
    <definedName name="S_CY_Beg">#REF!</definedName>
    <definedName name="S_CY_Beg_Data">#REF!</definedName>
    <definedName name="S_CY_Beg_GT">#REF!</definedName>
    <definedName name="S_CY_End">#REF!</definedName>
    <definedName name="S_CY_End_Data">#REF!</definedName>
    <definedName name="S_CY_End_GT">#REF!</definedName>
    <definedName name="S_Diff_Amt">#REF!</definedName>
    <definedName name="S_Diff_Pct">#REF!</definedName>
    <definedName name="S_GrpNum">#REF!</definedName>
    <definedName name="S_Headings">#REF!</definedName>
    <definedName name="S_KeyValue">#REF!</definedName>
    <definedName name="S_PY_End">#REF!</definedName>
    <definedName name="S_PY_End_Data">#REF!</definedName>
    <definedName name="S_PY_End_GT">#REF!</definedName>
    <definedName name="S_RJE_Tot">#REF!</definedName>
    <definedName name="S_RJE_Tot_Data">#REF!</definedName>
    <definedName name="S_RJE_Tot_GT">#REF!</definedName>
    <definedName name="S_RowNum">#REF!</definedName>
    <definedName name="salecost">#REF!</definedName>
    <definedName name="salecostbuyer">#REF!</definedName>
    <definedName name="salecostfmv">#REF!</definedName>
    <definedName name="saledate">#REF!</definedName>
    <definedName name="saledatebuyer">#REF!</definedName>
    <definedName name="sales_projections">#REF!</definedName>
    <definedName name="saletype">#REF!</definedName>
    <definedName name="Sample1">#REF!</definedName>
    <definedName name="sap_D0001_00000001">#REF!</definedName>
    <definedName name="sap_D0002_00000001">#REF!</definedName>
    <definedName name="sap_D0003_00000001">#REF!</definedName>
    <definedName name="sap_D0004_00000001">#REF!</definedName>
    <definedName name="sap_D0005_00000001">#REF!</definedName>
    <definedName name="sap_D0006_00000001">#REF!</definedName>
    <definedName name="sap_D0007_00000001">#REF!</definedName>
    <definedName name="sap_D0008_00000001">#REF!</definedName>
    <definedName name="sap_D0009_00000001">#REF!</definedName>
    <definedName name="sap_D0010_00000001">#REF!</definedName>
    <definedName name="sap_D0011_00000001">#REF!</definedName>
    <definedName name="sap_D0012_00000001">#REF!</definedName>
    <definedName name="sap_D0013_00000001">#REF!</definedName>
    <definedName name="sap_D0014_00000001">#REF!</definedName>
    <definedName name="sap_D0015_00000001">#REF!</definedName>
    <definedName name="sap_D0016_00000001">#REF!</definedName>
    <definedName name="sap_D0017_00000001">#REF!</definedName>
    <definedName name="sap_D0018_00000001">#REF!</definedName>
    <definedName name="sap_D0019_00000001">#REF!</definedName>
    <definedName name="sap_D0020_00000001">#REF!</definedName>
    <definedName name="sap_D0021_00000001">#REF!</definedName>
    <definedName name="sap_D0022_00000001">#REF!</definedName>
    <definedName name="sap_D0023_00000001">#REF!</definedName>
    <definedName name="sap_D0024_00000001">#REF!</definedName>
    <definedName name="sap_D0025_00000001">#REF!</definedName>
    <definedName name="sap_D0026_00000001">#REF!</definedName>
    <definedName name="sap_D0027_00000001">#REF!</definedName>
    <definedName name="sap_D0028_00000001">#REF!</definedName>
    <definedName name="sap_D0029_00000001">#REF!</definedName>
    <definedName name="sap_D0030_00000001">#REF!</definedName>
    <definedName name="sap_D0031_00000001">#REF!</definedName>
    <definedName name="sap_D0032_00000001">#REF!</definedName>
    <definedName name="sap_D0033_00000001">#REF!</definedName>
    <definedName name="sap_D0034_00000001">#REF!</definedName>
    <definedName name="sap_D0035_00000001">#REF!</definedName>
    <definedName name="sap_D0036_00000001">#REF!</definedName>
    <definedName name="sap_D0037_00000001">#REF!</definedName>
    <definedName name="sap_D0038_00000001">#REF!</definedName>
    <definedName name="sap_D0039_00000001">#REF!</definedName>
    <definedName name="sap_D0040_00000001">#REF!</definedName>
    <definedName name="sap_D0041_00000001">#REF!</definedName>
    <definedName name="sap_D0042_00000001">#REF!</definedName>
    <definedName name="sap_F0001">#REF!</definedName>
    <definedName name="sap_F0002">#REF!</definedName>
    <definedName name="sap_F0003">#REF!</definedName>
    <definedName name="sap_K0001">#REF!</definedName>
    <definedName name="sap_K0002">#REF!</definedName>
    <definedName name="sap_K0003">#REF!</definedName>
    <definedName name="sap_K0004">#REF!</definedName>
    <definedName name="sap_K0005">#REF!</definedName>
    <definedName name="sap_K0006">#REF!</definedName>
    <definedName name="sap_K0007">#REF!</definedName>
    <definedName name="sap_K0008">#REF!</definedName>
    <definedName name="sap_K0009">#REF!</definedName>
    <definedName name="sap_S0001">#REF!</definedName>
    <definedName name="sap_S0002">#REF!</definedName>
    <definedName name="sap_S0003">#REF!</definedName>
    <definedName name="sap_S0004">#REF!</definedName>
    <definedName name="sap_S0005">#REF!</definedName>
    <definedName name="sap_S0006">#REF!</definedName>
    <definedName name="sap_S0007">#REF!</definedName>
    <definedName name="sap_S0008">#REF!</definedName>
    <definedName name="sap_S0009">#REF!</definedName>
    <definedName name="sap_S0010">#REF!</definedName>
    <definedName name="sap_S0011">#REF!</definedName>
    <definedName name="sap_S0012">#REF!</definedName>
    <definedName name="sap_S0013">#REF!</definedName>
    <definedName name="sap_S0014">#REF!</definedName>
    <definedName name="sap_S0015">#REF!</definedName>
    <definedName name="sap_S0016">#REF!</definedName>
    <definedName name="sap_S0017">#REF!</definedName>
    <definedName name="sap_S0018">#REF!</definedName>
    <definedName name="sap_S0019">#REF!</definedName>
    <definedName name="sap_S0020">#REF!</definedName>
    <definedName name="sap_S0021">#REF!</definedName>
    <definedName name="sap_S0022">#REF!</definedName>
    <definedName name="sap_S0023">#REF!</definedName>
    <definedName name="sap_S0024">#REF!</definedName>
    <definedName name="sap_S0025">#REF!</definedName>
    <definedName name="sap_S0026">#REF!</definedName>
    <definedName name="sap_S0027">#REF!</definedName>
    <definedName name="sap_S0028">#REF!</definedName>
    <definedName name="sap_S0029">#REF!</definedName>
    <definedName name="sap_S0030">#REF!</definedName>
    <definedName name="sap_S0031">#REF!</definedName>
    <definedName name="sap_S0032">#REF!</definedName>
    <definedName name="sap_S0033">#REF!</definedName>
    <definedName name="sap_S0034">#REF!</definedName>
    <definedName name="sap_S0035">#REF!</definedName>
    <definedName name="sap_S0036">#REF!</definedName>
    <definedName name="sap_S0037">#REF!</definedName>
    <definedName name="sap_S0038">#REF!</definedName>
    <definedName name="sap_S0039">#REF!</definedName>
    <definedName name="sap_S0040">#REF!</definedName>
    <definedName name="sap_S0041">#REF!</definedName>
    <definedName name="sap_S0042">#REF!</definedName>
    <definedName name="sap_Z0001_00000001">#REF!</definedName>
    <definedName name="sap_Z0002_00000001">#REF!</definedName>
    <definedName name="sap_Z0003_00000001">#REF!</definedName>
    <definedName name="SAPBEXdnldView" hidden="1">"4NX8T6ML5DBP7B1A19FB30XSU"</definedName>
    <definedName name="SAPBEXhrIndnt" hidden="1">2</definedName>
    <definedName name="SAPBEXrevision" hidden="1">2</definedName>
    <definedName name="SAPBEXsysID" hidden="1">"GP1"</definedName>
    <definedName name="SAPBEXwbID" hidden="1">"0QPV4RF636ZQNL5RK8PWSJVGT"</definedName>
    <definedName name="SAPCrosstab1">'BOBJ BS'!$B$2:$BB$48</definedName>
    <definedName name="SAPCrosstab2">OPEX!$C$3:$AD$59</definedName>
    <definedName name="SAPCrosstab3">#REF!</definedName>
    <definedName name="SAPCrosstab4">#REF!</definedName>
    <definedName name="SAPCrosstab5">#REF!</definedName>
    <definedName name="SAPCrosstab6">#REF!</definedName>
    <definedName name="SAPCrosstab7">#REF!</definedName>
    <definedName name="SAPsysID" hidden="1">"708C5W7SBKP804JT78WJ0JNKI"</definedName>
    <definedName name="SAPwbID" hidden="1">"ARS"</definedName>
    <definedName name="SaveNewFile">#N/A</definedName>
    <definedName name="SC_Accs">#REF!</definedName>
    <definedName name="SCACCS">#REF!</definedName>
    <definedName name="SCALC">#REF!</definedName>
    <definedName name="Scale">#REF!</definedName>
    <definedName name="SCALPER">#REF!</definedName>
    <definedName name="SCC">#REF!</definedName>
    <definedName name="Scenario">#REF!</definedName>
    <definedName name="SCHED">#REF!</definedName>
    <definedName name="SCR">#REF!</definedName>
    <definedName name="SCURVETAB">#REF!</definedName>
    <definedName name="SEAT">#REF!</definedName>
    <definedName name="SecOps_OM_06Actual_Essbase">#REF!</definedName>
    <definedName name="SECT1">#REF!</definedName>
    <definedName name="SECT2">#REF!</definedName>
    <definedName name="SectionG_Questions">#REF!,#REF!,#REF!</definedName>
    <definedName name="SEED_DATE">#REF!</definedName>
    <definedName name="Seismic">#REF!</definedName>
    <definedName name="SelectListCopy">#REF!</definedName>
    <definedName name="Sell_International_Assets">#REF!</definedName>
    <definedName name="Sell_Trading_Assets">#REF!</definedName>
    <definedName name="sem">#REF!</definedName>
    <definedName name="sematxinc">#REF!</definedName>
    <definedName name="SEN">#REF!</definedName>
    <definedName name="sencount" hidden="1">1</definedName>
    <definedName name="SENIORRDEBTSER">#REF!</definedName>
    <definedName name="Sens">#REF!</definedName>
    <definedName name="sensitivities">#REF!</definedName>
    <definedName name="SENSITIVITY">#REF!</definedName>
    <definedName name="sEntity">#REF!</definedName>
    <definedName name="sep">#REF!</definedName>
    <definedName name="serp">#REF!</definedName>
    <definedName name="Settlement_Charges">#REF!</definedName>
    <definedName name="SEVILLE">#REF!</definedName>
    <definedName name="SF">#REF!</definedName>
    <definedName name="SFD">#REF!</definedName>
    <definedName name="SFV">#REF!</definedName>
    <definedName name="SHCF">#REF!</definedName>
    <definedName name="Sheet1Remark0">#REF!</definedName>
    <definedName name="Sheet1Remark1">#REF!</definedName>
    <definedName name="Sheet1Remark10">#REF!</definedName>
    <definedName name="Sheet1Remark11">#REF!</definedName>
    <definedName name="Sheet1Remark12">#REF!</definedName>
    <definedName name="Sheet1Remark13">#REF!</definedName>
    <definedName name="Sheet1Remark14">#REF!</definedName>
    <definedName name="Sheet1Remark15">#REF!</definedName>
    <definedName name="Sheet1Remark16">#REF!</definedName>
    <definedName name="Sheet1Remark17">#REF!</definedName>
    <definedName name="Sheet1Remark18">#REF!</definedName>
    <definedName name="Sheet1Remark19">#REF!</definedName>
    <definedName name="Sheet1Remark2">#REF!</definedName>
    <definedName name="Sheet1Remark20">#REF!</definedName>
    <definedName name="Sheet1Remark21">#REF!</definedName>
    <definedName name="Sheet1Remark22">#REF!</definedName>
    <definedName name="Sheet1Remark3">#REF!</definedName>
    <definedName name="Sheet1Remark4">#REF!</definedName>
    <definedName name="Sheet1Remark5">#REF!</definedName>
    <definedName name="Sheet1Remark6">#REF!</definedName>
    <definedName name="Sheet1Remark7">#REF!</definedName>
    <definedName name="Sheet1Remark8">#REF!</definedName>
    <definedName name="Sheet1Remark9">#REF!</definedName>
    <definedName name="Sheet1Unit0">#REF!</definedName>
    <definedName name="Sheet1Unit1">#REF!</definedName>
    <definedName name="Sheet1Unit10">#REF!</definedName>
    <definedName name="Sheet1Unit11">#REF!</definedName>
    <definedName name="Sheet1Unit12">#REF!</definedName>
    <definedName name="Sheet1Unit13">#REF!</definedName>
    <definedName name="Sheet1Unit14">#REF!</definedName>
    <definedName name="Sheet1Unit15">#REF!</definedName>
    <definedName name="Sheet1Unit16">#REF!</definedName>
    <definedName name="Sheet1Unit17">#REF!</definedName>
    <definedName name="Sheet1Unit18">#REF!</definedName>
    <definedName name="Sheet1Unit19">#REF!</definedName>
    <definedName name="Sheet1Unit2">#REF!</definedName>
    <definedName name="Sheet1Unit20">#REF!</definedName>
    <definedName name="Sheet1Unit21">#REF!</definedName>
    <definedName name="Sheet1Unit22">#REF!</definedName>
    <definedName name="Sheet1Unit23">#REF!</definedName>
    <definedName name="Sheet1Unit24">#REF!</definedName>
    <definedName name="Sheet1Unit25">#REF!</definedName>
    <definedName name="Sheet1Unit26">#REF!</definedName>
    <definedName name="Sheet1Unit3">#REF!</definedName>
    <definedName name="Sheet1Unit4">#REF!</definedName>
    <definedName name="Sheet1Unit5">#REF!</definedName>
    <definedName name="Sheet1Unit6">#REF!</definedName>
    <definedName name="Sheet1Unit7">#REF!</definedName>
    <definedName name="Sheet1Unit8">#REF!</definedName>
    <definedName name="Sheet1Unit9">#REF!</definedName>
    <definedName name="Sheet1Value0">#REF!</definedName>
    <definedName name="Sheet1Value1">#REF!</definedName>
    <definedName name="Sheet1Value10">#REF!</definedName>
    <definedName name="Sheet1Value100">#REF!</definedName>
    <definedName name="Sheet1Value101">#REF!</definedName>
    <definedName name="Sheet1Value102">#REF!</definedName>
    <definedName name="Sheet1Value103">#REF!</definedName>
    <definedName name="Sheet1Value104">#REF!</definedName>
    <definedName name="Sheet1Value11">#REF!</definedName>
    <definedName name="Sheet1Value12">#REF!</definedName>
    <definedName name="Sheet1Value13">#REF!</definedName>
    <definedName name="Sheet1Value14">#REF!</definedName>
    <definedName name="Sheet1Value15">#REF!</definedName>
    <definedName name="Sheet1Value16">#REF!</definedName>
    <definedName name="Sheet1Value17">#REF!</definedName>
    <definedName name="Sheet1Value18">#REF!</definedName>
    <definedName name="Sheet1Value19">#REF!</definedName>
    <definedName name="Sheet1Value2">#REF!</definedName>
    <definedName name="Sheet1Value20">#REF!</definedName>
    <definedName name="Sheet1Value21">#REF!</definedName>
    <definedName name="Sheet1Value22">#REF!</definedName>
    <definedName name="Sheet1Value23">#REF!</definedName>
    <definedName name="Sheet1Value24">#REF!</definedName>
    <definedName name="Sheet1Value25">#REF!</definedName>
    <definedName name="Sheet1Value26">#REF!</definedName>
    <definedName name="Sheet1Value27">#REF!</definedName>
    <definedName name="Sheet1Value28">#REF!</definedName>
    <definedName name="Sheet1Value29">#REF!</definedName>
    <definedName name="Sheet1Value3">#REF!</definedName>
    <definedName name="Sheet1Value30">#REF!</definedName>
    <definedName name="Sheet1Value31">#REF!</definedName>
    <definedName name="Sheet1Value32">#REF!</definedName>
    <definedName name="Sheet1Value33">#REF!</definedName>
    <definedName name="Sheet1Value34">#REF!</definedName>
    <definedName name="Sheet1Value35">#REF!</definedName>
    <definedName name="Sheet1Value36">#REF!</definedName>
    <definedName name="Sheet1Value37">#REF!</definedName>
    <definedName name="Sheet1Value38">#REF!</definedName>
    <definedName name="Sheet1Value39">#REF!</definedName>
    <definedName name="Sheet1Value4">#REF!</definedName>
    <definedName name="Sheet1Value40">#REF!</definedName>
    <definedName name="Sheet1Value41">#REF!</definedName>
    <definedName name="Sheet1Value42">#REF!</definedName>
    <definedName name="Sheet1Value43">#REF!</definedName>
    <definedName name="Sheet1Value44">#REF!</definedName>
    <definedName name="Sheet1Value45">#REF!</definedName>
    <definedName name="Sheet1Value46">#REF!</definedName>
    <definedName name="Sheet1Value47">#REF!</definedName>
    <definedName name="Sheet1Value48">#REF!</definedName>
    <definedName name="Sheet1Value49">#REF!</definedName>
    <definedName name="Sheet1Value5">#REF!</definedName>
    <definedName name="Sheet1Value50">#REF!</definedName>
    <definedName name="Sheet1Value51">#REF!</definedName>
    <definedName name="Sheet1Value52">#REF!</definedName>
    <definedName name="Sheet1Value53">#REF!</definedName>
    <definedName name="Sheet1Value54">#REF!</definedName>
    <definedName name="Sheet1Value55">#REF!</definedName>
    <definedName name="Sheet1Value56">#REF!</definedName>
    <definedName name="Sheet1Value57">#REF!</definedName>
    <definedName name="Sheet1Value58">#REF!</definedName>
    <definedName name="Sheet1Value59">#REF!</definedName>
    <definedName name="Sheet1Value6">#REF!</definedName>
    <definedName name="Sheet1Value60">#REF!</definedName>
    <definedName name="Sheet1Value61">#REF!</definedName>
    <definedName name="Sheet1Value62">#REF!</definedName>
    <definedName name="Sheet1Value63">#REF!</definedName>
    <definedName name="Sheet1Value64">#REF!</definedName>
    <definedName name="Sheet1Value65">#REF!</definedName>
    <definedName name="Sheet1Value66">#REF!</definedName>
    <definedName name="Sheet1Value67">#REF!</definedName>
    <definedName name="Sheet1Value68">#REF!</definedName>
    <definedName name="Sheet1Value69">#REF!</definedName>
    <definedName name="Sheet1Value7">#REF!</definedName>
    <definedName name="Sheet1Value70">#REF!</definedName>
    <definedName name="Sheet1Value71">#REF!</definedName>
    <definedName name="Sheet1Value72">#REF!</definedName>
    <definedName name="Sheet1Value73">#REF!</definedName>
    <definedName name="Sheet1Value74">#REF!</definedName>
    <definedName name="Sheet1Value75">#REF!</definedName>
    <definedName name="Sheet1Value76">#REF!</definedName>
    <definedName name="Sheet1Value77">#REF!</definedName>
    <definedName name="Sheet1Value78">#REF!</definedName>
    <definedName name="Sheet1Value79">#REF!</definedName>
    <definedName name="Sheet1Value8">#REF!</definedName>
    <definedName name="Sheet1Value80">#REF!</definedName>
    <definedName name="Sheet1Value81">#REF!</definedName>
    <definedName name="Sheet1Value82">#REF!</definedName>
    <definedName name="Sheet1Value83">#REF!</definedName>
    <definedName name="Sheet1Value84">#REF!</definedName>
    <definedName name="Sheet1Value85">#REF!</definedName>
    <definedName name="Sheet1Value86">#REF!</definedName>
    <definedName name="Sheet1Value87">#REF!</definedName>
    <definedName name="Sheet1Value88">#REF!</definedName>
    <definedName name="Sheet1Value89">#REF!</definedName>
    <definedName name="Sheet1Value9">#REF!</definedName>
    <definedName name="Sheet1Value90">#REF!</definedName>
    <definedName name="Sheet1Value91">#REF!</definedName>
    <definedName name="Sheet1Value92">#REF!</definedName>
    <definedName name="Sheet1Value93">#REF!</definedName>
    <definedName name="Sheet1Value94">#REF!</definedName>
    <definedName name="Sheet1Value95">#REF!</definedName>
    <definedName name="Sheet1Value96">#REF!</definedName>
    <definedName name="Sheet1Value97">#REF!</definedName>
    <definedName name="Sheet1Value98">#REF!</definedName>
    <definedName name="Sheet1Value99">#REF!</definedName>
    <definedName name="SHERCF">#REF!</definedName>
    <definedName name="Shifts">#REF!</definedName>
    <definedName name="shiva" localSheetId="8" hidden="1">{#N/A,#N/A,FALSE,"O&amp;M by processes";#N/A,#N/A,FALSE,"Elec Act vs Bud";#N/A,#N/A,FALSE,"G&amp;A";#N/A,#N/A,FALSE,"BGS";#N/A,#N/A,FALSE,"Res Cost"}</definedName>
    <definedName name="shiva" localSheetId="14" hidden="1">{#N/A,#N/A,FALSE,"O&amp;M by processes";#N/A,#N/A,FALSE,"Elec Act vs Bud";#N/A,#N/A,FALSE,"G&amp;A";#N/A,#N/A,FALSE,"BGS";#N/A,#N/A,FALSE,"Res Cost"}</definedName>
    <definedName name="shiva" localSheetId="15" hidden="1">{#N/A,#N/A,FALSE,"O&amp;M by processes";#N/A,#N/A,FALSE,"Elec Act vs Bud";#N/A,#N/A,FALSE,"G&amp;A";#N/A,#N/A,FALSE,"BGS";#N/A,#N/A,FALSE,"Res Cost"}</definedName>
    <definedName name="shiva" localSheetId="18" hidden="1">{#N/A,#N/A,FALSE,"O&amp;M by processes";#N/A,#N/A,FALSE,"Elec Act vs Bud";#N/A,#N/A,FALSE,"G&amp;A";#N/A,#N/A,FALSE,"BGS";#N/A,#N/A,FALSE,"Res Cost"}</definedName>
    <definedName name="shiva" hidden="1">{#N/A,#N/A,FALSE,"O&amp;M by processes";#N/A,#N/A,FALSE,"Elec Act vs Bud";#N/A,#N/A,FALSE,"G&amp;A";#N/A,#N/A,FALSE,"BGS";#N/A,#N/A,FALSE,"Res Cost"}</definedName>
    <definedName name="SHL">#REF!</definedName>
    <definedName name="SHORTFALL_KW">#REF!</definedName>
    <definedName name="SHPL">#REF!</definedName>
    <definedName name="Shunt_Reactors">#REF!</definedName>
    <definedName name="Shunt_Reactors_Concrete">#REF!</definedName>
    <definedName name="Shunt_Reactors_Labor">#REF!</definedName>
    <definedName name="SIDE">#REF!</definedName>
    <definedName name="siertxinc">#REF!</definedName>
    <definedName name="sign_date">#REF!</definedName>
    <definedName name="SIRR">#REF!</definedName>
    <definedName name="Sites" localSheetId="18" hidden="1">{#N/A,#N/A,TRUE,"TOTAL DISTRIBUTION";#N/A,#N/A,TRUE,"SOUTH";#N/A,#N/A,TRUE,"NORTHEAST";#N/A,#N/A,TRUE,"WEST"}</definedName>
    <definedName name="Sites" hidden="1">{#N/A,#N/A,TRUE,"TOTAL DISTRIBUTION";#N/A,#N/A,TRUE,"SOUTH";#N/A,#N/A,TRUE,"NORTHEAST";#N/A,#N/A,TRUE,"WEST"}</definedName>
    <definedName name="Sitesdate" localSheetId="18" hidden="1">{#N/A,#N/A,TRUE,"TOTAL DSBN";#N/A,#N/A,TRUE,"WEST";#N/A,#N/A,TRUE,"SOUTH";#N/A,#N/A,TRUE,"NORTHEAST"}</definedName>
    <definedName name="Sitesdate" hidden="1">{#N/A,#N/A,TRUE,"TOTAL DSBN";#N/A,#N/A,TRUE,"WEST";#N/A,#N/A,TRUE,"SOUTH";#N/A,#N/A,TRUE,"NORTHEAST"}</definedName>
    <definedName name="SIX">#REF!</definedName>
    <definedName name="skyrtxinc">#REF!</definedName>
    <definedName name="SO4ADD">#REF!</definedName>
    <definedName name="socoBasis">#REF!</definedName>
    <definedName name="SOF">#REF!</definedName>
    <definedName name="sof4irr">#REF!</definedName>
    <definedName name="sof5irr">#REF!</definedName>
    <definedName name="sofco_pref">#REF!</definedName>
    <definedName name="sofialloc98">#REF!</definedName>
    <definedName name="sofialloc99">#REF!</definedName>
    <definedName name="Soil">#REF!</definedName>
    <definedName name="solver_cvg" hidden="1">0.001</definedName>
    <definedName name="solver_drv" hidden="1">1</definedName>
    <definedName name="solver_est" hidden="1">1</definedName>
    <definedName name="solver_itr" hidden="1">100</definedName>
    <definedName name="solver_lin" hidden="1">2</definedName>
    <definedName name="solver_neg" hidden="1">2</definedName>
    <definedName name="solver_num" hidden="1">1</definedName>
    <definedName name="solver_nwt" hidden="1">1</definedName>
    <definedName name="solver_pre" hidden="1">0.000001</definedName>
    <definedName name="solver_rel1" hidden="1">2</definedName>
    <definedName name="solver_rhs1" hidden="1">17</definedName>
    <definedName name="solver_scl" hidden="1">2</definedName>
    <definedName name="solver_sho" hidden="1">2</definedName>
    <definedName name="solver_tim" hidden="1">100</definedName>
    <definedName name="solver_tol" hidden="1">0.05</definedName>
    <definedName name="solver_typ" hidden="1">1</definedName>
    <definedName name="solver_val" hidden="1">0</definedName>
    <definedName name="Sort_Command">#REF!</definedName>
    <definedName name="Source">#REF!</definedName>
    <definedName name="SourceDBname">#REF!</definedName>
    <definedName name="SourceStudyName">#REF!</definedName>
    <definedName name="SourceStudyNameCopy">#REF!</definedName>
    <definedName name="SourceType">OFFSET(#REF!,0,0,COUNTA(#REF!),1)</definedName>
    <definedName name="SourceUserName">#REF!</definedName>
    <definedName name="SOUTH_VIENNA">#REF!</definedName>
    <definedName name="SOV_Column_Lookup">#REF!</definedName>
    <definedName name="Spacing_Requirements">#REF!</definedName>
    <definedName name="Spanish_CPI">#REF!</definedName>
    <definedName name="Spanish_Stamp_Tax">#REF!</definedName>
    <definedName name="Spanner_Auto_File">"C:\Documents and Settings\linda\My Documents\Process .x2a"</definedName>
    <definedName name="SPARES_ST_TAX">#REF!</definedName>
    <definedName name="SPB">#REF!</definedName>
    <definedName name="spcompany">#REF!</definedName>
    <definedName name="spec">#REF!</definedName>
    <definedName name="SpecialAllocation">OFFSET(#REF!,0,0,COUNTA(#REF!),1)</definedName>
    <definedName name="SpecialAllocationType">OFFSET(#REF!,0,0,COUNTA(#REF!),1)</definedName>
    <definedName name="SPEND">#REF!</definedName>
    <definedName name="SPEND2">#REF!</definedName>
    <definedName name="spffo">#REF!</definedName>
    <definedName name="spffo2">#REF!</definedName>
    <definedName name="spffo3">#REF!</definedName>
    <definedName name="spffo4\">#REF!</definedName>
    <definedName name="spffo5">#REF!</definedName>
    <definedName name="Splitters">#REF!</definedName>
    <definedName name="spname2">#REF!</definedName>
    <definedName name="spname3">#REF!</definedName>
    <definedName name="spname4">#REF!</definedName>
    <definedName name="spname6">#REF!</definedName>
    <definedName name="Spool_Length">#REF!</definedName>
    <definedName name="spop1">#REF!</definedName>
    <definedName name="spop2">#REF!</definedName>
    <definedName name="spop3">#REF!</definedName>
    <definedName name="spop4">#REF!</definedName>
    <definedName name="SPS_COS">#REF!</definedName>
    <definedName name="SPWS_WBID">"B1C80735-5882-4AF2-B0B4-34EDD8A645E0"</definedName>
    <definedName name="SR">#REF!</definedName>
    <definedName name="SR_2">#REF!</definedName>
    <definedName name="SROE">#REF!</definedName>
    <definedName name="ss">MATCH(0.01,End_Bal,-1)+1</definedName>
    <definedName name="sss" localSheetId="18" hidden="1">{#N/A,#N/A,FALSE,"Results";#N/A,#N/A,FALSE,"Input Data";#N/A,#N/A,FALSE,"Generation Calculation";#N/A,#N/A,FALSE,"Unit Heat Rate Calculation";#N/A,#N/A,FALSE,"Final FWH Extraction Flow";#N/A,#N/A,FALSE,"BEFF.XLS";#N/A,#N/A,FALSE,"TURBEFF.XLS";#N/A,#N/A,FALSE,"Condenser Performance";#N/A,#N/A,FALSE,"Stage Pressure Correction";#N/A,#N/A,FALSE,"Electrical Loss Correction";#N/A,#N/A,FALSE,"Throttle P &amp; T Correction";#N/A,#N/A,FALSE,"Final FWH TTD Correction";#N/A,#N/A,FALSE,"Reheat T &amp; dP Correction";#N/A,#N/A,FALSE,"Auxiliary Steam &amp; Extr Corr";#N/A,#N/A,FALSE,"SHS &amp; RHS Correction";#N/A,#N/A,FALSE,"Change Log"}</definedName>
    <definedName name="sss" hidden="1">{#N/A,#N/A,FALSE,"Results";#N/A,#N/A,FALSE,"Input Data";#N/A,#N/A,FALSE,"Generation Calculation";#N/A,#N/A,FALSE,"Unit Heat Rate Calculation";#N/A,#N/A,FALSE,"Final FWH Extraction Flow";#N/A,#N/A,FALSE,"BEFF.XLS";#N/A,#N/A,FALSE,"TURBEFF.XLS";#N/A,#N/A,FALSE,"Condenser Performance";#N/A,#N/A,FALSE,"Stage Pressure Correction";#N/A,#N/A,FALSE,"Electrical Loss Correction";#N/A,#N/A,FALSE,"Throttle P &amp; T Correction";#N/A,#N/A,FALSE,"Final FWH TTD Correction";#N/A,#N/A,FALSE,"Reheat T &amp; dP Correction";#N/A,#N/A,FALSE,"Auxiliary Steam &amp; Extr Corr";#N/A,#N/A,FALSE,"SHS &amp; RHS Correction";#N/A,#N/A,FALSE,"Change Log"}</definedName>
    <definedName name="StabOcc">#REF!</definedName>
    <definedName name="START">#REF!</definedName>
    <definedName name="Start_Date">#REF!</definedName>
    <definedName name="START_MSG">#N/A</definedName>
    <definedName name="Start_Year">#REF!</definedName>
    <definedName name="START1">#REF!</definedName>
    <definedName name="StartColumnOut">#REF!</definedName>
    <definedName name="StartContractMonthCor">#REF!</definedName>
    <definedName name="StartDate">#REF!</definedName>
    <definedName name="startdateB">#REF!</definedName>
    <definedName name="startdatebuyer">#REF!</definedName>
    <definedName name="StartEffDateCor">#REF!</definedName>
    <definedName name="StartRowOut">#REF!</definedName>
    <definedName name="Startup.Quarter">#REF!</definedName>
    <definedName name="State">#REF!</definedName>
    <definedName name="State_Impacts">#REF!</definedName>
    <definedName name="state_other">#REF!</definedName>
    <definedName name="statsrevised" localSheetId="8" hidden="1">{#N/A,#N/A,FALSE,"O&amp;M by processes";#N/A,#N/A,FALSE,"Elec Act vs Bud";#N/A,#N/A,FALSE,"G&amp;A";#N/A,#N/A,FALSE,"BGS";#N/A,#N/A,FALSE,"Res Cost"}</definedName>
    <definedName name="statsrevised" localSheetId="14" hidden="1">{#N/A,#N/A,FALSE,"O&amp;M by processes";#N/A,#N/A,FALSE,"Elec Act vs Bud";#N/A,#N/A,FALSE,"G&amp;A";#N/A,#N/A,FALSE,"BGS";#N/A,#N/A,FALSE,"Res Cost"}</definedName>
    <definedName name="statsrevised" localSheetId="15" hidden="1">{#N/A,#N/A,FALSE,"O&amp;M by processes";#N/A,#N/A,FALSE,"Elec Act vs Bud";#N/A,#N/A,FALSE,"G&amp;A";#N/A,#N/A,FALSE,"BGS";#N/A,#N/A,FALSE,"Res Cost"}</definedName>
    <definedName name="statsrevised" localSheetId="18" hidden="1">{#N/A,#N/A,FALSE,"O&amp;M by processes";#N/A,#N/A,FALSE,"Elec Act vs Bud";#N/A,#N/A,FALSE,"G&amp;A";#N/A,#N/A,FALSE,"BGS";#N/A,#N/A,FALSE,"Res Cost"}</definedName>
    <definedName name="statsrevised" hidden="1">{#N/A,#N/A,FALSE,"O&amp;M by processes";#N/A,#N/A,FALSE,"Elec Act vs Bud";#N/A,#N/A,FALSE,"G&amp;A";#N/A,#N/A,FALSE,"BGS";#N/A,#N/A,FALSE,"Res Cost"}</definedName>
    <definedName name="Status">#REF!</definedName>
    <definedName name="StatusCopy">#REF!</definedName>
    <definedName name="StatusCor">#REF!</definedName>
    <definedName name="StatusDG">#REF!</definedName>
    <definedName name="StatusOut">#REF!</definedName>
    <definedName name="Std_Dev">#REF!</definedName>
    <definedName name="StdPer">#REF!</definedName>
    <definedName name="steam_prod">#REF!</definedName>
    <definedName name="STG">#REF!</definedName>
    <definedName name="STI">#REF!</definedName>
    <definedName name="STILL1040">#REF!</definedName>
    <definedName name="STPOWER">#REF!</definedName>
    <definedName name="Street">#REF!</definedName>
    <definedName name="Strt" localSheetId="19">#REF!</definedName>
    <definedName name="Strt">#REF!</definedName>
    <definedName name="Structure_Materials">#REF!</definedName>
    <definedName name="Structures">#REF!</definedName>
    <definedName name="Structures_pick">#REF!</definedName>
    <definedName name="Stub">#REF!</definedName>
    <definedName name="StudyNameDG">#REF!</definedName>
    <definedName name="StudyNameOut">#REF!</definedName>
    <definedName name="SU">#REF!</definedName>
    <definedName name="Sub" localSheetId="18" hidden="1">{#N/A,#N/A,TRUE,"Task Status";#N/A,#N/A,TRUE,"Document Status";#N/A,#N/A,TRUE,"Percent Complete";#N/A,#N/A,TRUE,"Manhour Sum"}</definedName>
    <definedName name="Sub" hidden="1">{#N/A,#N/A,TRUE,"Task Status";#N/A,#N/A,TRUE,"Document Status";#N/A,#N/A,TRUE,"Percent Complete";#N/A,#N/A,TRUE,"Manhour Sum"}</definedName>
    <definedName name="Sub_For_BidForm">#REF!</definedName>
    <definedName name="SUB_SOV_Column_Lookup">#REF!</definedName>
    <definedName name="SubFundSplit">OFFSET(#REF!,0,0,COUNTA(#REF!),1)</definedName>
    <definedName name="subjentry">#REF!</definedName>
    <definedName name="SUBSEQUENT_YEAR_DATE">#REF!</definedName>
    <definedName name="SUBSEQUENT_YEAR_X">#REF!</definedName>
    <definedName name="sum">#REF!</definedName>
    <definedName name="SUM_BFREP">#REF!</definedName>
    <definedName name="SUM_BREA">#REF!</definedName>
    <definedName name="SUM_BREH">#REF!</definedName>
    <definedName name="SUM_BREMA">#REF!</definedName>
    <definedName name="SUM_BREP">#REF!</definedName>
    <definedName name="SUM_EC_OWN">#REF!</definedName>
    <definedName name="SUM_LPS">#REF!</definedName>
    <definedName name="SUMM">#REF!</definedName>
    <definedName name="SUMMARY">#REF!</definedName>
    <definedName name="Summary_Long_Inventory">#REF!</definedName>
    <definedName name="Summary_Short_Inventory">#REF!</definedName>
    <definedName name="SummarySchKJurisdiction">#REF!</definedName>
    <definedName name="sumptf2">#REF!</definedName>
    <definedName name="sumtran2">#REF!</definedName>
    <definedName name="sumtrans">#REF!</definedName>
    <definedName name="SUPFUEL">#REF!</definedName>
    <definedName name="Supp_Command">#REF!</definedName>
    <definedName name="Supplemental_Gas_Burn_Tariff">#REF!</definedName>
    <definedName name="support" localSheetId="8" hidden="1">{#N/A,#N/A,FALSE,"O&amp;M by processes";#N/A,#N/A,FALSE,"Elec Act vs Bud";#N/A,#N/A,FALSE,"G&amp;A";#N/A,#N/A,FALSE,"BGS";#N/A,#N/A,FALSE,"Res Cost"}</definedName>
    <definedName name="support" localSheetId="14" hidden="1">{#N/A,#N/A,FALSE,"O&amp;M by processes";#N/A,#N/A,FALSE,"Elec Act vs Bud";#N/A,#N/A,FALSE,"G&amp;A";#N/A,#N/A,FALSE,"BGS";#N/A,#N/A,FALSE,"Res Cost"}</definedName>
    <definedName name="support" localSheetId="15" hidden="1">{#N/A,#N/A,FALSE,"O&amp;M by processes";#N/A,#N/A,FALSE,"Elec Act vs Bud";#N/A,#N/A,FALSE,"G&amp;A";#N/A,#N/A,FALSE,"BGS";#N/A,#N/A,FALSE,"Res Cost"}</definedName>
    <definedName name="support" localSheetId="18" hidden="1">{#N/A,#N/A,FALSE,"O&amp;M by processes";#N/A,#N/A,FALSE,"Elec Act vs Bud";#N/A,#N/A,FALSE,"G&amp;A";#N/A,#N/A,FALSE,"BGS";#N/A,#N/A,FALSE,"Res Cost"}</definedName>
    <definedName name="support" hidden="1">{#N/A,#N/A,FALSE,"O&amp;M by processes";#N/A,#N/A,FALSE,"Elec Act vs Bud";#N/A,#N/A,FALSE,"G&amp;A";#N/A,#N/A,FALSE,"BGS";#N/A,#N/A,FALSE,"Res Cost"}</definedName>
    <definedName name="supporti" localSheetId="8" hidden="1">{#N/A,#N/A,FALSE,"O&amp;M by processes";#N/A,#N/A,FALSE,"Elec Act vs Bud";#N/A,#N/A,FALSE,"G&amp;A";#N/A,#N/A,FALSE,"BGS";#N/A,#N/A,FALSE,"Res Cost"}</definedName>
    <definedName name="supporti" localSheetId="14" hidden="1">{#N/A,#N/A,FALSE,"O&amp;M by processes";#N/A,#N/A,FALSE,"Elec Act vs Bud";#N/A,#N/A,FALSE,"G&amp;A";#N/A,#N/A,FALSE,"BGS";#N/A,#N/A,FALSE,"Res Cost"}</definedName>
    <definedName name="supporti" localSheetId="15" hidden="1">{#N/A,#N/A,FALSE,"O&amp;M by processes";#N/A,#N/A,FALSE,"Elec Act vs Bud";#N/A,#N/A,FALSE,"G&amp;A";#N/A,#N/A,FALSE,"BGS";#N/A,#N/A,FALSE,"Res Cost"}</definedName>
    <definedName name="supporti" localSheetId="18" hidden="1">{#N/A,#N/A,FALSE,"O&amp;M by processes";#N/A,#N/A,FALSE,"Elec Act vs Bud";#N/A,#N/A,FALSE,"G&amp;A";#N/A,#N/A,FALSE,"BGS";#N/A,#N/A,FALSE,"Res Cost"}</definedName>
    <definedName name="supporti" hidden="1">{#N/A,#N/A,FALSE,"O&amp;M by processes";#N/A,#N/A,FALSE,"Elec Act vs Bud";#N/A,#N/A,FALSE,"G&amp;A";#N/A,#N/A,FALSE,"BGS";#N/A,#N/A,FALSE,"Res Cost"}</definedName>
    <definedName name="svc_costs">#REF!</definedName>
    <definedName name="Swap_Amort">#REF!</definedName>
    <definedName name="Switch_Type">#REF!</definedName>
    <definedName name="Switch_Yard_Configeration">#REF!</definedName>
    <definedName name="Switch_Yard_Configuration">#REF!</definedName>
    <definedName name="SwitchYard">#REF!</definedName>
    <definedName name="Synergy">#REF!</definedName>
    <definedName name="T">#REF!</definedName>
    <definedName name="T1_Civil">#REF!</definedName>
    <definedName name="T1_PEM">#REF!</definedName>
    <definedName name="T2_Civil">#REF!</definedName>
    <definedName name="T2_PEM">#REF!</definedName>
    <definedName name="T5_AMORT">#REF!</definedName>
    <definedName name="T5_COMFEE">#REF!</definedName>
    <definedName name="T5_DEBT">#REF!</definedName>
    <definedName name="T5_FINCFEE">#REF!</definedName>
    <definedName name="T5_GP">#REF!</definedName>
    <definedName name="T5_RATE">#REF!</definedName>
    <definedName name="T5_TERM">#REF!</definedName>
    <definedName name="TABLE">#REF!</definedName>
    <definedName name="Table_Loc">#REF!</definedName>
    <definedName name="Table_of_Contents">#REF!</definedName>
    <definedName name="TableName">"Dummy"</definedName>
    <definedName name="Tacx_Factor">#REF!</definedName>
    <definedName name="Takeoff_Concrete">#REF!</definedName>
    <definedName name="Takeoff_steel">#REF!</definedName>
    <definedName name="Tangent_Arm_Labor">#REF!</definedName>
    <definedName name="Tangent_Arm_Mat">#REF!</definedName>
    <definedName name="Tangent_Dist">#REF!</definedName>
    <definedName name="Tangent_Height">#REF!</definedName>
    <definedName name="TARIFF4">#REF!</definedName>
    <definedName name="TARIFF5">#REF!</definedName>
    <definedName name="TARIFF6">#REF!</definedName>
    <definedName name="Tarrif">#REF!</definedName>
    <definedName name="Task">#REF!</definedName>
    <definedName name="Task2">#REF!</definedName>
    <definedName name="TaskDescr">#REF!</definedName>
    <definedName name="Tax">#REF!</definedName>
    <definedName name="tax_base_on_inc">#REF!</definedName>
    <definedName name="tax_basis">#REF!</definedName>
    <definedName name="Tax_Calculation">#REF!</definedName>
    <definedName name="Tax_Prorations">#REF!</definedName>
    <definedName name="Tax_Rate">#REF!</definedName>
    <definedName name="TaxBasis">#REF!</definedName>
    <definedName name="taxcalc">#REF!</definedName>
    <definedName name="TAXES">#REF!</definedName>
    <definedName name="Taxes____000">#REF!</definedName>
    <definedName name="taxpayc">#REF!</definedName>
    <definedName name="taxpayp">#REF!</definedName>
    <definedName name="TaxRate">#REF!</definedName>
    <definedName name="TaxTfer">#REF!</definedName>
    <definedName name="TB">#REF!</definedName>
    <definedName name="TB_BS">#REF!</definedName>
    <definedName name="TB_PL">#REF!</definedName>
    <definedName name="tbl_festub_ack">#REF!</definedName>
    <definedName name="tbl_festub_details">#REF!</definedName>
    <definedName name="tbl_Payroll_by_BusinessUnit_summary">#REF!</definedName>
    <definedName name="tbl_Payroll_by_corporate_summary">#REF!</definedName>
    <definedName name="tblAutoSelectDimension">#REF!</definedName>
    <definedName name="tblHier_Mod_Date">#REF!</definedName>
    <definedName name="tblSummaryQuantQuery_Combined">#REF!</definedName>
    <definedName name="TC">#REF!</definedName>
    <definedName name="TCF">#REF!</definedName>
    <definedName name="TDS">#REF!</definedName>
    <definedName name="team">#REF!</definedName>
    <definedName name="teast" localSheetId="18" hidden="1">{#N/A,#N/A,TRUE,"TOTAL DSBN";#N/A,#N/A,TRUE,"WEST";#N/A,#N/A,TRUE,"SOUTH";#N/A,#N/A,TRUE,"NORTHEAST"}</definedName>
    <definedName name="teast" hidden="1">{#N/A,#N/A,TRUE,"TOTAL DSBN";#N/A,#N/A,TRUE,"WEST";#N/A,#N/A,TRUE,"SOUTH";#N/A,#N/A,TRUE,"NORTHEAST"}</definedName>
    <definedName name="tec_op_fee">#REF!</definedName>
    <definedName name="Technology">#REF!</definedName>
    <definedName name="tecotaxmeth">#REF!</definedName>
    <definedName name="tedebt_reduct">#REF!</definedName>
    <definedName name="temp" localSheetId="18" hidden="1">{#N/A,#N/A,TRUE,"Task Status";#N/A,#N/A,TRUE,"Document Status";#N/A,#N/A,TRUE,"Percent Complete";#N/A,#N/A,TRUE,"Manhour Sum"}</definedName>
    <definedName name="temp" hidden="1">{#N/A,#N/A,TRUE,"Task Status";#N/A,#N/A,TRUE,"Document Status";#N/A,#N/A,TRUE,"Percent Complete";#N/A,#N/A,TRUE,"Manhour Sum"}</definedName>
    <definedName name="temp1" localSheetId="18" hidden="1">{#N/A,#N/A,TRUE,"Task Status";#N/A,#N/A,TRUE,"Document Status";#N/A,#N/A,TRUE,"Percent Complete";#N/A,#N/A,TRUE,"Manhour Sum"}</definedName>
    <definedName name="temp1" hidden="1">{#N/A,#N/A,TRUE,"Task Status";#N/A,#N/A,TRUE,"Document Status";#N/A,#N/A,TRUE,"Percent Complete";#N/A,#N/A,TRUE,"Manhour Sum"}</definedName>
    <definedName name="temp2" localSheetId="18" hidden="1">{#N/A,#N/A,TRUE,"Task Status";#N/A,#N/A,TRUE,"Document Status";#N/A,#N/A,TRUE,"Percent Complete";#N/A,#N/A,TRUE,"Manhour Sum"}</definedName>
    <definedName name="temp2" hidden="1">{#N/A,#N/A,TRUE,"Task Status";#N/A,#N/A,TRUE,"Document Status";#N/A,#N/A,TRUE,"Percent Complete";#N/A,#N/A,TRUE,"Manhour Sum"}</definedName>
    <definedName name="Temp4">#REF!</definedName>
    <definedName name="TEMPCELL">#REF!</definedName>
    <definedName name="TemplateID1">#REF!</definedName>
    <definedName name="TemplateID2">#REF!</definedName>
    <definedName name="temppt">#REF!,#REF!,#REF!,#REF!,#REF!,#REF!,#REF!,#REF!,#REF!,#REF!,#REF!,#REF!,#REF!,#REF!</definedName>
    <definedName name="Term">#REF!</definedName>
    <definedName name="Term_Loan_Amt">#REF!</definedName>
    <definedName name="Term_Loan_Cmp">#REF!</definedName>
    <definedName name="Term_Loan_DSR_Amt">#REF!</definedName>
    <definedName name="Term_Loan_DSR_Input">#REF!</definedName>
    <definedName name="Term_Loan_End">#REF!</definedName>
    <definedName name="Term_Loan_Input">#REF!</definedName>
    <definedName name="TermYears">#REF!</definedName>
    <definedName name="Terrain_Type">#REF!</definedName>
    <definedName name="Terrain_Use">#REF!</definedName>
    <definedName name="TERRYG">#REF!</definedName>
    <definedName name="test" localSheetId="18" hidden="1">{#N/A,#N/A,TRUE,"Facility-Input";#N/A,#N/A,TRUE,"Graphs";#N/A,#N/A,TRUE,"TOTAL"}</definedName>
    <definedName name="test" hidden="1">{#N/A,#N/A,TRUE,"Facility-Input";#N/A,#N/A,TRUE,"Graphs";#N/A,#N/A,TRUE,"TOTAL"}</definedName>
    <definedName name="TEST_YEAR_DATE">#REF!</definedName>
    <definedName name="TEST_YEAR_X">#REF!</definedName>
    <definedName name="TEST0">#REF!</definedName>
    <definedName name="TEST1">#REF!</definedName>
    <definedName name="TEST10">#REF!</definedName>
    <definedName name="TEST100">#REF!</definedName>
    <definedName name="TEST101">#REF!</definedName>
    <definedName name="TEST102">#REF!</definedName>
    <definedName name="TEST103">#REF!</definedName>
    <definedName name="TEST104">#REF!</definedName>
    <definedName name="TEST105">#REF!</definedName>
    <definedName name="TEST106">#REF!</definedName>
    <definedName name="TEST107">#REF!</definedName>
    <definedName name="TEST108">#REF!</definedName>
    <definedName name="TEST109">#REF!</definedName>
    <definedName name="TEST11">#REF!</definedName>
    <definedName name="TEST110">#REF!</definedName>
    <definedName name="TEST111">#REF!</definedName>
    <definedName name="TEST112">#REF!</definedName>
    <definedName name="TEST113">#REF!</definedName>
    <definedName name="TEST114">#REF!</definedName>
    <definedName name="TEST115">#REF!</definedName>
    <definedName name="TEST116">#REF!</definedName>
    <definedName name="TEST117">#REF!</definedName>
    <definedName name="TEST118">#REF!</definedName>
    <definedName name="TEST119">#REF!</definedName>
    <definedName name="test12" localSheetId="18" hidden="1">{"assumptions",#N/A,FALSE,"Scenario 1";"valuation",#N/A,FALSE,"Scenario 1"}</definedName>
    <definedName name="test12" hidden="1">{"assumptions",#N/A,FALSE,"Scenario 1";"valuation",#N/A,FALSE,"Scenario 1"}</definedName>
    <definedName name="TEST120">#REF!</definedName>
    <definedName name="TEST121">#REF!</definedName>
    <definedName name="TEST122">#REF!</definedName>
    <definedName name="TEST123">#REF!</definedName>
    <definedName name="TEST124">#REF!</definedName>
    <definedName name="TEST125">#REF!</definedName>
    <definedName name="TEST126">#REF!</definedName>
    <definedName name="TEST127">#REF!</definedName>
    <definedName name="TEST128">#REF!</definedName>
    <definedName name="TEST129">#REF!</definedName>
    <definedName name="test13" localSheetId="18" hidden="1">{"LBO Summary",#N/A,FALSE,"Summary"}</definedName>
    <definedName name="test13" hidden="1">{"LBO Summary",#N/A,FALSE,"Summary"}</definedName>
    <definedName name="TEST130">#REF!</definedName>
    <definedName name="TEST131">#REF!</definedName>
    <definedName name="TEST132">#REF!</definedName>
    <definedName name="TEST133">#REF!</definedName>
    <definedName name="TEST134">#REF!</definedName>
    <definedName name="TEST135">#REF!</definedName>
    <definedName name="TEST136">#REF!</definedName>
    <definedName name="TEST137">#REF!</definedName>
    <definedName name="TEST138">#REF!</definedName>
    <definedName name="TEST139">#REF!</definedName>
    <definedName name="test14" localSheetId="18" hidden="1">{"LBO Summary",#N/A,FALSE,"Summary";"Income Statement",#N/A,FALSE,"Model";"Cash Flow",#N/A,FALSE,"Model";"Balance Sheet",#N/A,FALSE,"Model";"Working Capital",#N/A,FALSE,"Model";"Pro Forma Balance Sheets",#N/A,FALSE,"PFBS";"Debt Balances",#N/A,FALSE,"Model";"Fee Schedules",#N/A,FALSE,"Model"}</definedName>
    <definedName name="test14" hidden="1">{"LBO Summary",#N/A,FALSE,"Summary";"Income Statement",#N/A,FALSE,"Model";"Cash Flow",#N/A,FALSE,"Model";"Balance Sheet",#N/A,FALSE,"Model";"Working Capital",#N/A,FALSE,"Model";"Pro Forma Balance Sheets",#N/A,FALSE,"PFBS";"Debt Balances",#N/A,FALSE,"Model";"Fee Schedules",#N/A,FALSE,"Model"}</definedName>
    <definedName name="TEST140">#REF!</definedName>
    <definedName name="TEST141">#REF!</definedName>
    <definedName name="TEST142">#REF!</definedName>
    <definedName name="TEST143">#REF!</definedName>
    <definedName name="TEST144">#REF!</definedName>
    <definedName name="TEST145">#REF!</definedName>
    <definedName name="TEST146">#REF!</definedName>
    <definedName name="TEST147">#REF!</definedName>
    <definedName name="TEST148">#REF!</definedName>
    <definedName name="TEST149">#REF!</definedName>
    <definedName name="test15" localSheetId="18" hidden="1">{"LBO Summary",#N/A,FALSE,"Summary";"Income Statement",#N/A,FALSE,"Model";"Cash Flow",#N/A,FALSE,"Model";"Balance Sheet",#N/A,FALSE,"Model";"Working Capital",#N/A,FALSE,"Model";"Pro Forma Balance Sheets",#N/A,FALSE,"PFBS";"Debt Balances",#N/A,FALSE,"Model";"Fee Schedules",#N/A,FALSE,"Model"}</definedName>
    <definedName name="test15" hidden="1">{"LBO Summary",#N/A,FALSE,"Summary";"Income Statement",#N/A,FALSE,"Model";"Cash Flow",#N/A,FALSE,"Model";"Balance Sheet",#N/A,FALSE,"Model";"Working Capital",#N/A,FALSE,"Model";"Pro Forma Balance Sheets",#N/A,FALSE,"PFBS";"Debt Balances",#N/A,FALSE,"Model";"Fee Schedules",#N/A,FALSE,"Model"}</definedName>
    <definedName name="TEST150">#REF!</definedName>
    <definedName name="TEST151">#REF!</definedName>
    <definedName name="TEST152">#REF!</definedName>
    <definedName name="TEST153">#REF!</definedName>
    <definedName name="TEST154">#REF!</definedName>
    <definedName name="TEST155">#REF!</definedName>
    <definedName name="test16" localSheetId="18" hidden="1">{"LBO Summary",#N/A,FALSE,"Summary";"Income Statement",#N/A,FALSE,"Model";"Cash Flow",#N/A,FALSE,"Model";"Balance Sheet",#N/A,FALSE,"Model";"Working Capital",#N/A,FALSE,"Model";"Pro Forma Balance Sheets",#N/A,FALSE,"PFBS";"Debt Balances",#N/A,FALSE,"Model";"Fee Schedules",#N/A,FALSE,"Model"}</definedName>
    <definedName name="test16" hidden="1">{"LBO Summary",#N/A,FALSE,"Summary";"Income Statement",#N/A,FALSE,"Model";"Cash Flow",#N/A,FALSE,"Model";"Balance Sheet",#N/A,FALSE,"Model";"Working Capital",#N/A,FALSE,"Model";"Pro Forma Balance Sheets",#N/A,FALSE,"PFBS";"Debt Balances",#N/A,FALSE,"Model";"Fee Schedules",#N/A,FALSE,"Model"}</definedName>
    <definedName name="TEST17">#REF!</definedName>
    <definedName name="TEST18">#REF!</definedName>
    <definedName name="TEST19">#REF!</definedName>
    <definedName name="TEST2">#REF!</definedName>
    <definedName name="TEST20">#REF!</definedName>
    <definedName name="TEST21">#REF!</definedName>
    <definedName name="TEST22">#REF!</definedName>
    <definedName name="TEST23">#REF!</definedName>
    <definedName name="TEST24">#REF!</definedName>
    <definedName name="TEST25">#REF!</definedName>
    <definedName name="TEST26">#REF!</definedName>
    <definedName name="TEST27">#REF!</definedName>
    <definedName name="TEST28">#REF!</definedName>
    <definedName name="TEST29">#REF!</definedName>
    <definedName name="TEST3">#REF!</definedName>
    <definedName name="TEST30">#REF!</definedName>
    <definedName name="TEST31">#REF!</definedName>
    <definedName name="TEST32">#REF!</definedName>
    <definedName name="TEST33">#REF!</definedName>
    <definedName name="TEST34">#REF!</definedName>
    <definedName name="TEST35">#REF!</definedName>
    <definedName name="TEST36">#REF!</definedName>
    <definedName name="TEST37">#REF!</definedName>
    <definedName name="TEST38">#REF!</definedName>
    <definedName name="TEST39">#REF!</definedName>
    <definedName name="TEST4">#REF!</definedName>
    <definedName name="TEST40">#REF!</definedName>
    <definedName name="TEST41">#REF!</definedName>
    <definedName name="TEST42">#REF!</definedName>
    <definedName name="TEST43">#REF!</definedName>
    <definedName name="TEST44">#REF!</definedName>
    <definedName name="TEST45">#REF!</definedName>
    <definedName name="TEST46">#REF!</definedName>
    <definedName name="TEST47">#REF!</definedName>
    <definedName name="TEST48">#REF!</definedName>
    <definedName name="TEST49">#REF!</definedName>
    <definedName name="TEST5">#REF!</definedName>
    <definedName name="TEST50">#REF!</definedName>
    <definedName name="TEST51">#REF!</definedName>
    <definedName name="TEST52">#REF!</definedName>
    <definedName name="TEST53">#REF!</definedName>
    <definedName name="TEST54">#REF!</definedName>
    <definedName name="TEST55">#REF!</definedName>
    <definedName name="TEST56">#REF!</definedName>
    <definedName name="TEST57">#REF!</definedName>
    <definedName name="TEST58">#REF!</definedName>
    <definedName name="TEST59">#REF!</definedName>
    <definedName name="TEST6">#REF!</definedName>
    <definedName name="TEST60">#REF!</definedName>
    <definedName name="TEST61">#REF!</definedName>
    <definedName name="TEST62">#REF!</definedName>
    <definedName name="TEST63">#REF!</definedName>
    <definedName name="TEST64">#REF!</definedName>
    <definedName name="TEST65">#REF!</definedName>
    <definedName name="TEST66">#REF!</definedName>
    <definedName name="TEST67">#REF!</definedName>
    <definedName name="TEST68">#REF!</definedName>
    <definedName name="TEST69">#REF!</definedName>
    <definedName name="TEST7">#REF!</definedName>
    <definedName name="TEST70">#REF!</definedName>
    <definedName name="TEST71">#REF!</definedName>
    <definedName name="TEST72">#REF!</definedName>
    <definedName name="TEST73">#REF!</definedName>
    <definedName name="TEST74">#REF!</definedName>
    <definedName name="TEST75">#REF!</definedName>
    <definedName name="TEST76">#REF!</definedName>
    <definedName name="TEST77">#REF!</definedName>
    <definedName name="TEST78">#REF!</definedName>
    <definedName name="TEST79">#REF!</definedName>
    <definedName name="TEST8">#REF!</definedName>
    <definedName name="TEST80">#REF!</definedName>
    <definedName name="TEST81">#REF!</definedName>
    <definedName name="TEST82">#REF!</definedName>
    <definedName name="TEST83">#REF!</definedName>
    <definedName name="TEST84">#REF!</definedName>
    <definedName name="TEST85">#REF!</definedName>
    <definedName name="TEST86">#REF!</definedName>
    <definedName name="TEST87">#REF!</definedName>
    <definedName name="TEST88">#REF!</definedName>
    <definedName name="TEST89">#REF!</definedName>
    <definedName name="TEST9">#REF!</definedName>
    <definedName name="TEST90">#REF!</definedName>
    <definedName name="TEST91">#REF!</definedName>
    <definedName name="TEST92">#REF!</definedName>
    <definedName name="TEST93">#REF!</definedName>
    <definedName name="TEST94">#REF!</definedName>
    <definedName name="TEST95">#REF!</definedName>
    <definedName name="TEST96">#REF!</definedName>
    <definedName name="TEST97">#REF!</definedName>
    <definedName name="TEST98">#REF!</definedName>
    <definedName name="TEST99">#REF!</definedName>
    <definedName name="TestAdd">"Test RefersTo1"</definedName>
    <definedName name="TESTHKEY">#REF!</definedName>
    <definedName name="testing" localSheetId="18" hidden="1">{"detail305",#N/A,FALSE,"BI-305"}</definedName>
    <definedName name="testing" hidden="1">{"detail305",#N/A,FALSE,"BI-305"}</definedName>
    <definedName name="TESTKEYS">#REF!</definedName>
    <definedName name="TESTVKEY">#REF!</definedName>
    <definedName name="TESTVKEY2">#REF!</definedName>
    <definedName name="TextRefCopy1">#REF!</definedName>
    <definedName name="TextRefCopy10">#REF!</definedName>
    <definedName name="TextRefCopy11">#REF!</definedName>
    <definedName name="TextRefCopy12">#REF!</definedName>
    <definedName name="TextRefCopy13">#REF!</definedName>
    <definedName name="TextRefCopy14">#REF!</definedName>
    <definedName name="TextRefCopy15">#REF!</definedName>
    <definedName name="TextRefCopy16">#REF!</definedName>
    <definedName name="TextRefCopy17">#REF!</definedName>
    <definedName name="TextRefCopy18">#REF!</definedName>
    <definedName name="TextRefCopy19">#REF!</definedName>
    <definedName name="TextRefCopy2">#REF!</definedName>
    <definedName name="TextRefCopy20">#REF!</definedName>
    <definedName name="TextRefCopy21">#REF!</definedName>
    <definedName name="TextRefCopy22">#REF!</definedName>
    <definedName name="TextRefCopy23">#REF!</definedName>
    <definedName name="TextRefCopy24">#REF!</definedName>
    <definedName name="TextRefCopy25">#REF!</definedName>
    <definedName name="TextRefCopy26">#REF!</definedName>
    <definedName name="TextRefCopy27">#REF!</definedName>
    <definedName name="TextRefCopy28">#REF!</definedName>
    <definedName name="TextRefCopy29">#REF!</definedName>
    <definedName name="TextRefCopy3">#REF!</definedName>
    <definedName name="TextRefCopy30">#REF!</definedName>
    <definedName name="TextRefCopy31">#REF!</definedName>
    <definedName name="TextRefCopy32">#REF!</definedName>
    <definedName name="TextRefCopy33">#REF!</definedName>
    <definedName name="TextRefCopy34">#REF!</definedName>
    <definedName name="TextRefCopy35">#REF!</definedName>
    <definedName name="TextRefCopy36">#REF!</definedName>
    <definedName name="TextRefCopy37">#REF!</definedName>
    <definedName name="TextRefCopy38">#REF!</definedName>
    <definedName name="TextRefCopy39">#REF!</definedName>
    <definedName name="TextRefCopy4">#REF!</definedName>
    <definedName name="TextRefCopy40">#REF!</definedName>
    <definedName name="TextRefCopy41">#REF!</definedName>
    <definedName name="TextRefCopy42">#REF!</definedName>
    <definedName name="TextRefCopy43">#REF!</definedName>
    <definedName name="TextRefCopy44">#REF!</definedName>
    <definedName name="TextRefCopy45">#REF!</definedName>
    <definedName name="TextRefCopy46">#REF!</definedName>
    <definedName name="TextRefCopy47">#REF!</definedName>
    <definedName name="TextRefCopy48">#REF!</definedName>
    <definedName name="TextRefCopy49">#REF!</definedName>
    <definedName name="TextRefCopy5">#REF!</definedName>
    <definedName name="TextRefCopy50">#REF!</definedName>
    <definedName name="TextRefCopy51">#REF!</definedName>
    <definedName name="TextRefCopy52">#REF!</definedName>
    <definedName name="TextRefCopy53">#REF!</definedName>
    <definedName name="TextRefCopy54">#REF!</definedName>
    <definedName name="TextRefCopy55">#REF!</definedName>
    <definedName name="TextRefCopy56">#REF!</definedName>
    <definedName name="TextRefCopy57">#REF!</definedName>
    <definedName name="TextRefCopy58">#REF!</definedName>
    <definedName name="TextRefCopy59">#REF!</definedName>
    <definedName name="TextRefCopy6">#REF!</definedName>
    <definedName name="TextRefCopy60">#REF!</definedName>
    <definedName name="TextRefCopy61">#REF!</definedName>
    <definedName name="TextRefCopy62">#REF!</definedName>
    <definedName name="TextRefCopy63">#REF!</definedName>
    <definedName name="TextRefCopy64">#REF!</definedName>
    <definedName name="TextRefCopy65">#REF!</definedName>
    <definedName name="TextRefCopy66">#REF!</definedName>
    <definedName name="TextRefCopy67">#REF!</definedName>
    <definedName name="TextRefCopy68">#REF!</definedName>
    <definedName name="TextRefCopy69">#REF!</definedName>
    <definedName name="TextRefCopy7">#REF!</definedName>
    <definedName name="TextRefCopy70">#REF!</definedName>
    <definedName name="TextRefCopy71">#REF!</definedName>
    <definedName name="TextRefCopy72">#REF!</definedName>
    <definedName name="TextRefCopy73">#REF!</definedName>
    <definedName name="TextRefCopy74">#REF!</definedName>
    <definedName name="TextRefCopy75">#REF!</definedName>
    <definedName name="TextRefCopy77">#REF!</definedName>
    <definedName name="TextRefCopy8">#REF!</definedName>
    <definedName name="TextRefCopy80">#REF!</definedName>
    <definedName name="TextRefCopy82">#REF!</definedName>
    <definedName name="TextRefCopy84">#REF!</definedName>
    <definedName name="TextRefCopy89">#REF!</definedName>
    <definedName name="TextRefCopy9">#REF!</definedName>
    <definedName name="TextRefCopy94">#REF!</definedName>
    <definedName name="TextRefCopy96">#REF!</definedName>
    <definedName name="TextRefCopy97">#REF!</definedName>
    <definedName name="TextRefCopyRangeCount" hidden="1">99</definedName>
    <definedName name="TFP">#REF!</definedName>
    <definedName name="The_accompanying">#REF!</definedName>
    <definedName name="thousand">1000</definedName>
    <definedName name="TI">#REF!</definedName>
    <definedName name="Ticker">""</definedName>
    <definedName name="Time" hidden="1">"b1"</definedName>
    <definedName name="title">#REF!</definedName>
    <definedName name="TITLES">#REF!</definedName>
    <definedName name="TK">#REF!</definedName>
    <definedName name="TLINE_MI">#REF!</definedName>
    <definedName name="TO">#REF!</definedName>
    <definedName name="TOC">#REF!</definedName>
    <definedName name="TOKYO">#REF!</definedName>
    <definedName name="toma" localSheetId="8" hidden="1">{#N/A,#N/A,FALSE,"O&amp;M by processes";#N/A,#N/A,FALSE,"Elec Act vs Bud";#N/A,#N/A,FALSE,"G&amp;A";#N/A,#N/A,FALSE,"BGS";#N/A,#N/A,FALSE,"Res Cost"}</definedName>
    <definedName name="toma" localSheetId="14" hidden="1">{#N/A,#N/A,FALSE,"O&amp;M by processes";#N/A,#N/A,FALSE,"Elec Act vs Bud";#N/A,#N/A,FALSE,"G&amp;A";#N/A,#N/A,FALSE,"BGS";#N/A,#N/A,FALSE,"Res Cost"}</definedName>
    <definedName name="toma" localSheetId="15" hidden="1">{#N/A,#N/A,FALSE,"O&amp;M by processes";#N/A,#N/A,FALSE,"Elec Act vs Bud";#N/A,#N/A,FALSE,"G&amp;A";#N/A,#N/A,FALSE,"BGS";#N/A,#N/A,FALSE,"Res Cost"}</definedName>
    <definedName name="toma" localSheetId="18" hidden="1">{#N/A,#N/A,FALSE,"O&amp;M by processes";#N/A,#N/A,FALSE,"Elec Act vs Bud";#N/A,#N/A,FALSE,"G&amp;A";#N/A,#N/A,FALSE,"BGS";#N/A,#N/A,FALSE,"Res Cost"}</definedName>
    <definedName name="toma" hidden="1">{#N/A,#N/A,FALSE,"O&amp;M by processes";#N/A,#N/A,FALSE,"Elec Act vs Bud";#N/A,#N/A,FALSE,"G&amp;A";#N/A,#N/A,FALSE,"BGS";#N/A,#N/A,FALSE,"Res Cost"}</definedName>
    <definedName name="tomb" localSheetId="8" hidden="1">{#N/A,#N/A,FALSE,"O&amp;M by processes";#N/A,#N/A,FALSE,"Elec Act vs Bud";#N/A,#N/A,FALSE,"G&amp;A";#N/A,#N/A,FALSE,"BGS";#N/A,#N/A,FALSE,"Res Cost"}</definedName>
    <definedName name="tomb" localSheetId="14" hidden="1">{#N/A,#N/A,FALSE,"O&amp;M by processes";#N/A,#N/A,FALSE,"Elec Act vs Bud";#N/A,#N/A,FALSE,"G&amp;A";#N/A,#N/A,FALSE,"BGS";#N/A,#N/A,FALSE,"Res Cost"}</definedName>
    <definedName name="tomb" localSheetId="15" hidden="1">{#N/A,#N/A,FALSE,"O&amp;M by processes";#N/A,#N/A,FALSE,"Elec Act vs Bud";#N/A,#N/A,FALSE,"G&amp;A";#N/A,#N/A,FALSE,"BGS";#N/A,#N/A,FALSE,"Res Cost"}</definedName>
    <definedName name="tomb" localSheetId="18" hidden="1">{#N/A,#N/A,FALSE,"O&amp;M by processes";#N/A,#N/A,FALSE,"Elec Act vs Bud";#N/A,#N/A,FALSE,"G&amp;A";#N/A,#N/A,FALSE,"BGS";#N/A,#N/A,FALSE,"Res Cost"}</definedName>
    <definedName name="tomb" hidden="1">{#N/A,#N/A,FALSE,"O&amp;M by processes";#N/A,#N/A,FALSE,"Elec Act vs Bud";#N/A,#N/A,FALSE,"G&amp;A";#N/A,#N/A,FALSE,"BGS";#N/A,#N/A,FALSE,"Res Cost"}</definedName>
    <definedName name="tomc" localSheetId="8" hidden="1">{#N/A,#N/A,FALSE,"O&amp;M by processes";#N/A,#N/A,FALSE,"Elec Act vs Bud";#N/A,#N/A,FALSE,"G&amp;A";#N/A,#N/A,FALSE,"BGS";#N/A,#N/A,FALSE,"Res Cost"}</definedName>
    <definedName name="tomc" localSheetId="14" hidden="1">{#N/A,#N/A,FALSE,"O&amp;M by processes";#N/A,#N/A,FALSE,"Elec Act vs Bud";#N/A,#N/A,FALSE,"G&amp;A";#N/A,#N/A,FALSE,"BGS";#N/A,#N/A,FALSE,"Res Cost"}</definedName>
    <definedName name="tomc" localSheetId="15" hidden="1">{#N/A,#N/A,FALSE,"O&amp;M by processes";#N/A,#N/A,FALSE,"Elec Act vs Bud";#N/A,#N/A,FALSE,"G&amp;A";#N/A,#N/A,FALSE,"BGS";#N/A,#N/A,FALSE,"Res Cost"}</definedName>
    <definedName name="tomc" localSheetId="18" hidden="1">{#N/A,#N/A,FALSE,"O&amp;M by processes";#N/A,#N/A,FALSE,"Elec Act vs Bud";#N/A,#N/A,FALSE,"G&amp;A";#N/A,#N/A,FALSE,"BGS";#N/A,#N/A,FALSE,"Res Cost"}</definedName>
    <definedName name="tomc" hidden="1">{#N/A,#N/A,FALSE,"O&amp;M by processes";#N/A,#N/A,FALSE,"Elec Act vs Bud";#N/A,#N/A,FALSE,"G&amp;A";#N/A,#N/A,FALSE,"BGS";#N/A,#N/A,FALSE,"Res Cost"}</definedName>
    <definedName name="tomd" localSheetId="8" hidden="1">{#N/A,#N/A,FALSE,"O&amp;M by processes";#N/A,#N/A,FALSE,"Elec Act vs Bud";#N/A,#N/A,FALSE,"G&amp;A";#N/A,#N/A,FALSE,"BGS";#N/A,#N/A,FALSE,"Res Cost"}</definedName>
    <definedName name="tomd" localSheetId="14" hidden="1">{#N/A,#N/A,FALSE,"O&amp;M by processes";#N/A,#N/A,FALSE,"Elec Act vs Bud";#N/A,#N/A,FALSE,"G&amp;A";#N/A,#N/A,FALSE,"BGS";#N/A,#N/A,FALSE,"Res Cost"}</definedName>
    <definedName name="tomd" localSheetId="15" hidden="1">{#N/A,#N/A,FALSE,"O&amp;M by processes";#N/A,#N/A,FALSE,"Elec Act vs Bud";#N/A,#N/A,FALSE,"G&amp;A";#N/A,#N/A,FALSE,"BGS";#N/A,#N/A,FALSE,"Res Cost"}</definedName>
    <definedName name="tomd" localSheetId="18" hidden="1">{#N/A,#N/A,FALSE,"O&amp;M by processes";#N/A,#N/A,FALSE,"Elec Act vs Bud";#N/A,#N/A,FALSE,"G&amp;A";#N/A,#N/A,FALSE,"BGS";#N/A,#N/A,FALSE,"Res Cost"}</definedName>
    <definedName name="tomd" hidden="1">{#N/A,#N/A,FALSE,"O&amp;M by processes";#N/A,#N/A,FALSE,"Elec Act vs Bud";#N/A,#N/A,FALSE,"G&amp;A";#N/A,#N/A,FALSE,"BGS";#N/A,#N/A,FALSE,"Res Cost"}</definedName>
    <definedName name="tomx" localSheetId="8" hidden="1">{#N/A,#N/A,FALSE,"O&amp;M by processes";#N/A,#N/A,FALSE,"Elec Act vs Bud";#N/A,#N/A,FALSE,"G&amp;A";#N/A,#N/A,FALSE,"BGS";#N/A,#N/A,FALSE,"Res Cost"}</definedName>
    <definedName name="tomx" localSheetId="14" hidden="1">{#N/A,#N/A,FALSE,"O&amp;M by processes";#N/A,#N/A,FALSE,"Elec Act vs Bud";#N/A,#N/A,FALSE,"G&amp;A";#N/A,#N/A,FALSE,"BGS";#N/A,#N/A,FALSE,"Res Cost"}</definedName>
    <definedName name="tomx" localSheetId="15" hidden="1">{#N/A,#N/A,FALSE,"O&amp;M by processes";#N/A,#N/A,FALSE,"Elec Act vs Bud";#N/A,#N/A,FALSE,"G&amp;A";#N/A,#N/A,FALSE,"BGS";#N/A,#N/A,FALSE,"Res Cost"}</definedName>
    <definedName name="tomx" localSheetId="18" hidden="1">{#N/A,#N/A,FALSE,"O&amp;M by processes";#N/A,#N/A,FALSE,"Elec Act vs Bud";#N/A,#N/A,FALSE,"G&amp;A";#N/A,#N/A,FALSE,"BGS";#N/A,#N/A,FALSE,"Res Cost"}</definedName>
    <definedName name="tomx" hidden="1">{#N/A,#N/A,FALSE,"O&amp;M by processes";#N/A,#N/A,FALSE,"Elec Act vs Bud";#N/A,#N/A,FALSE,"G&amp;A";#N/A,#N/A,FALSE,"BGS";#N/A,#N/A,FALSE,"Res Cost"}</definedName>
    <definedName name="tomy" localSheetId="8" hidden="1">{#N/A,#N/A,FALSE,"O&amp;M by processes";#N/A,#N/A,FALSE,"Elec Act vs Bud";#N/A,#N/A,FALSE,"G&amp;A";#N/A,#N/A,FALSE,"BGS";#N/A,#N/A,FALSE,"Res Cost"}</definedName>
    <definedName name="tomy" localSheetId="14" hidden="1">{#N/A,#N/A,FALSE,"O&amp;M by processes";#N/A,#N/A,FALSE,"Elec Act vs Bud";#N/A,#N/A,FALSE,"G&amp;A";#N/A,#N/A,FALSE,"BGS";#N/A,#N/A,FALSE,"Res Cost"}</definedName>
    <definedName name="tomy" localSheetId="15" hidden="1">{#N/A,#N/A,FALSE,"O&amp;M by processes";#N/A,#N/A,FALSE,"Elec Act vs Bud";#N/A,#N/A,FALSE,"G&amp;A";#N/A,#N/A,FALSE,"BGS";#N/A,#N/A,FALSE,"Res Cost"}</definedName>
    <definedName name="tomy" localSheetId="18" hidden="1">{#N/A,#N/A,FALSE,"O&amp;M by processes";#N/A,#N/A,FALSE,"Elec Act vs Bud";#N/A,#N/A,FALSE,"G&amp;A";#N/A,#N/A,FALSE,"BGS";#N/A,#N/A,FALSE,"Res Cost"}</definedName>
    <definedName name="tomy" hidden="1">{#N/A,#N/A,FALSE,"O&amp;M by processes";#N/A,#N/A,FALSE,"Elec Act vs Bud";#N/A,#N/A,FALSE,"G&amp;A";#N/A,#N/A,FALSE,"BGS";#N/A,#N/A,FALSE,"Res Cost"}</definedName>
    <definedName name="tomz" localSheetId="8" hidden="1">{#N/A,#N/A,FALSE,"O&amp;M by processes";#N/A,#N/A,FALSE,"Elec Act vs Bud";#N/A,#N/A,FALSE,"G&amp;A";#N/A,#N/A,FALSE,"BGS";#N/A,#N/A,FALSE,"Res Cost"}</definedName>
    <definedName name="tomz" localSheetId="14" hidden="1">{#N/A,#N/A,FALSE,"O&amp;M by processes";#N/A,#N/A,FALSE,"Elec Act vs Bud";#N/A,#N/A,FALSE,"G&amp;A";#N/A,#N/A,FALSE,"BGS";#N/A,#N/A,FALSE,"Res Cost"}</definedName>
    <definedName name="tomz" localSheetId="15" hidden="1">{#N/A,#N/A,FALSE,"O&amp;M by processes";#N/A,#N/A,FALSE,"Elec Act vs Bud";#N/A,#N/A,FALSE,"G&amp;A";#N/A,#N/A,FALSE,"BGS";#N/A,#N/A,FALSE,"Res Cost"}</definedName>
    <definedName name="tomz" localSheetId="18" hidden="1">{#N/A,#N/A,FALSE,"O&amp;M by processes";#N/A,#N/A,FALSE,"Elec Act vs Bud";#N/A,#N/A,FALSE,"G&amp;A";#N/A,#N/A,FALSE,"BGS";#N/A,#N/A,FALSE,"Res Cost"}</definedName>
    <definedName name="tomz" hidden="1">{#N/A,#N/A,FALSE,"O&amp;M by processes";#N/A,#N/A,FALSE,"Elec Act vs Bud";#N/A,#N/A,FALSE,"G&amp;A";#N/A,#N/A,FALSE,"BGS";#N/A,#N/A,FALSE,"Res Cost"}</definedName>
    <definedName name="TOP">#REF!</definedName>
    <definedName name="tot_ded">#REF!</definedName>
    <definedName name="Tota_Deferred">#REF!</definedName>
    <definedName name="total">#REF!</definedName>
    <definedName name="Total__Kilowatts">#REF!</definedName>
    <definedName name="TOTAL_COLUMBIANA">#REF!</definedName>
    <definedName name="Total_Grove_City">#REF!</definedName>
    <definedName name="TOTAL_HUDSON">#REF!</definedName>
    <definedName name="TOTAL_ITC">#REF!</definedName>
    <definedName name="Total_LI_Cost">#REF!</definedName>
    <definedName name="TOTAL_MONTPELIER">#REF!</definedName>
    <definedName name="Total_Release_Price">#REF!</definedName>
    <definedName name="Total_Sales_Price">#REF!</definedName>
    <definedName name="total_Turbines">#REF!</definedName>
    <definedName name="TOTAL_WOODVILLE">#REF!</definedName>
    <definedName name="TotalEquity">#REF!</definedName>
    <definedName name="TOTALO_M">#REF!</definedName>
    <definedName name="totaltrans">#REF!</definedName>
    <definedName name="TotCoInv1stQ">#REF!</definedName>
    <definedName name="TOTCON">#REF!</definedName>
    <definedName name="TOTCUR">#REF!</definedName>
    <definedName name="totdepr">#REF!</definedName>
    <definedName name="TotInv1stQ">#REF!</definedName>
    <definedName name="TPCF">#REF!</definedName>
    <definedName name="TR">#REF!</definedName>
    <definedName name="Trading_Assets_Book_Basis">#REF!</definedName>
    <definedName name="Trading_Assets_Gross_Proceeds">#REF!</definedName>
    <definedName name="Transaction_Fee">#REF!</definedName>
    <definedName name="Transallo">#REF!</definedName>
    <definedName name="TransferListDG">#REF!</definedName>
    <definedName name="Transition">#REF!</definedName>
    <definedName name="Transition_Labor">#REF!</definedName>
    <definedName name="Transm_Prop_Tax">#REF!</definedName>
    <definedName name="trd" hidden="1">"482RCYR3X4CO6WX6MKKSR9X4J"</definedName>
    <definedName name="TRGT">#REF!</definedName>
    <definedName name="TRGT_Current_Share_Price">#REF!</definedName>
    <definedName name="TRGT_Shares_Outstanding">#REF!</definedName>
    <definedName name="Trial4_Account_Numbers">#REF!</definedName>
    <definedName name="Trial4_Column_1">#REF!</definedName>
    <definedName name="Trial4_Column_2">#REF!</definedName>
    <definedName name="Trial4_Column_3">#REF!</definedName>
    <definedName name="Trial4_Column_4">#REF!</definedName>
    <definedName name="Trial5_AC_Numbers">#REF!</definedName>
    <definedName name="Trial5_Column_1">#REF!</definedName>
    <definedName name="Trial5_Column_2">#REF!</definedName>
    <definedName name="Trial5_Column_3">#REF!</definedName>
    <definedName name="Trial5_Column_4">#REF!</definedName>
    <definedName name="TTDesiredLevelOfEvidenceItems">#REF!</definedName>
    <definedName name="ttt" localSheetId="18" hidden="1">{#N/A,#N/A,FALSE,"INPUTDATA";#N/A,#N/A,FALSE,"SUMMARY";#N/A,#N/A,FALSE,"CTAREP";#N/A,#N/A,FALSE,"CTBREP";#N/A,#N/A,FALSE,"PMG4ST86";#N/A,#N/A,FALSE,"TURBEFF";#N/A,#N/A,FALSE,"Condenser Performance"}</definedName>
    <definedName name="ttt" hidden="1">{#N/A,#N/A,FALSE,"INPUTDATA";#N/A,#N/A,FALSE,"SUMMARY";#N/A,#N/A,FALSE,"CTAREP";#N/A,#N/A,FALSE,"CTBREP";#N/A,#N/A,FALSE,"PMG4ST86";#N/A,#N/A,FALSE,"TURBEFF";#N/A,#N/A,FALSE,"Condenser Performance"}</definedName>
    <definedName name="Turb_Clark_Cielo">#REF!</definedName>
    <definedName name="Turb_Clark_NonCielo">#REF!</definedName>
    <definedName name="Turb_NonCielo">#REF!</definedName>
    <definedName name="TurbChoice">IF(#REF!&lt;&gt;1,#REF!,12)</definedName>
    <definedName name="Turbine_Bruno">#REF!</definedName>
    <definedName name="Turbine_Capacity">#REF!</definedName>
    <definedName name="Turbine_Clark_Cielo">#REF!</definedName>
    <definedName name="Turbine_Cowden">#REF!</definedName>
    <definedName name="turbine_CSW">#REF!</definedName>
    <definedName name="Turbine_Terry">#REF!</definedName>
    <definedName name="Turbine_Wooley">#REF!</definedName>
    <definedName name="TurbineRating">#REF!</definedName>
    <definedName name="Turbines_CSW">#REF!</definedName>
    <definedName name="TURNDOWN">#REF!</definedName>
    <definedName name="TURNER">#REF!</definedName>
    <definedName name="Turner2">#REF!</definedName>
    <definedName name="Turns">#REF!</definedName>
    <definedName name="TWO">#REF!</definedName>
    <definedName name="TwoStepMisstatementIdentified">#REF!</definedName>
    <definedName name="TwoStepTolerableEstMisstmtCalc">#REF!</definedName>
    <definedName name="TWP_Lease_Rate">#REF!</definedName>
    <definedName name="TWP_Turbines">#REF!</definedName>
    <definedName name="tx_roll_cy">#REF!</definedName>
    <definedName name="tx_roll_cy_1">#REF!</definedName>
    <definedName name="tx_roll_py">#REF!</definedName>
    <definedName name="tx_roll_py_1">#REF!</definedName>
    <definedName name="Type">#REF!</definedName>
    <definedName name="TYPEOFENTITY">OFFSET(#REF!,0,0,COUNTA(#REF!),1)</definedName>
    <definedName name="TYPEOFPROPERTY">OFFSET(#REF!,0,0,COUNTA(#REF!),1)</definedName>
    <definedName name="Typist" hidden="1">"b1"</definedName>
    <definedName name="u">#REF!</definedName>
    <definedName name="UG_Amps">#REF!</definedName>
    <definedName name="UG_DB">#REF!</definedName>
    <definedName name="UG_Material">#REF!</definedName>
    <definedName name="UG_Material_Selection">#REF!</definedName>
    <definedName name="UG_Spacing">#REF!</definedName>
    <definedName name="UG_Type">#REF!</definedName>
    <definedName name="UINP7">#REF!</definedName>
    <definedName name="underbuildkV">#REF!</definedName>
    <definedName name="Underground_Cable">#REF!</definedName>
    <definedName name="Underground_Cable_Cu">#REF!</definedName>
    <definedName name="Underground_Cable_Labor">#REF!</definedName>
    <definedName name="Underground_Cable_Labor_Cu">#REF!</definedName>
    <definedName name="Underground_Columns">#REF!</definedName>
    <definedName name="Underground_Splice">#REF!</definedName>
    <definedName name="Underground_Splice_Cu">#REF!</definedName>
    <definedName name="Underground_Splice_Labor">#REF!</definedName>
    <definedName name="Underground_Splice_Labor_Cu">#REF!</definedName>
    <definedName name="Underground_Valuts_Labor">#REF!</definedName>
    <definedName name="Underground_Vaults">#REF!</definedName>
    <definedName name="Underground_Vaults_Labor">#REF!</definedName>
    <definedName name="Union">#REF!</definedName>
    <definedName name="UNIT">#REF!</definedName>
    <definedName name="UnitCapLookup">#REF!</definedName>
    <definedName name="UNITS">#REF!</definedName>
    <definedName name="unittype">#REF!</definedName>
    <definedName name="unlock_NonOp">#REF!,#REF!,#REF!,#REF!</definedName>
    <definedName name="uod" localSheetId="18" hidden="1">{"detail305",#N/A,FALSE,"BI-305"}</definedName>
    <definedName name="uod" hidden="1">{"detail305",#N/A,FALSE,"BI-305"}</definedName>
    <definedName name="UOMColumn1">#REF!</definedName>
    <definedName name="UOMColumn2">#REF!</definedName>
    <definedName name="Upgrade">#REF!</definedName>
    <definedName name="Urban_Tax">#REF!</definedName>
    <definedName name="USD">#REF!</definedName>
    <definedName name="USDVol1">#REF!</definedName>
    <definedName name="USDVol2">#REF!</definedName>
    <definedName name="user_gas">#REF!</definedName>
    <definedName name="USER_NAME">#N/A</definedName>
    <definedName name="username">#REF!</definedName>
    <definedName name="UserNameCopy">#REF!</definedName>
    <definedName name="UserNameDG">#REF!</definedName>
    <definedName name="USForeign">OFFSET(#REF!,0,0,COUNTA(#REF!),1)</definedName>
    <definedName name="Utilities">#REF!</definedName>
    <definedName name="utjentry">#REF!</definedName>
    <definedName name="v" localSheetId="18" hidden="1">{"Complete Budget",#N/A,FALSE,"Title";"Complete budget",#N/A,FALSE,"Accrual Summary";"Complete budget",#N/A,FALSE,"Accrual-Detail";"Complete budget",#N/A,FALSE,"Accrual-Captions";"Complete budget",#N/A,FALSE,"Accrual-GL Level";"Complete budget",#N/A,FALSE,"Cash Summary";"Complete budget",#N/A,FALSE,"Cash-Detail";"Complete budget",#N/A,FALSE,"Cash-Captions";"Complete budget",#N/A,FALSE,"Cash-GL Level";"Complete budget",#N/A,FALSE,"Production";"Complete budget",#N/A,FALSE,"5year support";"Complete budget",#N/A,FALSE,"Support";"Complete budget",#N/A,FALSE,"AvoidedCost";"Complete budget",#N/A,FALSE,"PowerPrices";"Complete budget",#N/A,FALSE,"GasPrices";"Complete budget",#N/A,FALSE,"Assumptions&amp;Notes";"Complete Budget",#N/A,FALSE,"Debt Covenants";"Complete Budget",#N/A,FALSE,"Accrual Analysis"}</definedName>
    <definedName name="v" hidden="1">{"Complete Budget",#N/A,FALSE,"Title";"Complete budget",#N/A,FALSE,"Accrual Summary";"Complete budget",#N/A,FALSE,"Accrual-Detail";"Complete budget",#N/A,FALSE,"Accrual-Captions";"Complete budget",#N/A,FALSE,"Accrual-GL Level";"Complete budget",#N/A,FALSE,"Cash Summary";"Complete budget",#N/A,FALSE,"Cash-Detail";"Complete budget",#N/A,FALSE,"Cash-Captions";"Complete budget",#N/A,FALSE,"Cash-GL Level";"Complete budget",#N/A,FALSE,"Production";"Complete budget",#N/A,FALSE,"5year support";"Complete budget",#N/A,FALSE,"Support";"Complete budget",#N/A,FALSE,"AvoidedCost";"Complete budget",#N/A,FALSE,"PowerPrices";"Complete budget",#N/A,FALSE,"GasPrices";"Complete budget",#N/A,FALSE,"Assumptions&amp;Notes";"Complete Budget",#N/A,FALSE,"Debt Covenants";"Complete Budget",#N/A,FALSE,"Accrual Analysis"}</definedName>
    <definedName name="valDate">#REF!</definedName>
    <definedName name="Valuations">#REF!</definedName>
    <definedName name="Value" localSheetId="18" hidden="1">{"assumptions",#N/A,FALSE,"Scenario 1";"valuation",#N/A,FALSE,"Scenario 1"}</definedName>
    <definedName name="Value" hidden="1">{"assumptions",#N/A,FALSE,"Scenario 1";"valuation",#N/A,FALSE,"Scenario 1"}</definedName>
    <definedName name="Value_Only_File">#REF!</definedName>
    <definedName name="value1" localSheetId="18" hidden="1">{#N/A,#N/A,FALSE,"Cashflow Analysis";#N/A,#N/A,FALSE,"Sensitivity Analysis";#N/A,#N/A,FALSE,"PV";#N/A,#N/A,FALSE,"Pro Forma"}</definedName>
    <definedName name="value1" hidden="1">{#N/A,#N/A,FALSE,"Cashflow Analysis";#N/A,#N/A,FALSE,"Sensitivity Analysis";#N/A,#N/A,FALSE,"PV";#N/A,#N/A,FALSE,"Pro Forma"}</definedName>
    <definedName name="ValueColumn1">#REF!</definedName>
    <definedName name="ValueColumn2">#REF!</definedName>
    <definedName name="VapourProps">#REF!</definedName>
    <definedName name="VAR_Equip_Type">#REF!</definedName>
    <definedName name="Var_Exp">#REF!</definedName>
    <definedName name="Var_Exp_Rate">#REF!</definedName>
    <definedName name="Var_MM_EOH_Price">#REF!</definedName>
    <definedName name="Var_MM_Rec">#REF!</definedName>
    <definedName name="VAROUTPUT">#REF!</definedName>
    <definedName name="VAT">#REF!</definedName>
    <definedName name="VBA_Case_Num">#REF!,#REF!,#REF!</definedName>
    <definedName name="vba_GIOptVOM">#REF!,#REF!,#REF!</definedName>
    <definedName name="VBA_PrevVals">#REF!,#REF!,#REF!,#REF!,#REF!</definedName>
    <definedName name="VBA_TOC_Clear">#REF!,#REF!</definedName>
    <definedName name="VBA_WACC">#REF!</definedName>
    <definedName name="Version" hidden="1">"a1"</definedName>
    <definedName name="versionno">"1.0"</definedName>
    <definedName name="vgtl" localSheetId="18" hidden="1">{#N/A,#N/A,FALSE,"INPUTDATA";#N/A,#N/A,FALSE,"SUMMARY"}</definedName>
    <definedName name="vgtl" hidden="1">{#N/A,#N/A,FALSE,"INPUTDATA";#N/A,#N/A,FALSE,"SUMMARY"}</definedName>
    <definedName name="victtxinc">#REF!</definedName>
    <definedName name="VO_M">#REF!</definedName>
    <definedName name="Voltage">#REF!</definedName>
    <definedName name="Voltage_pick">#REF!</definedName>
    <definedName name="Voltage_Regulator_kVA">#REF!</definedName>
    <definedName name="Voltage_Regulator_Voltage">#REF!</definedName>
    <definedName name="Voltage_Regulators">#REF!</definedName>
    <definedName name="VolumeEsc">#REF!</definedName>
    <definedName name="votingshare">#REF!</definedName>
    <definedName name="VTOT">#N/A</definedName>
    <definedName name="vvv" localSheetId="18" hidden="1">{"EXCELHLP.HLP!1802";5;10;5;10;13;13;13;8;5;5;10;14;13;13;13;13;5;10;14;13;5;10;1;2;24}</definedName>
    <definedName name="vvv" hidden="1">{"EXCELHLP.HLP!1802";5;10;5;10;13;13;13;8;5;5;10;14;13;13;13;13;5;10;14;13;5;10;1;2;24}</definedName>
    <definedName name="w">#REF!</definedName>
    <definedName name="W_Proforma">#REF!</definedName>
    <definedName name="WADSWORTH">#REF!</definedName>
    <definedName name="Wage_Rate_LookUp">#REF!</definedName>
    <definedName name="WageAlloc">#REF!</definedName>
    <definedName name="wages">#REF!</definedName>
    <definedName name="WARDen">#REF!</definedName>
    <definedName name="WASTE">#REF!</definedName>
    <definedName name="Water_Pmt">#REF!</definedName>
    <definedName name="waterfall">#REF!</definedName>
    <definedName name="WAvgAtl">#REF!</definedName>
    <definedName name="WAvgCad">#REF!</definedName>
    <definedName name="WAvgCad2">#REF!</definedName>
    <definedName name="WAvgCo">#REF!</definedName>
    <definedName name="WAvgCoInv">#REF!</definedName>
    <definedName name="WAvgDKB">#REF!</definedName>
    <definedName name="WAvgGtBr">#REF!</definedName>
    <definedName name="WAvgHntgtn">#REF!</definedName>
    <definedName name="WAvgInv">#REF!</definedName>
    <definedName name="WAvgKmrt">#REF!</definedName>
    <definedName name="WAvgPhl">#REF!</definedName>
    <definedName name="WAvgTmbl">#REF!</definedName>
    <definedName name="WBS">#REF!</definedName>
    <definedName name="WBS_Fcst">#REF!</definedName>
    <definedName name="WBS_Risk">#REF!</definedName>
    <definedName name="WbsList">#REF!</definedName>
    <definedName name="WCCGCR2">#REF!</definedName>
    <definedName name="WCoAtl">#REF!</definedName>
    <definedName name="WCoCad">#REF!</definedName>
    <definedName name="WCoCad2">#REF!</definedName>
    <definedName name="WCoCCR">#REF!</definedName>
    <definedName name="WCoDKB">#REF!</definedName>
    <definedName name="WCoGtBr">#REF!</definedName>
    <definedName name="WCoHntgtn">#REF!</definedName>
    <definedName name="WCoIRDen">#REF!</definedName>
    <definedName name="WCoKMR">#REF!</definedName>
    <definedName name="WCoKmrt">#REF!</definedName>
    <definedName name="WCoPhl">#REF!</definedName>
    <definedName name="WCoTmbl">#REF!</definedName>
    <definedName name="WDBUY">#REF!</definedName>
    <definedName name="WDD">#REF!</definedName>
    <definedName name="WED">#REF!</definedName>
    <definedName name="wef">#REF!</definedName>
    <definedName name="westtxinc">#REF!</definedName>
    <definedName name="WFC" hidden="1">#REF!</definedName>
    <definedName name="wfe" localSheetId="18" hidden="1">{#N/A,#N/A,FALSE,"Results";#N/A,#N/A,FALSE,"Input Data";#N/A,#N/A,FALSE,"Generation Calculation";#N/A,#N/A,FALSE,"Unit Heat Rate Calculation";#N/A,#N/A,FALSE,"Final FWH Extraction Flow";#N/A,#N/A,FALSE,"BEFF.XLS";#N/A,#N/A,FALSE,"TURBEFF.XLS";#N/A,#N/A,FALSE,"Condenser Performance";#N/A,#N/A,FALSE,"Stage Pressure Correction";#N/A,#N/A,FALSE,"Electrical Loss Correction";#N/A,#N/A,FALSE,"Throttle P &amp; T Correction";#N/A,#N/A,FALSE,"Final FWH TTD Correction";#N/A,#N/A,FALSE,"Reheat T &amp; dP Correction";#N/A,#N/A,FALSE,"Auxiliary Steam &amp; Extr Corr";#N/A,#N/A,FALSE,"SHS &amp; RHS Correction";#N/A,#N/A,FALSE,"Change Log"}</definedName>
    <definedName name="wfe" hidden="1">{#N/A,#N/A,FALSE,"Results";#N/A,#N/A,FALSE,"Input Data";#N/A,#N/A,FALSE,"Generation Calculation";#N/A,#N/A,FALSE,"Unit Heat Rate Calculation";#N/A,#N/A,FALSE,"Final FWH Extraction Flow";#N/A,#N/A,FALSE,"BEFF.XLS";#N/A,#N/A,FALSE,"TURBEFF.XLS";#N/A,#N/A,FALSE,"Condenser Performance";#N/A,#N/A,FALSE,"Stage Pressure Correction";#N/A,#N/A,FALSE,"Electrical Loss Correction";#N/A,#N/A,FALSE,"Throttle P &amp; T Correction";#N/A,#N/A,FALSE,"Final FWH TTD Correction";#N/A,#N/A,FALSE,"Reheat T &amp; dP Correction";#N/A,#N/A,FALSE,"Auxiliary Steam &amp; Extr Corr";#N/A,#N/A,FALSE,"SHS &amp; RHS Correction";#N/A,#N/A,FALSE,"Change Log"}</definedName>
    <definedName name="WGW">#REF!</definedName>
    <definedName name="wh" localSheetId="8" hidden="1">{#N/A,#N/A,FALSE,"O&amp;M by processes";#N/A,#N/A,FALSE,"Elec Act vs Bud";#N/A,#N/A,FALSE,"G&amp;A";#N/A,#N/A,FALSE,"BGS";#N/A,#N/A,FALSE,"Res Cost"}</definedName>
    <definedName name="wh" localSheetId="14" hidden="1">{#N/A,#N/A,FALSE,"O&amp;M by processes";#N/A,#N/A,FALSE,"Elec Act vs Bud";#N/A,#N/A,FALSE,"G&amp;A";#N/A,#N/A,FALSE,"BGS";#N/A,#N/A,FALSE,"Res Cost"}</definedName>
    <definedName name="wh" localSheetId="15" hidden="1">{#N/A,#N/A,FALSE,"O&amp;M by processes";#N/A,#N/A,FALSE,"Elec Act vs Bud";#N/A,#N/A,FALSE,"G&amp;A";#N/A,#N/A,FALSE,"BGS";#N/A,#N/A,FALSE,"Res Cost"}</definedName>
    <definedName name="wh" localSheetId="18" hidden="1">{#N/A,#N/A,FALSE,"O&amp;M by processes";#N/A,#N/A,FALSE,"Elec Act vs Bud";#N/A,#N/A,FALSE,"G&amp;A";#N/A,#N/A,FALSE,"BGS";#N/A,#N/A,FALSE,"Res Cost"}</definedName>
    <definedName name="wh" hidden="1">{#N/A,#N/A,FALSE,"O&amp;M by processes";#N/A,#N/A,FALSE,"Elec Act vs Bud";#N/A,#N/A,FALSE,"G&amp;A";#N/A,#N/A,FALSE,"BGS";#N/A,#N/A,FALSE,"Res Cost"}</definedName>
    <definedName name="what" localSheetId="8" hidden="1">{#N/A,#N/A,FALSE,"O&amp;M by processes";#N/A,#N/A,FALSE,"Elec Act vs Bud";#N/A,#N/A,FALSE,"G&amp;A";#N/A,#N/A,FALSE,"BGS";#N/A,#N/A,FALSE,"Res Cost"}</definedName>
    <definedName name="what" localSheetId="14" hidden="1">{#N/A,#N/A,FALSE,"O&amp;M by processes";#N/A,#N/A,FALSE,"Elec Act vs Bud";#N/A,#N/A,FALSE,"G&amp;A";#N/A,#N/A,FALSE,"BGS";#N/A,#N/A,FALSE,"Res Cost"}</definedName>
    <definedName name="what" localSheetId="15" hidden="1">{#N/A,#N/A,FALSE,"O&amp;M by processes";#N/A,#N/A,FALSE,"Elec Act vs Bud";#N/A,#N/A,FALSE,"G&amp;A";#N/A,#N/A,FALSE,"BGS";#N/A,#N/A,FALSE,"Res Cost"}</definedName>
    <definedName name="what" localSheetId="18" hidden="1">{#N/A,#N/A,FALSE,"O&amp;M by processes";#N/A,#N/A,FALSE,"Elec Act vs Bud";#N/A,#N/A,FALSE,"G&amp;A";#N/A,#N/A,FALSE,"BGS";#N/A,#N/A,FALSE,"Res Cost"}</definedName>
    <definedName name="what" hidden="1">{#N/A,#N/A,FALSE,"O&amp;M by processes";#N/A,#N/A,FALSE,"Elec Act vs Bud";#N/A,#N/A,FALSE,"G&amp;A";#N/A,#N/A,FALSE,"BGS";#N/A,#N/A,FALSE,"Res Cost"}</definedName>
    <definedName name="Whatwhat" localSheetId="8" hidden="1">{#N/A,#N/A,FALSE,"O&amp;M by processes";#N/A,#N/A,FALSE,"Elec Act vs Bud";#N/A,#N/A,FALSE,"G&amp;A";#N/A,#N/A,FALSE,"BGS";#N/A,#N/A,FALSE,"Res Cost"}</definedName>
    <definedName name="Whatwhat" localSheetId="14" hidden="1">{#N/A,#N/A,FALSE,"O&amp;M by processes";#N/A,#N/A,FALSE,"Elec Act vs Bud";#N/A,#N/A,FALSE,"G&amp;A";#N/A,#N/A,FALSE,"BGS";#N/A,#N/A,FALSE,"Res Cost"}</definedName>
    <definedName name="Whatwhat" localSheetId="15" hidden="1">{#N/A,#N/A,FALSE,"O&amp;M by processes";#N/A,#N/A,FALSE,"Elec Act vs Bud";#N/A,#N/A,FALSE,"G&amp;A";#N/A,#N/A,FALSE,"BGS";#N/A,#N/A,FALSE,"Res Cost"}</definedName>
    <definedName name="Whatwhat" localSheetId="18" hidden="1">{#N/A,#N/A,FALSE,"O&amp;M by processes";#N/A,#N/A,FALSE,"Elec Act vs Bud";#N/A,#N/A,FALSE,"G&amp;A";#N/A,#N/A,FALSE,"BGS";#N/A,#N/A,FALSE,"Res Cost"}</definedName>
    <definedName name="Whatwhat" hidden="1">{#N/A,#N/A,FALSE,"O&amp;M by processes";#N/A,#N/A,FALSE,"Elec Act vs Bud";#N/A,#N/A,FALSE,"G&amp;A";#N/A,#N/A,FALSE,"BGS";#N/A,#N/A,FALSE,"Res Cost"}</definedName>
    <definedName name="WHB">#REF!</definedName>
    <definedName name="whnos" localSheetId="18" hidden="1">{#N/A,#N/A,TRUE,"TOTAL DSBN";#N/A,#N/A,TRUE,"WEST";#N/A,#N/A,TRUE,"SOUTH";#N/A,#N/A,TRUE,"NORTHEAST"}</definedName>
    <definedName name="whnos" hidden="1">{#N/A,#N/A,TRUE,"TOTAL DSBN";#N/A,#N/A,TRUE,"WEST";#N/A,#N/A,TRUE,"SOUTH";#N/A,#N/A,TRUE,"NORTHEAST"}</definedName>
    <definedName name="who" localSheetId="8" hidden="1">{#N/A,#N/A,FALSE,"O&amp;M by processes";#N/A,#N/A,FALSE,"Elec Act vs Bud";#N/A,#N/A,FALSE,"G&amp;A";#N/A,#N/A,FALSE,"BGS";#N/A,#N/A,FALSE,"Res Cost"}</definedName>
    <definedName name="who" localSheetId="14" hidden="1">{#N/A,#N/A,FALSE,"O&amp;M by processes";#N/A,#N/A,FALSE,"Elec Act vs Bud";#N/A,#N/A,FALSE,"G&amp;A";#N/A,#N/A,FALSE,"BGS";#N/A,#N/A,FALSE,"Res Cost"}</definedName>
    <definedName name="who" localSheetId="15" hidden="1">{#N/A,#N/A,FALSE,"O&amp;M by processes";#N/A,#N/A,FALSE,"Elec Act vs Bud";#N/A,#N/A,FALSE,"G&amp;A";#N/A,#N/A,FALSE,"BGS";#N/A,#N/A,FALSE,"Res Cost"}</definedName>
    <definedName name="who" localSheetId="18" hidden="1">{#N/A,#N/A,FALSE,"O&amp;M by processes";#N/A,#N/A,FALSE,"Elec Act vs Bud";#N/A,#N/A,FALSE,"G&amp;A";#N/A,#N/A,FALSE,"BGS";#N/A,#N/A,FALSE,"Res Cost"}</definedName>
    <definedName name="who" hidden="1">{#N/A,#N/A,FALSE,"O&amp;M by processes";#N/A,#N/A,FALSE,"Elec Act vs Bud";#N/A,#N/A,FALSE,"G&amp;A";#N/A,#N/A,FALSE,"BGS";#N/A,#N/A,FALSE,"Res Cost"}</definedName>
    <definedName name="WHOLE_REPORT">#REF!</definedName>
    <definedName name="whowho" localSheetId="8" hidden="1">{#N/A,#N/A,FALSE,"O&amp;M by processes";#N/A,#N/A,FALSE,"Elec Act vs Bud";#N/A,#N/A,FALSE,"G&amp;A";#N/A,#N/A,FALSE,"BGS";#N/A,#N/A,FALSE,"Res Cost"}</definedName>
    <definedName name="whowho" localSheetId="14" hidden="1">{#N/A,#N/A,FALSE,"O&amp;M by processes";#N/A,#N/A,FALSE,"Elec Act vs Bud";#N/A,#N/A,FALSE,"G&amp;A";#N/A,#N/A,FALSE,"BGS";#N/A,#N/A,FALSE,"Res Cost"}</definedName>
    <definedName name="whowho" localSheetId="15" hidden="1">{#N/A,#N/A,FALSE,"O&amp;M by processes";#N/A,#N/A,FALSE,"Elec Act vs Bud";#N/A,#N/A,FALSE,"G&amp;A";#N/A,#N/A,FALSE,"BGS";#N/A,#N/A,FALSE,"Res Cost"}</definedName>
    <definedName name="whowho" localSheetId="18" hidden="1">{#N/A,#N/A,FALSE,"O&amp;M by processes";#N/A,#N/A,FALSE,"Elec Act vs Bud";#N/A,#N/A,FALSE,"G&amp;A";#N/A,#N/A,FALSE,"BGS";#N/A,#N/A,FALSE,"Res Cost"}</definedName>
    <definedName name="whowho" hidden="1">{#N/A,#N/A,FALSE,"O&amp;M by processes";#N/A,#N/A,FALSE,"Elec Act vs Bud";#N/A,#N/A,FALSE,"G&amp;A";#N/A,#N/A,FALSE,"BGS";#N/A,#N/A,FALSE,"Res Cost"}</definedName>
    <definedName name="whwh" localSheetId="8" hidden="1">{#N/A,#N/A,FALSE,"O&amp;M by processes";#N/A,#N/A,FALSE,"Elec Act vs Bud";#N/A,#N/A,FALSE,"G&amp;A";#N/A,#N/A,FALSE,"BGS";#N/A,#N/A,FALSE,"Res Cost"}</definedName>
    <definedName name="whwh" localSheetId="14" hidden="1">{#N/A,#N/A,FALSE,"O&amp;M by processes";#N/A,#N/A,FALSE,"Elec Act vs Bud";#N/A,#N/A,FALSE,"G&amp;A";#N/A,#N/A,FALSE,"BGS";#N/A,#N/A,FALSE,"Res Cost"}</definedName>
    <definedName name="whwh" localSheetId="15" hidden="1">{#N/A,#N/A,FALSE,"O&amp;M by processes";#N/A,#N/A,FALSE,"Elec Act vs Bud";#N/A,#N/A,FALSE,"G&amp;A";#N/A,#N/A,FALSE,"BGS";#N/A,#N/A,FALSE,"Res Cost"}</definedName>
    <definedName name="whwh" localSheetId="18" hidden="1">{#N/A,#N/A,FALSE,"O&amp;M by processes";#N/A,#N/A,FALSE,"Elec Act vs Bud";#N/A,#N/A,FALSE,"G&amp;A";#N/A,#N/A,FALSE,"BGS";#N/A,#N/A,FALSE,"Res Cost"}</definedName>
    <definedName name="whwh" hidden="1">{#N/A,#N/A,FALSE,"O&amp;M by processes";#N/A,#N/A,FALSE,"Elec Act vs Bud";#N/A,#N/A,FALSE,"G&amp;A";#N/A,#N/A,FALSE,"BGS";#N/A,#N/A,FALSE,"Res Cost"}</definedName>
    <definedName name="why" localSheetId="8" hidden="1">{#N/A,#N/A,FALSE,"O&amp;M by processes";#N/A,#N/A,FALSE,"Elec Act vs Bud";#N/A,#N/A,FALSE,"G&amp;A";#N/A,#N/A,FALSE,"BGS";#N/A,#N/A,FALSE,"Res Cost"}</definedName>
    <definedName name="why" localSheetId="14" hidden="1">{#N/A,#N/A,FALSE,"O&amp;M by processes";#N/A,#N/A,FALSE,"Elec Act vs Bud";#N/A,#N/A,FALSE,"G&amp;A";#N/A,#N/A,FALSE,"BGS";#N/A,#N/A,FALSE,"Res Cost"}</definedName>
    <definedName name="why" localSheetId="15" hidden="1">{#N/A,#N/A,FALSE,"O&amp;M by processes";#N/A,#N/A,FALSE,"Elec Act vs Bud";#N/A,#N/A,FALSE,"G&amp;A";#N/A,#N/A,FALSE,"BGS";#N/A,#N/A,FALSE,"Res Cost"}</definedName>
    <definedName name="why" localSheetId="18" hidden="1">{#N/A,#N/A,FALSE,"O&amp;M by processes";#N/A,#N/A,FALSE,"Elec Act vs Bud";#N/A,#N/A,FALSE,"G&amp;A";#N/A,#N/A,FALSE,"BGS";#N/A,#N/A,FALSE,"Res Cost"}</definedName>
    <definedName name="why" hidden="1">{#N/A,#N/A,FALSE,"O&amp;M by processes";#N/A,#N/A,FALSE,"Elec Act vs Bud";#N/A,#N/A,FALSE,"G&amp;A";#N/A,#N/A,FALSE,"BGS";#N/A,#N/A,FALSE,"Res Cost"}</definedName>
    <definedName name="why?" localSheetId="18" hidden="1">{#N/A,#N/A,TRUE,"TOTAL DSBN";#N/A,#N/A,TRUE,"WEST";#N/A,#N/A,TRUE,"SOUTH";#N/A,#N/A,TRUE,"NORTHEAST"}</definedName>
    <definedName name="why?" hidden="1">{#N/A,#N/A,TRUE,"TOTAL DSBN";#N/A,#N/A,TRUE,"WEST";#N/A,#N/A,TRUE,"SOUTH";#N/A,#N/A,TRUE,"NORTHEAST"}</definedName>
    <definedName name="WInvCCR">#REF!</definedName>
    <definedName name="WInvKMR">#REF!</definedName>
    <definedName name="wmeco1">#REF!</definedName>
    <definedName name="wmeco2">#REF!</definedName>
    <definedName name="wmecococ">#REF!</definedName>
    <definedName name="WMECOCOC2">#REF!</definedName>
    <definedName name="wo">#REF!</definedName>
    <definedName name="WO_Description">#REF!</definedName>
    <definedName name="WOOD">#REF!</definedName>
    <definedName name="Woodhaven_Homes">#REF!</definedName>
    <definedName name="WoodhavenLC">#REF!</definedName>
    <definedName name="woorder">#REF!</definedName>
    <definedName name="Work_Days">#REF!</definedName>
    <definedName name="Work_Days_1">#REF!</definedName>
    <definedName name="Work_Days_2">#REF!</definedName>
    <definedName name="WORK_SHEET_CODING_CONVENTIONS">#REF!</definedName>
    <definedName name="Working_Capital_Req">#REF!</definedName>
    <definedName name="workingcapitalloan">#REF!</definedName>
    <definedName name="WorkOrders">#REF!</definedName>
    <definedName name="worksheet1">#REF!</definedName>
    <definedName name="worksheet2">#REF!</definedName>
    <definedName name="worksheet3">#REF!</definedName>
    <definedName name="worksheet4">#REF!</definedName>
    <definedName name="worksheet5">#REF!</definedName>
    <definedName name="worksheet6">#REF!</definedName>
    <definedName name="worksheet7">#REF!</definedName>
    <definedName name="WorksheetOut">#REF!</definedName>
    <definedName name="wpdesc">#REF!</definedName>
    <definedName name="wpk" localSheetId="18" hidden="1">{#N/A,#N/A,FALSE,"INPUTDATA";#N/A,#N/A,FALSE,"SUMMARY"}</definedName>
    <definedName name="wpk" hidden="1">{#N/A,#N/A,FALSE,"INPUTDATA";#N/A,#N/A,FALSE,"SUMMARY"}</definedName>
    <definedName name="wrn" localSheetId="8" hidden="1">{#N/A,#N/A,FALSE,"O&amp;M by processes";#N/A,#N/A,FALSE,"Elec Act vs Bud";#N/A,#N/A,FALSE,"G&amp;A";#N/A,#N/A,FALSE,"BGS";#N/A,#N/A,FALSE,"Res Cost"}</definedName>
    <definedName name="wrn" localSheetId="14" hidden="1">{#N/A,#N/A,FALSE,"O&amp;M by processes";#N/A,#N/A,FALSE,"Elec Act vs Bud";#N/A,#N/A,FALSE,"G&amp;A";#N/A,#N/A,FALSE,"BGS";#N/A,#N/A,FALSE,"Res Cost"}</definedName>
    <definedName name="wrn" localSheetId="15" hidden="1">{#N/A,#N/A,FALSE,"O&amp;M by processes";#N/A,#N/A,FALSE,"Elec Act vs Bud";#N/A,#N/A,FALSE,"G&amp;A";#N/A,#N/A,FALSE,"BGS";#N/A,#N/A,FALSE,"Res Cost"}</definedName>
    <definedName name="wrn" localSheetId="18" hidden="1">{#N/A,#N/A,FALSE,"O&amp;M by processes";#N/A,#N/A,FALSE,"Elec Act vs Bud";#N/A,#N/A,FALSE,"G&amp;A";#N/A,#N/A,FALSE,"BGS";#N/A,#N/A,FALSE,"Res Cost"}</definedName>
    <definedName name="wrn" hidden="1">{#N/A,#N/A,FALSE,"O&amp;M by processes";#N/A,#N/A,FALSE,"Elec Act vs Bud";#N/A,#N/A,FALSE,"G&amp;A";#N/A,#N/A,FALSE,"BGS";#N/A,#N/A,FALSE,"Res Cost"}</definedName>
    <definedName name="wrn.1999._.Cash._.Report." localSheetId="18" hidden="1">{"1999 Cash Budget",#N/A,FALSE,"99 Cash";"1999 Cash Budget YTD",#N/A,FALSE,"99 Cash";"1999 Cash Actual/Forcast",#N/A,FALSE,"99 Cash";"1999 Cash Actual/Forcast YTD",#N/A,FALSE,"99 Cash"}</definedName>
    <definedName name="wrn.1999._.Cash._.Report." hidden="1">{"1999 Cash Budget",#N/A,FALSE,"99 Cash";"1999 Cash Budget YTD",#N/A,FALSE,"99 Cash";"1999 Cash Actual/Forcast",#N/A,FALSE,"99 Cash";"1999 Cash Actual/Forcast YTD",#N/A,FALSE,"99 Cash"}</definedName>
    <definedName name="wrn.3cases." localSheetId="18" hidden="1">{#N/A,"Base",FALSE,"Dividend";#N/A,"Conservative",FALSE,"Dividend";#N/A,"Downside",FALSE,"Dividend"}</definedName>
    <definedName name="wrn.3cases." hidden="1">{#N/A,"Base",FALSE,"Dividend";#N/A,"Conservative",FALSE,"Dividend";#N/A,"Downside",FALSE,"Dividend"}</definedName>
    <definedName name="wrn.722." localSheetId="8" hidden="1">{#N/A,#N/A,FALSE,"CURRENT"}</definedName>
    <definedName name="wrn.722." localSheetId="14" hidden="1">{#N/A,#N/A,FALSE,"CURRENT"}</definedName>
    <definedName name="wrn.722." localSheetId="15" hidden="1">{#N/A,#N/A,FALSE,"CURRENT"}</definedName>
    <definedName name="wrn.722." localSheetId="18" hidden="1">{#N/A,#N/A,FALSE,"CURRENT"}</definedName>
    <definedName name="wrn.722." hidden="1">{#N/A,#N/A,FALSE,"CURRENT"}</definedName>
    <definedName name="wrn.95cap." localSheetId="18" hidden="1">{#N/A,#N/A,FALSE,"95CAPGRY"}</definedName>
    <definedName name="wrn.95cap." hidden="1">{#N/A,#N/A,FALSE,"95CAPGRY"}</definedName>
    <definedName name="wrn.97maint.xls." localSheetId="18" hidden="1">{#N/A,#N/A,TRUE,"TOTAL DISTRIBUTION";#N/A,#N/A,TRUE,"SOUTH";#N/A,#N/A,TRUE,"NORTHEAST";#N/A,#N/A,TRUE,"WEST"}</definedName>
    <definedName name="wrn.97maint.xls." hidden="1">{#N/A,#N/A,TRUE,"TOTAL DISTRIBUTION";#N/A,#N/A,TRUE,"SOUTH";#N/A,#N/A,TRUE,"NORTHEAST";#N/A,#N/A,TRUE,"WEST"}</definedName>
    <definedName name="wrn.97OR.XLs." localSheetId="18" hidden="1">{#N/A,#N/A,TRUE,"TOTAL DSBN";#N/A,#N/A,TRUE,"WEST";#N/A,#N/A,TRUE,"SOUTH";#N/A,#N/A,TRUE,"NORTHEAST"}</definedName>
    <definedName name="wrn.97OR.XLs." hidden="1">{#N/A,#N/A,TRUE,"TOTAL DSBN";#N/A,#N/A,TRUE,"WEST";#N/A,#N/A,TRUE,"SOUTH";#N/A,#N/A,TRUE,"NORTHEAST"}</definedName>
    <definedName name="wrn.Accretion." localSheetId="18" hidden="1">{"Accretion",#N/A,FALSE,"Assum"}</definedName>
    <definedName name="wrn.Accretion." hidden="1">{"Accretion",#N/A,FALSE,"Assum"}</definedName>
    <definedName name="wrn.Aging._.and._.Trend._.Analysis." localSheetId="18" hidden="1">{#N/A,#N/A,FALSE,"Aging Summary";#N/A,#N/A,FALSE,"Ratio Analysis";#N/A,#N/A,FALSE,"Test 120 Day Accts";#N/A,#N/A,FALSE,"Tickmarks"}</definedName>
    <definedName name="wrn.Aging._.and._.Trend._.Analysis." hidden="1">{#N/A,#N/A,FALSE,"Aging Summary";#N/A,#N/A,FALSE,"Ratio Analysis";#N/A,#N/A,FALSE,"Test 120 Day Accts";#N/A,#N/A,FALSE,"Tickmarks"}</definedName>
    <definedName name="wrn.AGT." localSheetId="8" hidden="1">{"AGT",#N/A,FALSE,"Revenue"}</definedName>
    <definedName name="wrn.AGT." localSheetId="14" hidden="1">{"AGT",#N/A,FALSE,"Revenue"}</definedName>
    <definedName name="wrn.AGT." localSheetId="15" hidden="1">{"AGT",#N/A,FALSE,"Revenue"}</definedName>
    <definedName name="wrn.AGT." localSheetId="18" hidden="1">{"AGT",#N/A,FALSE,"Revenue"}</definedName>
    <definedName name="wrn.AGT." hidden="1">{"AGT",#N/A,FALSE,"Revenue"}</definedName>
    <definedName name="wrn.ALL." localSheetId="18" hidden="1">{#N/A,#N/A,FALSE,"Results";#N/A,#N/A,FALSE,"Input Data";#N/A,#N/A,FALSE,"Generation Calculation";#N/A,#N/A,FALSE,"Unit Heat Rate Calculation";#N/A,#N/A,FALSE,"Final FWH Extraction Flow";#N/A,#N/A,FALSE,"BEFF.XLS";#N/A,#N/A,FALSE,"TURBEFF.XLS";#N/A,#N/A,FALSE,"Condenser Performance";#N/A,#N/A,FALSE,"Stage Pressure Correction";#N/A,#N/A,FALSE,"Electrical Loss Correction";#N/A,#N/A,FALSE,"Throttle P &amp; T Correction";#N/A,#N/A,FALSE,"Final FWH TTD Correction";#N/A,#N/A,FALSE,"Reheat T &amp; dP Correction";#N/A,#N/A,FALSE,"Auxiliary Steam &amp; Extr Corr";#N/A,#N/A,FALSE,"SHS &amp; RHS Correction";#N/A,#N/A,FALSE,"Change Log"}</definedName>
    <definedName name="wrn.ALL." hidden="1">{#N/A,#N/A,FALSE,"Results";#N/A,#N/A,FALSE,"Input Data";#N/A,#N/A,FALSE,"Generation Calculation";#N/A,#N/A,FALSE,"Unit Heat Rate Calculation";#N/A,#N/A,FALSE,"Final FWH Extraction Flow";#N/A,#N/A,FALSE,"BEFF.XLS";#N/A,#N/A,FALSE,"TURBEFF.XLS";#N/A,#N/A,FALSE,"Condenser Performance";#N/A,#N/A,FALSE,"Stage Pressure Correction";#N/A,#N/A,FALSE,"Electrical Loss Correction";#N/A,#N/A,FALSE,"Throttle P &amp; T Correction";#N/A,#N/A,FALSE,"Final FWH TTD Correction";#N/A,#N/A,FALSE,"Reheat T &amp; dP Correction";#N/A,#N/A,FALSE,"Auxiliary Steam &amp; Extr Corr";#N/A,#N/A,FALSE,"SHS &amp; RHS Correction";#N/A,#N/A,FALSE,"Change Log"}</definedName>
    <definedName name="wrn.Allowance._.Analysis." localSheetId="18" hidden="1">{#N/A,#N/A,FALSE,"F. Tax Analysis";#N/A,#N/A,FALSE,"G. Bond Analysis";#N/A,#N/A,FALSE,"H. Insurance Analysis"}</definedName>
    <definedName name="wrn.Allowance._.Analysis." hidden="1">{#N/A,#N/A,FALSE,"F. Tax Analysis";#N/A,#N/A,FALSE,"G. Bond Analysis";#N/A,#N/A,FALSE,"H. Insurance Analysis"}</definedName>
    <definedName name="wrn.AnnualRentRoll." localSheetId="18" hidden="1">{"AnnualRentRollPg1",#N/A,FALSE,"RentRoll";"AnnualRentRollPg2",#N/A,FALSE,"RentRoll"}</definedName>
    <definedName name="wrn.AnnualRentRoll." hidden="1">{"AnnualRentRollPg1",#N/A,FALSE,"RentRoll";"AnnualRentRollPg2",#N/A,FALSE,"RentRoll"}</definedName>
    <definedName name="wrn.Assumptions." localSheetId="18" hidden="1">{"Assumptions",#N/A,FALSE,"Assum"}</definedName>
    <definedName name="wrn.Assumptions." hidden="1">{"Assumptions",#N/A,FALSE,"Assum"}</definedName>
    <definedName name="wrn.August._.1._.2003._.Rate._.Change." localSheetId="8" hidden="1">{"JFJ-1",#N/A,FALSE,"JFJ-1 Deferral Recovery Rate";"JFJ-2",#N/A,FALSE,"JFJ-2 NNC Rates";"JFJ-3",#N/A,FALSE,"JFJ-3 MTC Rate";"JFJ-4",#N/A,FALSE,"JFJ-4 CEP Rate";"JFJ-5",#N/A,FALSE,"JFJ-5 USF Rate";"JFJ-6",#N/A,FALSE,"JFJ-6 CRA Rate";"JFJ-7",#N/A,FALSE,"JFJ-7 2003 Rate Impact Summary";"JFJ-8",#N/A,FALSE,"ACE 25 Year Sales Forecast"}</definedName>
    <definedName name="wrn.August._.1._.2003._.Rate._.Change." localSheetId="14" hidden="1">{"JFJ-1",#N/A,FALSE,"JFJ-1 Deferral Recovery Rate";"JFJ-2",#N/A,FALSE,"JFJ-2 NNC Rates";"JFJ-3",#N/A,FALSE,"JFJ-3 MTC Rate";"JFJ-4",#N/A,FALSE,"JFJ-4 CEP Rate";"JFJ-5",#N/A,FALSE,"JFJ-5 USF Rate";"JFJ-6",#N/A,FALSE,"JFJ-6 CRA Rate";"JFJ-7",#N/A,FALSE,"JFJ-7 2003 Rate Impact Summary";"JFJ-8",#N/A,FALSE,"ACE 25 Year Sales Forecast"}</definedName>
    <definedName name="wrn.August._.1._.2003._.Rate._.Change." localSheetId="15" hidden="1">{"JFJ-1",#N/A,FALSE,"JFJ-1 Deferral Recovery Rate";"JFJ-2",#N/A,FALSE,"JFJ-2 NNC Rates";"JFJ-3",#N/A,FALSE,"JFJ-3 MTC Rate";"JFJ-4",#N/A,FALSE,"JFJ-4 CEP Rate";"JFJ-5",#N/A,FALSE,"JFJ-5 USF Rate";"JFJ-6",#N/A,FALSE,"JFJ-6 CRA Rate";"JFJ-7",#N/A,FALSE,"JFJ-7 2003 Rate Impact Summary";"JFJ-8",#N/A,FALSE,"ACE 25 Year Sales Forecast"}</definedName>
    <definedName name="wrn.August._.1._.2003._.Rate._.Change." localSheetId="18" hidden="1">{"JFJ-1",#N/A,FALSE,"JFJ-1 Deferral Recovery Rate";"JFJ-2",#N/A,FALSE,"JFJ-2 NNC Rates";"JFJ-3",#N/A,FALSE,"JFJ-3 MTC Rate";"JFJ-4",#N/A,FALSE,"JFJ-4 CEP Rate";"JFJ-5",#N/A,FALSE,"JFJ-5 USF Rate";"JFJ-6",#N/A,FALSE,"JFJ-6 CRA Rate";"JFJ-7",#N/A,FALSE,"JFJ-7 2003 Rate Impact Summary";"JFJ-8",#N/A,FALSE,"ACE 25 Year Sales Forecast"}</definedName>
    <definedName name="wrn.August._.1._.2003._.Rate._.Change." hidden="1">{"JFJ-1",#N/A,FALSE,"JFJ-1 Deferral Recovery Rate";"JFJ-2",#N/A,FALSE,"JFJ-2 NNC Rates";"JFJ-3",#N/A,FALSE,"JFJ-3 MTC Rate";"JFJ-4",#N/A,FALSE,"JFJ-4 CEP Rate";"JFJ-5",#N/A,FALSE,"JFJ-5 USF Rate";"JFJ-6",#N/A,FALSE,"JFJ-6 CRA Rate";"JFJ-7",#N/A,FALSE,"JFJ-7 2003 Rate Impact Summary";"JFJ-8",#N/A,FALSE,"ACE 25 Year Sales Forecast"}</definedName>
    <definedName name="wrn.Basic." localSheetId="8" hidden="1">{#N/A,#N/A,FALSE,"O&amp;M by processes";#N/A,#N/A,FALSE,"Elec Act vs Bud";#N/A,#N/A,FALSE,"G&amp;A";#N/A,#N/A,FALSE,"BGS";#N/A,#N/A,FALSE,"Res Cost"}</definedName>
    <definedName name="wrn.Basic." localSheetId="14" hidden="1">{#N/A,#N/A,FALSE,"O&amp;M by processes";#N/A,#N/A,FALSE,"Elec Act vs Bud";#N/A,#N/A,FALSE,"G&amp;A";#N/A,#N/A,FALSE,"BGS";#N/A,#N/A,FALSE,"Res Cost"}</definedName>
    <definedName name="wrn.Basic." localSheetId="15" hidden="1">{#N/A,#N/A,FALSE,"O&amp;M by processes";#N/A,#N/A,FALSE,"Elec Act vs Bud";#N/A,#N/A,FALSE,"G&amp;A";#N/A,#N/A,FALSE,"BGS";#N/A,#N/A,FALSE,"Res Cost"}</definedName>
    <definedName name="wrn.Basic." localSheetId="18" hidden="1">{#N/A,#N/A,FALSE,"O&amp;M by processes";#N/A,#N/A,FALSE,"Elec Act vs Bud";#N/A,#N/A,FALSE,"G&amp;A";#N/A,#N/A,FALSE,"BGS";#N/A,#N/A,FALSE,"Res Cost"}</definedName>
    <definedName name="wrn.Basic." hidden="1">{#N/A,#N/A,FALSE,"O&amp;M by processes";#N/A,#N/A,FALSE,"Elec Act vs Bud";#N/A,#N/A,FALSE,"G&amp;A";#N/A,#N/A,FALSE,"BGS";#N/A,#N/A,FALSE,"Res Cost"}</definedName>
    <definedName name="wrn.CAAP._.Report.JPG" localSheetId="18" hidden="1">{"Income Budget",#N/A,FALSE,"98 Income";"Running GAAP Budget Income",#N/A,FALSE,"98 Income";"GAAP Actual",#N/A,FALSE,"98 Income";"GAAP Varinance",#N/A,FALSE,"98 Income"}</definedName>
    <definedName name="wrn.CAAP._.Report.JPG" hidden="1">{"Income Budget",#N/A,FALSE,"98 Income";"Running GAAP Budget Income",#N/A,FALSE,"98 Income";"GAAP Actual",#N/A,FALSE,"98 Income";"GAAP Varinance",#N/A,FALSE,"98 Income"}</definedName>
    <definedName name="wrn.Cash._.Report." localSheetId="18" hidden="1">{"Cash Budget",#N/A,FALSE,"98 Cash";"Running Cash Budget",#N/A,FALSE,"98 Cash";"Actual Cash",#N/A,FALSE,"98 Cash";"Update Cash Budget",#N/A,FALSE,"98 Cash"}</definedName>
    <definedName name="wrn.Cash._.Report." hidden="1">{"Cash Budget",#N/A,FALSE,"98 Cash";"Running Cash Budget",#N/A,FALSE,"98 Cash";"Actual Cash",#N/A,FALSE,"98 Cash";"Update Cash Budget",#N/A,FALSE,"98 Cash"}</definedName>
    <definedName name="wrn.Cash._.Report.JPG" localSheetId="18" hidden="1">{"Cash Budget",#N/A,FALSE,"98 Cash";"Running Cash Budget",#N/A,FALSE,"98 Cash";"Actual Cash",#N/A,FALSE,"98 Cash";"Update Cash Budget",#N/A,FALSE,"98 Cash"}</definedName>
    <definedName name="wrn.Cash._.Report.JPG" hidden="1">{"Cash Budget",#N/A,FALSE,"98 Cash";"Running Cash Budget",#N/A,FALSE,"98 Cash";"Actual Cash",#N/A,FALSE,"98 Cash";"Update Cash Budget",#N/A,FALSE,"98 Cash"}</definedName>
    <definedName name="wrn.ChartSet." localSheetId="8" hidden="1">{#N/A,#N/A,FALSE,"Elec Deliv";#N/A,#N/A,FALSE,"Atlantic Pie";#N/A,#N/A,FALSE,"Bay Pie";#N/A,#N/A,FALSE,"New Castle Pie";#N/A,#N/A,FALSE,"Transmission Pie"}</definedName>
    <definedName name="wrn.ChartSet." localSheetId="14" hidden="1">{#N/A,#N/A,FALSE,"Elec Deliv";#N/A,#N/A,FALSE,"Atlantic Pie";#N/A,#N/A,FALSE,"Bay Pie";#N/A,#N/A,FALSE,"New Castle Pie";#N/A,#N/A,FALSE,"Transmission Pie"}</definedName>
    <definedName name="wrn.ChartSet." localSheetId="15" hidden="1">{#N/A,#N/A,FALSE,"Elec Deliv";#N/A,#N/A,FALSE,"Atlantic Pie";#N/A,#N/A,FALSE,"Bay Pie";#N/A,#N/A,FALSE,"New Castle Pie";#N/A,#N/A,FALSE,"Transmission Pie"}</definedName>
    <definedName name="wrn.ChartSet." localSheetId="18" hidden="1">{#N/A,#N/A,FALSE,"Elec Deliv";#N/A,#N/A,FALSE,"Atlantic Pie";#N/A,#N/A,FALSE,"Bay Pie";#N/A,#N/A,FALSE,"New Castle Pie";#N/A,#N/A,FALSE,"Transmission Pie"}</definedName>
    <definedName name="wrn.ChartSet." hidden="1">{#N/A,#N/A,FALSE,"Elec Deliv";#N/A,#N/A,FALSE,"Atlantic Pie";#N/A,#N/A,FALSE,"Bay Pie";#N/A,#N/A,FALSE,"New Castle Pie";#N/A,#N/A,FALSE,"Transmission Pie"}</definedName>
    <definedName name="wrn.Citgo._.Status." localSheetId="18" hidden="1">{#N/A,#N/A,TRUE,"Task Status";#N/A,#N/A,TRUE,"Document Status";#N/A,#N/A,TRUE,"Percent Complete";#N/A,#N/A,TRUE,"Manhour Sum"}</definedName>
    <definedName name="wrn.Citgo._.Status." hidden="1">{#N/A,#N/A,TRUE,"Task Status";#N/A,#N/A,TRUE,"Document Status";#N/A,#N/A,TRUE,"Percent Complete";#N/A,#N/A,TRUE,"Manhour Sum"}</definedName>
    <definedName name="wrn.Complete._.Review." localSheetId="18" hidden="1">{#N/A,#N/A,FALSE,"Occ and Rate";#N/A,#N/A,FALSE,"PF Input";#N/A,#N/A,FALSE,"Capital Input";#N/A,#N/A,FALSE,"Proforma Five Yr";#N/A,#N/A,FALSE,"Calculations";#N/A,#N/A,FALSE,"Transaction Summary-DTW"}</definedName>
    <definedName name="wrn.Complete._.Review." hidden="1">{#N/A,#N/A,FALSE,"Occ and Rate";#N/A,#N/A,FALSE,"PF Input";#N/A,#N/A,FALSE,"Capital Input";#N/A,#N/A,FALSE,"Proforma Five Yr";#N/A,#N/A,FALSE,"Calculations";#N/A,#N/A,FALSE,"Transaction Summary-DTW"}</definedName>
    <definedName name="wrn.Component._.Analy." localSheetId="18" hidden="1">{#N/A,#N/A,FALSE,"Results";#N/A,#N/A,FALSE,"Input Data";#N/A,#N/A,FALSE,"Generation Calculation";#N/A,#N/A,FALSE,"Unit Heat Rate Calculation";#N/A,#N/A,FALSE,"BEFF.XLS";#N/A,#N/A,FALSE,"TURBEFF.XLS";#N/A,#N/A,FALSE,"Final FWH Extraction Flow";#N/A,#N/A,FALSE,"Condenser Performance";#N/A,#N/A,FALSE,"Stage Pressure Correction"}</definedName>
    <definedName name="wrn.Component._.Analy." hidden="1">{#N/A,#N/A,FALSE,"Results";#N/A,#N/A,FALSE,"Input Data";#N/A,#N/A,FALSE,"Generation Calculation";#N/A,#N/A,FALSE,"Unit Heat Rate Calculation";#N/A,#N/A,FALSE,"BEFF.XLS";#N/A,#N/A,FALSE,"TURBEFF.XLS";#N/A,#N/A,FALSE,"Final FWH Extraction Flow";#N/A,#N/A,FALSE,"Condenser Performance";#N/A,#N/A,FALSE,"Stage Pressure Correction"}</definedName>
    <definedName name="wrn.Condenser._.Summary." localSheetId="18" hidden="1">{#N/A,#N/A,FALSE,"SUMMARY";#N/A,#N/A,FALSE,"INPUTDATA";#N/A,#N/A,FALSE,"Condenser Performance"}</definedName>
    <definedName name="wrn.Condenser._.Summary." hidden="1">{#N/A,#N/A,FALSE,"SUMMARY";#N/A,#N/A,FALSE,"INPUTDATA";#N/A,#N/A,FALSE,"Condenser Performance"}</definedName>
    <definedName name="wrn.COST." localSheetId="18" hidden="1">{#N/A,#N/A,FALSE,"T COST";#N/A,#N/A,FALSE,"COST_FH"}</definedName>
    <definedName name="wrn.COST." hidden="1">{#N/A,#N/A,FALSE,"T COST";#N/A,#N/A,FALSE,"COST_FH"}</definedName>
    <definedName name="wrn.Data._.dump." localSheetId="8" hidden="1">{"Input Data",#N/A,FALSE,"Input";"Income and Cash Flow",#N/A,FALSE,"Calculations"}</definedName>
    <definedName name="wrn.Data._.dump." localSheetId="14" hidden="1">{"Input Data",#N/A,FALSE,"Input";"Income and Cash Flow",#N/A,FALSE,"Calculations"}</definedName>
    <definedName name="wrn.Data._.dump." localSheetId="15" hidden="1">{"Input Data",#N/A,FALSE,"Input";"Income and Cash Flow",#N/A,FALSE,"Calculations"}</definedName>
    <definedName name="wrn.Data._.dump." localSheetId="18" hidden="1">{"Input Data",#N/A,FALSE,"Input";"Income and Cash Flow",#N/A,FALSE,"Calculations"}</definedName>
    <definedName name="wrn.Data._.dump." hidden="1">{"Input Data",#N/A,FALSE,"Input";"Income and Cash Flow",#N/A,FALSE,"Calculations"}</definedName>
    <definedName name="wrn.Deferral._.Forecast." localSheetId="8" hidden="1">{"Summary Deferral Forecast",#N/A,FALSE,"Deferral Forecast";"BGS Deferral Forecast",#N/A,FALSE,"BGS Deferral";"NNC Deferral Forecast",#N/A,FALSE,"NNC Deferral";"MTCDeferralForecast",#N/A,FALSE,"MTC Deferral";"SBC Deferral Forecast",#N/A,FALSE,"SBC Deferral"}</definedName>
    <definedName name="wrn.Deferral._.Forecast." localSheetId="14" hidden="1">{"Summary Deferral Forecast",#N/A,FALSE,"Deferral Forecast";"BGS Deferral Forecast",#N/A,FALSE,"BGS Deferral";"NNC Deferral Forecast",#N/A,FALSE,"NNC Deferral";"MTCDeferralForecast",#N/A,FALSE,"MTC Deferral";"SBC Deferral Forecast",#N/A,FALSE,"SBC Deferral"}</definedName>
    <definedName name="wrn.Deferral._.Forecast." localSheetId="15" hidden="1">{"Summary Deferral Forecast",#N/A,FALSE,"Deferral Forecast";"BGS Deferral Forecast",#N/A,FALSE,"BGS Deferral";"NNC Deferral Forecast",#N/A,FALSE,"NNC Deferral";"MTCDeferralForecast",#N/A,FALSE,"MTC Deferral";"SBC Deferral Forecast",#N/A,FALSE,"SBC Deferral"}</definedName>
    <definedName name="wrn.Deferral._.Forecast." localSheetId="18" hidden="1">{"Summary Deferral Forecast",#N/A,FALSE,"Deferral Forecast";"BGS Deferral Forecast",#N/A,FALSE,"BGS Deferral";"NNC Deferral Forecast",#N/A,FALSE,"NNC Deferral";"MTCDeferralForecast",#N/A,FALSE,"MTC Deferral";"SBC Deferral Forecast",#N/A,FALSE,"SBC Deferral"}</definedName>
    <definedName name="wrn.Deferral._.Forecast." hidden="1">{"Summary Deferral Forecast",#N/A,FALSE,"Deferral Forecast";"BGS Deferral Forecast",#N/A,FALSE,"BGS Deferral";"NNC Deferral Forecast",#N/A,FALSE,"NNC Deferral";"MTCDeferralForecast",#N/A,FALSE,"MTC Deferral";"SBC Deferral Forecast",#N/A,FALSE,"SBC Deferral"}</definedName>
    <definedName name="wrn.Detail." localSheetId="18" hidden="1">{"Detail",#N/A,FALSE,"Detail"}</definedName>
    <definedName name="wrn.Detail." hidden="1">{"Detail",#N/A,FALSE,"Detail"}</definedName>
    <definedName name="wrn.Engr._.Summary." localSheetId="18" hidden="1">{#N/A,#N/A,FALSE,"INPUTDATA";#N/A,#N/A,FALSE,"SUMMARY";#N/A,#N/A,FALSE,"CTAREP";#N/A,#N/A,FALSE,"CTBREP";#N/A,#N/A,FALSE,"TURBEFF";#N/A,#N/A,FALSE,"Condenser Performance"}</definedName>
    <definedName name="wrn.Engr._.Summary." hidden="1">{#N/A,#N/A,FALSE,"INPUTDATA";#N/A,#N/A,FALSE,"SUMMARY";#N/A,#N/A,FALSE,"CTAREP";#N/A,#N/A,FALSE,"CTBREP";#N/A,#N/A,FALSE,"TURBEFF";#N/A,#N/A,FALSE,"Condenser Performance"}</definedName>
    <definedName name="wrn.ERI2._.AIMR." localSheetId="18" hidden="1">{#N/A,#N/A,FALSE,"NA_Roll";#N/A,#N/A,FALSE,"NAV_recon";#N/A,#N/A,FALSE,"NII";#N/A,#N/A,FALSE,"Contrbtns";#N/A,#N/A,FALSE,"Distrbtns";#N/A,#N/A,FALSE,"QWAE";#N/A,#N/A,FALSE,"AWAE";#N/A,#N/A,FALSE,"Rtrns_bf_fees";#N/A,#N/A,FALSE,"Rtrns_aft_fees";#N/A,#N/A,FALSE,"Inc_bfr_fees";#N/A,#N/A,FALSE,"ERI-II Summary";#N/A,#N/A,FALSE,"ERI-II Fees"}</definedName>
    <definedName name="wrn.ERI2._.AIMR." hidden="1">{#N/A,#N/A,FALSE,"NA_Roll";#N/A,#N/A,FALSE,"NAV_recon";#N/A,#N/A,FALSE,"NII";#N/A,#N/A,FALSE,"Contrbtns";#N/A,#N/A,FALSE,"Distrbtns";#N/A,#N/A,FALSE,"QWAE";#N/A,#N/A,FALSE,"AWAE";#N/A,#N/A,FALSE,"Rtrns_bf_fees";#N/A,#N/A,FALSE,"Rtrns_aft_fees";#N/A,#N/A,FALSE,"Inc_bfr_fees";#N/A,#N/A,FALSE,"ERI-II Summary";#N/A,#N/A,FALSE,"ERI-II Fees"}</definedName>
    <definedName name="wrn.Exec._.Summary." localSheetId="18" hidden="1">{#N/A,#N/A,FALSE,"INPUTDATA";#N/A,#N/A,FALSE,"SUMMARY"}</definedName>
    <definedName name="wrn.Exec._.Summary." hidden="1">{#N/A,#N/A,FALSE,"INPUTDATA";#N/A,#N/A,FALSE,"SUMMARY"}</definedName>
    <definedName name="wrn.Exec1._.Summary" localSheetId="18" hidden="1">{#N/A,#N/A,FALSE,"INPUTDATA";#N/A,#N/A,FALSE,"SUMMARY"}</definedName>
    <definedName name="wrn.Exec1._.Summary" hidden="1">{#N/A,#N/A,FALSE,"INPUTDATA";#N/A,#N/A,FALSE,"SUMMARY"}</definedName>
    <definedName name="wrn.Executive._.Review._.Report." localSheetId="18" hidden="1">{#N/A,#N/A,FALSE,"Executive Review Sheet";#N/A,#N/A,FALSE,"Summary of Estimate Components";#N/A,#N/A,FALSE,"Summary of Allowances"}</definedName>
    <definedName name="wrn.Executive._.Review._.Report." hidden="1">{#N/A,#N/A,FALSE,"Executive Review Sheet";#N/A,#N/A,FALSE,"Summary of Estimate Components";#N/A,#N/A,FALSE,"Summary of Allowances"}</definedName>
    <definedName name="wrn.ExitAndSalesAssumptions." localSheetId="18" hidden="1">{#N/A,#N/A,FALSE,"ExitStrategy"}</definedName>
    <definedName name="wrn.ExitAndSalesAssumptions." hidden="1">{#N/A,#N/A,FALSE,"ExitStrategy"}</definedName>
    <definedName name="wrn.FCB." localSheetId="18" hidden="1">{"FCB_ALL",#N/A,FALSE,"FCB"}</definedName>
    <definedName name="wrn.FCB." hidden="1">{"FCB_ALL",#N/A,FALSE,"FCB"}</definedName>
    <definedName name="wrn.fcb2" localSheetId="18" hidden="1">{"FCB_ALL",#N/A,FALSE,"FCB"}</definedName>
    <definedName name="wrn.fcb2" hidden="1">{"FCB_ALL",#N/A,FALSE,"FCB"}</definedName>
    <definedName name="wrn.Filing." localSheetId="8" hidden="1">{#N/A,#N/A,FALSE,"Summary";#N/A,#N/A,FALSE,"Unbundled Revenue Summary ";#N/A,#N/A,FALSE,"Unbundled Rev Summary with Tax";"August Rates with Tax",#N/A,FALSE,"Rate Class Detail";"August Revenue with Tax",#N/A,FALSE,"Rate Class Detail";"August Rates wo Tax",#N/A,FALSE,"Rate Class Detail with Tax";"August Revenue wo Tax",#N/A,FALSE,"Rate Class Detail with Tax"}</definedName>
    <definedName name="wrn.Filing." localSheetId="14" hidden="1">{#N/A,#N/A,FALSE,"Summary";#N/A,#N/A,FALSE,"Unbundled Revenue Summary ";#N/A,#N/A,FALSE,"Unbundled Rev Summary with Tax";"August Rates with Tax",#N/A,FALSE,"Rate Class Detail";"August Revenue with Tax",#N/A,FALSE,"Rate Class Detail";"August Rates wo Tax",#N/A,FALSE,"Rate Class Detail with Tax";"August Revenue wo Tax",#N/A,FALSE,"Rate Class Detail with Tax"}</definedName>
    <definedName name="wrn.Filing." localSheetId="15" hidden="1">{#N/A,#N/A,FALSE,"Summary";#N/A,#N/A,FALSE,"Unbundled Revenue Summary ";#N/A,#N/A,FALSE,"Unbundled Rev Summary with Tax";"August Rates with Tax",#N/A,FALSE,"Rate Class Detail";"August Revenue with Tax",#N/A,FALSE,"Rate Class Detail";"August Rates wo Tax",#N/A,FALSE,"Rate Class Detail with Tax";"August Revenue wo Tax",#N/A,FALSE,"Rate Class Detail with Tax"}</definedName>
    <definedName name="wrn.Filing." localSheetId="18" hidden="1">{#N/A,#N/A,FALSE,"Summary";#N/A,#N/A,FALSE,"Unbundled Revenue Summary ";#N/A,#N/A,FALSE,"Unbundled Rev Summary with Tax";"August Rates with Tax",#N/A,FALSE,"Rate Class Detail";"August Revenue with Tax",#N/A,FALSE,"Rate Class Detail";"August Rates wo Tax",#N/A,FALSE,"Rate Class Detail with Tax";"August Revenue wo Tax",#N/A,FALSE,"Rate Class Detail with Tax"}</definedName>
    <definedName name="wrn.Filing." hidden="1">{#N/A,#N/A,FALSE,"Summary";#N/A,#N/A,FALSE,"Unbundled Revenue Summary ";#N/A,#N/A,FALSE,"Unbundled Rev Summary with Tax";"August Rates with Tax",#N/A,FALSE,"Rate Class Detail";"August Revenue with Tax",#N/A,FALSE,"Rate Class Detail";"August Rates wo Tax",#N/A,FALSE,"Rate Class Detail with Tax";"August Revenue wo Tax",#N/A,FALSE,"Rate Class Detail with Tax"}</definedName>
    <definedName name="wrn.FNM._.Graph." localSheetId="18" hidden="1">{"fnm graph",#N/A,FALSE,"Graphs"}</definedName>
    <definedName name="wrn.FNM._.Graph." hidden="1">{"fnm graph",#N/A,FALSE,"Graphs"}</definedName>
    <definedName name="wrn.For._.filling._.out._.assessments." localSheetId="8" hidden="1">{"Print Empty Template",#N/A,FALSE,"Input"}</definedName>
    <definedName name="wrn.For._.filling._.out._.assessments." localSheetId="14" hidden="1">{"Print Empty Template",#N/A,FALSE,"Input"}</definedName>
    <definedName name="wrn.For._.filling._.out._.assessments." localSheetId="15" hidden="1">{"Print Empty Template",#N/A,FALSE,"Input"}</definedName>
    <definedName name="wrn.For._.filling._.out._.assessments." localSheetId="18" hidden="1">{"Print Empty Template",#N/A,FALSE,"Input"}</definedName>
    <definedName name="wrn.For._.filling._.out._.assessments." hidden="1">{"Print Empty Template",#N/A,FALSE,"Input"}</definedName>
    <definedName name="wrn.Full._.Budget." localSheetId="18" hidden="1">{"Complete Budget",#N/A,FALSE,"Title";"Complete budget",#N/A,FALSE,"Accrual Summary";"Complete budget",#N/A,FALSE,"Accrual-Detail";"Complete budget",#N/A,FALSE,"Accrual-Captions";"Complete budget",#N/A,FALSE,"Accrual-GL Level";"Complete budget",#N/A,FALSE,"Cash Summary";"Complete budget",#N/A,FALSE,"Cash-Detail";"Complete budget",#N/A,FALSE,"Cash-Captions";"Complete budget",#N/A,FALSE,"Cash-GL Level";"Complete budget",#N/A,FALSE,"Production";"Complete budget",#N/A,FALSE,"5year support";"Complete budget",#N/A,FALSE,"Support";"Complete budget",#N/A,FALSE,"AvoidedCost";"Complete budget",#N/A,FALSE,"PowerPrices";"Complete budget",#N/A,FALSE,"GasPrices";"Complete budget",#N/A,FALSE,"Assumptions&amp;Notes";"Complete Budget",#N/A,FALSE,"Debt Covenants";"Complete Budget",#N/A,FALSE,"Accrual Analysis"}</definedName>
    <definedName name="wrn.Full._.Budget." hidden="1">{"Complete Budget",#N/A,FALSE,"Title";"Complete budget",#N/A,FALSE,"Accrual Summary";"Complete budget",#N/A,FALSE,"Accrual-Detail";"Complete budget",#N/A,FALSE,"Accrual-Captions";"Complete budget",#N/A,FALSE,"Accrual-GL Level";"Complete budget",#N/A,FALSE,"Cash Summary";"Complete budget",#N/A,FALSE,"Cash-Detail";"Complete budget",#N/A,FALSE,"Cash-Captions";"Complete budget",#N/A,FALSE,"Cash-GL Level";"Complete budget",#N/A,FALSE,"Production";"Complete budget",#N/A,FALSE,"5year support";"Complete budget",#N/A,FALSE,"Support";"Complete budget",#N/A,FALSE,"AvoidedCost";"Complete budget",#N/A,FALSE,"PowerPrices";"Complete budget",#N/A,FALSE,"GasPrices";"Complete budget",#N/A,FALSE,"Assumptions&amp;Notes";"Complete Budget",#N/A,FALSE,"Debt Covenants";"Complete Budget",#N/A,FALSE,"Accrual Analysis"}</definedName>
    <definedName name="wrn.GAAP._.Report." localSheetId="18" hidden="1">{"Income Budget",#N/A,FALSE,"98 Income";"Running GAAP Budget Income",#N/A,FALSE,"98 Income";"GAAP Actual",#N/A,FALSE,"98 Income";"GAAP Varinance",#N/A,FALSE,"98 Income"}</definedName>
    <definedName name="wrn.GAAP._.Report." hidden="1">{"Income Budget",#N/A,FALSE,"98 Income";"Running GAAP Budget Income",#N/A,FALSE,"98 Income";"GAAP Actual",#N/A,FALSE,"98 Income";"GAAP Varinance",#N/A,FALSE,"98 Income"}</definedName>
    <definedName name="wrn.HLP._.Detail." localSheetId="8" hidden="1">{"2002 - 2006 Detail Income Statement",#N/A,FALSE,"TUB Income Statement wo DW";"BGS Deferral",#N/A,FALSE,"BGS Deferral";"NNC Deferral",#N/A,FALSE,"NNC Deferral";"MTC Deferral",#N/A,FALSE,"MTC Deferral";#N/A,#N/A,FALSE,"Schedule D"}</definedName>
    <definedName name="wrn.HLP._.Detail." localSheetId="14" hidden="1">{"2002 - 2006 Detail Income Statement",#N/A,FALSE,"TUB Income Statement wo DW";"BGS Deferral",#N/A,FALSE,"BGS Deferral";"NNC Deferral",#N/A,FALSE,"NNC Deferral";"MTC Deferral",#N/A,FALSE,"MTC Deferral";#N/A,#N/A,FALSE,"Schedule D"}</definedName>
    <definedName name="wrn.HLP._.Detail." localSheetId="15" hidden="1">{"2002 - 2006 Detail Income Statement",#N/A,FALSE,"TUB Income Statement wo DW";"BGS Deferral",#N/A,FALSE,"BGS Deferral";"NNC Deferral",#N/A,FALSE,"NNC Deferral";"MTC Deferral",#N/A,FALSE,"MTC Deferral";#N/A,#N/A,FALSE,"Schedule D"}</definedName>
    <definedName name="wrn.HLP._.Detail." localSheetId="18" hidden="1">{"2002 - 2006 Detail Income Statement",#N/A,FALSE,"TUB Income Statement wo DW";"BGS Deferral",#N/A,FALSE,"BGS Deferral";"NNC Deferral",#N/A,FALSE,"NNC Deferral";"MTC Deferral",#N/A,FALSE,"MTC Deferral";#N/A,#N/A,FALSE,"Schedule D"}</definedName>
    <definedName name="wrn.HLP._.Detail." hidden="1">{"2002 - 2006 Detail Income Statement",#N/A,FALSE,"TUB Income Statement wo DW";"BGS Deferral",#N/A,FALSE,"BGS Deferral";"NNC Deferral",#N/A,FALSE,"NNC Deferral";"MTC Deferral",#N/A,FALSE,"MTC Deferral";#N/A,#N/A,FALSE,"Schedule D"}</definedName>
    <definedName name="wrn.Indirects." localSheetId="18" hidden="1">{"Budget",#N/A,TRUE,"Criteria";"Summary",#N/A,TRUE,"Summary";"Detail",#N/A,TRUE,"Detail";"Staff",#N/A,TRUE,"Staffing";"Equip",#N/A,TRUE,"Equipment"}</definedName>
    <definedName name="wrn.Indirects." hidden="1">{"Budget",#N/A,TRUE,"Criteria";"Summary",#N/A,TRUE,"Summary";"Detail",#N/A,TRUE,"Detail";"Staff",#N/A,TRUE,"Staffing";"Equip",#N/A,TRUE,"Equipment"}</definedName>
    <definedName name="wrn.Investment._.Review." localSheetId="18" hidden="1">{#N/A,#N/A,FALSE,"Proforma Five Yr";#N/A,#N/A,FALSE,"Capital Input";#N/A,#N/A,FALSE,"Calculations";#N/A,#N/A,FALSE,"Transaction Summary-DTW"}</definedName>
    <definedName name="wrn.Investment._.Review." hidden="1">{#N/A,#N/A,FALSE,"Proforma Five Yr";#N/A,#N/A,FALSE,"Capital Input";#N/A,#N/A,FALSE,"Calculations";#N/A,#N/A,FALSE,"Transaction Summary-DTW"}</definedName>
    <definedName name="wrn.IPO._.Valuation." localSheetId="18" hidden="1">{"assumptions",#N/A,FALSE,"Scenario 1";"valuation",#N/A,FALSE,"Scenario 1"}</definedName>
    <definedName name="wrn.IPO._.Valuation." hidden="1">{"assumptions",#N/A,FALSE,"Scenario 1";"valuation",#N/A,FALSE,"Scenario 1"}</definedName>
    <definedName name="wrn.LANDMGMT." localSheetId="18" hidden="1">{#N/A,#N/A,FALSE,"CAP 1998";#N/A,#N/A,FALSE,"CAP 1999";#N/A,#N/A,FALSE,"CAP 2000";#N/A,#N/A,FALSE,"CAP_2001";#N/A,#N/A,FALSE,"CAP_2002";#N/A,#N/A,FALSE,"MAINT_1998";#N/A,#N/A,FALSE,"MAINT_1999";#N/A,#N/A,FALSE,"MAINT_2000";#N/A,#N/A,FALSE,"MAINT_2001";#N/A,#N/A,FALSE,"MAINT_2002"}</definedName>
    <definedName name="wrn.LANDMGMT." hidden="1">{#N/A,#N/A,FALSE,"CAP 1998";#N/A,#N/A,FALSE,"CAP 1999";#N/A,#N/A,FALSE,"CAP 2000";#N/A,#N/A,FALSE,"CAP_2001";#N/A,#N/A,FALSE,"CAP_2002";#N/A,#N/A,FALSE,"MAINT_1998";#N/A,#N/A,FALSE,"MAINT_1999";#N/A,#N/A,FALSE,"MAINT_2000";#N/A,#N/A,FALSE,"MAINT_2001";#N/A,#N/A,FALSE,"MAINT_2002"}</definedName>
    <definedName name="wrn.LBO._.Summary." localSheetId="18" hidden="1">{"LBO Summary",#N/A,FALSE,"Summary"}</definedName>
    <definedName name="wrn.LBO._.Summary." hidden="1">{"LBO Summary",#N/A,FALSE,"Summary"}</definedName>
    <definedName name="wrn.LoanInformation." localSheetId="18" hidden="1">{"LoanSchedule",#N/A,FALSE,"LoanAssumptions";"LoanAssumptions",#N/A,FALSE,"LoanAssumptions"}</definedName>
    <definedName name="wrn.LoanInformation." hidden="1">{"LoanSchedule",#N/A,FALSE,"LoanAssumptions";"LoanAssumptions",#N/A,FALSE,"LoanAssumptions"}</definedName>
    <definedName name="wrn.Measure._.50." hidden="1">{"Measure 50 Template",#N/A,FALSE,"M50_98";"Cost Data",#N/A,FALSE,"M50_98"}</definedName>
    <definedName name="wrn.Measure._50.Condon" hidden="1">{"Measure 50 Template",#N/A,FALSE,"M50_98";"Cost Data",#N/A,FALSE,"M50_98"}</definedName>
    <definedName name="wrn.MiniSum." localSheetId="18" hidden="1">{#N/A,#N/A,TRUE,"Facility-Input";#N/A,#N/A,TRUE,"Graphs";#N/A,#N/A,TRUE,"TOTAL"}</definedName>
    <definedName name="wrn.MiniSum." hidden="1">{#N/A,#N/A,TRUE,"Facility-Input";#N/A,#N/A,TRUE,"Graphs";#N/A,#N/A,TRUE,"TOTAL"}</definedName>
    <definedName name="wrn.MonthlyRentRoll." localSheetId="18" hidden="1">{"MonthlyRentRoll",#N/A,FALSE,"RentRoll"}</definedName>
    <definedName name="wrn.MonthlyRentRoll." hidden="1">{"MonthlyRentRoll",#N/A,FALSE,"RentRoll"}</definedName>
    <definedName name="wrn.OperatingAssumtions." localSheetId="18" hidden="1">{#N/A,#N/A,FALSE,"OperatingAssumptions"}</definedName>
    <definedName name="wrn.OperatingAssumtions." hidden="1">{#N/A,#N/A,FALSE,"OperatingAssumptions"}</definedName>
    <definedName name="wrn.Operations._.Review." localSheetId="18" hidden="1">{#N/A,#N/A,FALSE,"Proforma Five Yr";#N/A,#N/A,FALSE,"Occ and Rate";#N/A,#N/A,FALSE,"PF Input";#N/A,#N/A,FALSE,"Hotcomps"}</definedName>
    <definedName name="wrn.Operations._.Review." hidden="1">{#N/A,#N/A,FALSE,"Proforma Five Yr";#N/A,#N/A,FALSE,"Occ and Rate";#N/A,#N/A,FALSE,"PF Input";#N/A,#N/A,FALSE,"Hotcomps"}</definedName>
    <definedName name="wrn.OR09._.Budget._.Stuff." localSheetId="18" hidden="1">{#N/A,#N/A,FALSE,"8-14-03 Detail";#N/A,#N/A,FALSE,"FLA Comparisons";#N/A,#N/A,FALSE,"Budget Changes Summary ";#N/A,#N/A,FALSE,"Exec Summary"}</definedName>
    <definedName name="wrn.OR09._.Budget._.Stuff." hidden="1">{#N/A,#N/A,FALSE,"8-14-03 Detail";#N/A,#N/A,FALSE,"FLA Comparisons";#N/A,#N/A,FALSE,"Budget Changes Summary ";#N/A,#N/A,FALSE,"Exec Summary"}</definedName>
    <definedName name="wrn.Phase._.I." localSheetId="18" hidden="1">{#N/A,#N/A,FALSE,"Transaction Summary-DTW";#N/A,#N/A,FALSE,"Proforma Five Yr";#N/A,#N/A,FALSE,"Occ and Rate"}</definedName>
    <definedName name="wrn.Phase._.I." hidden="1">{#N/A,#N/A,FALSE,"Transaction Summary-DTW";#N/A,#N/A,FALSE,"Proforma Five Yr";#N/A,#N/A,FALSE,"Occ and Rate"}</definedName>
    <definedName name="wrn.Presentation." localSheetId="18" hidden="1">{#N/A,#N/A,TRUE,"Summary";#N/A,#N/A,TRUE,"ExitStrategy";"SalesAndConstruction",#N/A,TRUE,"cs";#N/A,#N/A,TRUE,"OperatingAssumptions";"PresentationRentRoll",#N/A,TRUE,"RentRoll"}</definedName>
    <definedName name="wrn.Presentation." hidden="1">{#N/A,#N/A,TRUE,"Summary";#N/A,#N/A,TRUE,"ExitStrategy";"SalesAndConstruction",#N/A,TRUE,"cs";#N/A,#N/A,TRUE,"OperatingAssumptions";"PresentationRentRoll",#N/A,TRUE,"RentRoll"}</definedName>
    <definedName name="wrn.Print." localSheetId="18" hidden="1">{#N/A,#N/A,TRUE,"Inputs";#N/A,#N/A,TRUE,"Cashflow Statement";#N/A,#N/A,TRUE,"Summary";#N/A,#N/A,TRUE,"Construction";#N/A,#N/A,TRUE,"RevAss";#N/A,#N/A,TRUE,"Debt";#N/A,#N/A,TRUE,"Inc";#N/A,#N/A,TRUE,"Depr"}</definedName>
    <definedName name="wrn.Print." hidden="1">{#N/A,#N/A,TRUE,"Inputs";#N/A,#N/A,TRUE,"Cashflow Statement";#N/A,#N/A,TRUE,"Summary";#N/A,#N/A,TRUE,"Construction";#N/A,#N/A,TRUE,"RevAss";#N/A,#N/A,TRUE,"Debt";#N/A,#N/A,TRUE,"Inc";#N/A,#N/A,TRUE,"Depr"}</definedName>
    <definedName name="wrn.Print._.All._.Pages." localSheetId="18" hidden="1">{"LBO Summary",#N/A,FALSE,"Summary";"Income Statement",#N/A,FALSE,"Model";"Cash Flow",#N/A,FALSE,"Model";"Balance Sheet",#N/A,FALSE,"Model";"Working Capital",#N/A,FALSE,"Model";"Pro Forma Balance Sheets",#N/A,FALSE,"PFBS";"Debt Balances",#N/A,FALSE,"Model";"Fee Schedules",#N/A,FALSE,"Model"}</definedName>
    <definedName name="wrn.Print._.All._.Pages." hidden="1">{"LBO Summary",#N/A,FALSE,"Summary";"Income Statement",#N/A,FALSE,"Model";"Cash Flow",#N/A,FALSE,"Model";"Balance Sheet",#N/A,FALSE,"Model";"Working Capital",#N/A,FALSE,"Model";"Pro Forma Balance Sheets",#N/A,FALSE,"PFBS";"Debt Balances",#N/A,FALSE,"Model";"Fee Schedules",#N/A,FALSE,"Model"}</definedName>
    <definedName name="wrn.print._.graphs." localSheetId="18" hidden="1">{"cap_structure",#N/A,FALSE,"Graph-Mkt Cap";"price",#N/A,FALSE,"Graph-Price";"ebit",#N/A,FALSE,"Graph-EBITDA";"ebitda",#N/A,FALSE,"Graph-EBITDA"}</definedName>
    <definedName name="wrn.print._.graphs." hidden="1">{"cap_structure",#N/A,FALSE,"Graph-Mkt Cap";"price",#N/A,FALSE,"Graph-Price";"ebit",#N/A,FALSE,"Graph-EBITDA";"ebitda",#N/A,FALSE,"Graph-EBITDA"}</definedName>
    <definedName name="wrn.print._.raw._.data._.entry." localSheetId="18" hidden="1">{"inputs raw data",#N/A,TRUE,"INPUT"}</definedName>
    <definedName name="wrn.print._.raw._.data._.entry." hidden="1">{"inputs raw data",#N/A,TRUE,"INPUT"}</definedName>
    <definedName name="wrn.print._.summary._.sheets." localSheetId="18" hidden="1">{"summary1",#N/A,TRUE,"Comps";"summary2",#N/A,TRUE,"Comps";"summary3",#N/A,TRUE,"Comps"}</definedName>
    <definedName name="wrn.print._.summary._.sheets." hidden="1">{"summary1",#N/A,TRUE,"Comps";"summary2",#N/A,TRUE,"Comps";"summary3",#N/A,TRUE,"Comps"}</definedName>
    <definedName name="wrn.print._.summary._.sheets.2" localSheetId="18" hidden="1">{"summary1",#N/A,TRUE,"Comps";"summary2",#N/A,TRUE,"Comps";"summary3",#N/A,TRUE,"Comps"}</definedName>
    <definedName name="wrn.print._.summary._.sheets.2" hidden="1">{"summary1",#N/A,TRUE,"Comps";"summary2",#N/A,TRUE,"Comps";"summary3",#N/A,TRUE,"Comps"}</definedName>
    <definedName name="wrn.Print_Buyer." localSheetId="18" hidden="1">{#N/A,"DR",FALSE,"increm pf";#N/A,"MAMSI",FALSE,"increm pf";#N/A,"MAXI",FALSE,"increm pf";#N/A,"PCAM",FALSE,"increm pf";#N/A,"PHSV",FALSE,"increm pf";#N/A,"SIE",FALSE,"increm pf"}</definedName>
    <definedName name="wrn.Print_Buyer." hidden="1">{#N/A,"DR",FALSE,"increm pf";#N/A,"MAMSI",FALSE,"increm pf";#N/A,"MAXI",FALSE,"increm pf";#N/A,"PCAM",FALSE,"increm pf";#N/A,"PHSV",FALSE,"increm pf";#N/A,"SIE",FALSE,"increm pf"}</definedName>
    <definedName name="wrn.Print_Target." localSheetId="18"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wrn.Print_Target."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wrn.Profile._.and._.Basis." localSheetId="18" hidden="1">{#N/A,#N/A,FALSE,"Project Profile";#N/A,#N/A,FALSE,"Basis of Estimate"}</definedName>
    <definedName name="wrn.Profile._.and._.Basis." hidden="1">{#N/A,#N/A,FALSE,"Project Profile";#N/A,#N/A,FALSE,"Basis of Estimate"}</definedName>
    <definedName name="wrn.Proforma._.Review." localSheetId="18" hidden="1">{#N/A,#N/A,FALSE,"Occ and Rate";#N/A,#N/A,FALSE,"PF Input";#N/A,#N/A,FALSE,"Proforma Five Yr";#N/A,#N/A,FALSE,"Hotcomps"}</definedName>
    <definedName name="wrn.Proforma._.Review." hidden="1">{#N/A,#N/A,FALSE,"Occ and Rate";#N/A,#N/A,FALSE,"PF Input";#N/A,#N/A,FALSE,"Proforma Five Yr";#N/A,#N/A,FALSE,"Hotcomps"}</definedName>
    <definedName name="wrn.Project._.A." localSheetId="18" hidden="1">{"Proj Econ Summary",#N/A,FALSE,"Project A";"Income Statement",#N/A,FALSE,"Project A";"Cash Flow Statement",#N/A,FALSE,"Project A";"Balance Sheet",#N/A,FALSE,"Project A";"Scenario Summary (Proj A)",#N/A,FALSE,"Scenario Summary"}</definedName>
    <definedName name="wrn.Project._.A." hidden="1">{"Proj Econ Summary",#N/A,FALSE,"Project A";"Income Statement",#N/A,FALSE,"Project A";"Cash Flow Statement",#N/A,FALSE,"Project A";"Balance Sheet",#N/A,FALSE,"Project A";"Scenario Summary (Proj A)",#N/A,FALSE,"Scenario Summary"}</definedName>
    <definedName name="wrn.Project._.Summary." localSheetId="18" hidden="1">{"Summary",#N/A,FALSE,"MICMULT";"Income Statement",#N/A,FALSE,"MICMULT";"Cash Flows",#N/A,FALSE,"MICMULT"}</definedName>
    <definedName name="wrn.Project._.Summary." hidden="1">{"Summary",#N/A,FALSE,"MICMULT";"Income Statement",#N/A,FALSE,"MICMULT";"Cash Flows",#N/A,FALSE,"MICMULT"}</definedName>
    <definedName name="wrn.PropertyInformation." localSheetId="18" hidden="1">{#N/A,#N/A,FALSE,"PropertyInfo"}</definedName>
    <definedName name="wrn.PropertyInformation." hidden="1">{#N/A,#N/A,FALSE,"PropertyInfo"}</definedName>
    <definedName name="wrn.Report." localSheetId="8" hidden="1">{#N/A,#N/A,FALSE,"Work performed";#N/A,#N/A,FALSE,"Resources"}</definedName>
    <definedName name="wrn.Report." localSheetId="14" hidden="1">{#N/A,#N/A,FALSE,"Work performed";#N/A,#N/A,FALSE,"Resources"}</definedName>
    <definedName name="wrn.Report." localSheetId="15" hidden="1">{#N/A,#N/A,FALSE,"Work performed";#N/A,#N/A,FALSE,"Resources"}</definedName>
    <definedName name="wrn.Report." localSheetId="18" hidden="1">{#N/A,#N/A,FALSE,"Work performed";#N/A,#N/A,FALSE,"Resources"}</definedName>
    <definedName name="wrn.Report." hidden="1">{#N/A,#N/A,FALSE,"Work performed";#N/A,#N/A,FALSE,"Resources"}</definedName>
    <definedName name="wrn.Rev._.0." localSheetId="18" hidden="1">{"Rev 0 Normal",#N/A,FALSE,"FNM Plan-Rev 0";"Rev 0 Pricing",#N/A,FALSE,"FNM Plan-Rev 0"}</definedName>
    <definedName name="wrn.Rev._.0." hidden="1">{"Rev 0 Normal",#N/A,FALSE,"FNM Plan-Rev 0";"Rev 0 Pricing",#N/A,FALSE,"FNM Plan-Rev 0"}</definedName>
    <definedName name="wrn.Revenue._.Analysis." localSheetId="8" hidden="1">{"High Level Summary",#N/A,FALSE,"High Level Summary";"Summary",#N/A,FALSE,"Summary";"Post Restructuring Revenue",#N/A,FALSE,"NEW RATE REV BY RATE CLASS";"Pre-Restructuring Revenue",#N/A,FALSE,"OLD RATE REV BY RATE CLASS";"1998 Sales",#N/A,FALSE,"NEW RATE REV BY RATE CLASS";"1999 Sales",#N/A,FALSE,"7 and 5 RATE REV BY RATE CLASS";"1999 7&amp;5 Revenue",#N/A,FALSE,"7 and 5 RATE REV BY RATE CLASS";"2000 Revenue",#N/A,FALSE,"2000 RATE REV BY RATE CLASS";"2001 Revenue",#N/A,FALSE,"2001 RATE REV BY RATE CLASS";"Post Restructuring Rates",#N/A,FALSE,"1999 NEW RATE SHAPING";"Pre-Restructuring Rates",#N/A,FALSE,"1999 OLD RATE SHAPING";"2000 Rates",#N/A,FALSE,"2000 NEW RATE SHAPING"}</definedName>
    <definedName name="wrn.Revenue._.Analysis." localSheetId="14" hidden="1">{"High Level Summary",#N/A,FALSE,"High Level Summary";"Summary",#N/A,FALSE,"Summary";"Post Restructuring Revenue",#N/A,FALSE,"NEW RATE REV BY RATE CLASS";"Pre-Restructuring Revenue",#N/A,FALSE,"OLD RATE REV BY RATE CLASS";"1998 Sales",#N/A,FALSE,"NEW RATE REV BY RATE CLASS";"1999 Sales",#N/A,FALSE,"7 and 5 RATE REV BY RATE CLASS";"1999 7&amp;5 Revenue",#N/A,FALSE,"7 and 5 RATE REV BY RATE CLASS";"2000 Revenue",#N/A,FALSE,"2000 RATE REV BY RATE CLASS";"2001 Revenue",#N/A,FALSE,"2001 RATE REV BY RATE CLASS";"Post Restructuring Rates",#N/A,FALSE,"1999 NEW RATE SHAPING";"Pre-Restructuring Rates",#N/A,FALSE,"1999 OLD RATE SHAPING";"2000 Rates",#N/A,FALSE,"2000 NEW RATE SHAPING"}</definedName>
    <definedName name="wrn.Revenue._.Analysis." localSheetId="15" hidden="1">{"High Level Summary",#N/A,FALSE,"High Level Summary";"Summary",#N/A,FALSE,"Summary";"Post Restructuring Revenue",#N/A,FALSE,"NEW RATE REV BY RATE CLASS";"Pre-Restructuring Revenue",#N/A,FALSE,"OLD RATE REV BY RATE CLASS";"1998 Sales",#N/A,FALSE,"NEW RATE REV BY RATE CLASS";"1999 Sales",#N/A,FALSE,"7 and 5 RATE REV BY RATE CLASS";"1999 7&amp;5 Revenue",#N/A,FALSE,"7 and 5 RATE REV BY RATE CLASS";"2000 Revenue",#N/A,FALSE,"2000 RATE REV BY RATE CLASS";"2001 Revenue",#N/A,FALSE,"2001 RATE REV BY RATE CLASS";"Post Restructuring Rates",#N/A,FALSE,"1999 NEW RATE SHAPING";"Pre-Restructuring Rates",#N/A,FALSE,"1999 OLD RATE SHAPING";"2000 Rates",#N/A,FALSE,"2000 NEW RATE SHAPING"}</definedName>
    <definedName name="wrn.Revenue._.Analysis." localSheetId="18" hidden="1">{"High Level Summary",#N/A,FALSE,"High Level Summary";"Summary",#N/A,FALSE,"Summary";"Post Restructuring Revenue",#N/A,FALSE,"NEW RATE REV BY RATE CLASS";"Pre-Restructuring Revenue",#N/A,FALSE,"OLD RATE REV BY RATE CLASS";"1998 Sales",#N/A,FALSE,"NEW RATE REV BY RATE CLASS";"1999 Sales",#N/A,FALSE,"7 and 5 RATE REV BY RATE CLASS";"1999 7&amp;5 Revenue",#N/A,FALSE,"7 and 5 RATE REV BY RATE CLASS";"2000 Revenue",#N/A,FALSE,"2000 RATE REV BY RATE CLASS";"2001 Revenue",#N/A,FALSE,"2001 RATE REV BY RATE CLASS";"Post Restructuring Rates",#N/A,FALSE,"1999 NEW RATE SHAPING";"Pre-Restructuring Rates",#N/A,FALSE,"1999 OLD RATE SHAPING";"2000 Rates",#N/A,FALSE,"2000 NEW RATE SHAPING"}</definedName>
    <definedName name="wrn.Revenue._.Analysis." hidden="1">{"High Level Summary",#N/A,FALSE,"High Level Summary";"Summary",#N/A,FALSE,"Summary";"Post Restructuring Revenue",#N/A,FALSE,"NEW RATE REV BY RATE CLASS";"Pre-Restructuring Revenue",#N/A,FALSE,"OLD RATE REV BY RATE CLASS";"1998 Sales",#N/A,FALSE,"NEW RATE REV BY RATE CLASS";"1999 Sales",#N/A,FALSE,"7 and 5 RATE REV BY RATE CLASS";"1999 7&amp;5 Revenue",#N/A,FALSE,"7 and 5 RATE REV BY RATE CLASS";"2000 Revenue",#N/A,FALSE,"2000 RATE REV BY RATE CLASS";"2001 Revenue",#N/A,FALSE,"2001 RATE REV BY RATE CLASS";"Post Restructuring Rates",#N/A,FALSE,"1999 NEW RATE SHAPING";"Pre-Restructuring Rates",#N/A,FALSE,"1999 OLD RATE SHAPING";"2000 Rates",#N/A,FALSE,"2000 NEW RATE SHAPING"}</definedName>
    <definedName name="wrn.Risk._.Reserves." localSheetId="18" hidden="1">{#N/A,#N/A,TRUE,"Reserves";#N/A,#N/A,TRUE,"Graphs"}</definedName>
    <definedName name="wrn.Risk._.Reserves." hidden="1">{#N/A,#N/A,TRUE,"Reserves";#N/A,#N/A,TRUE,"Graphs"}</definedName>
    <definedName name="wrn.Segment._.1." localSheetId="18" hidden="1">{#N/A,#N/A,TRUE,"Segment 1"}</definedName>
    <definedName name="wrn.Segment._.1." hidden="1">{#N/A,#N/A,TRUE,"Segment 1"}</definedName>
    <definedName name="wrn.Segment._.2." localSheetId="18" hidden="1">{#N/A,#N/A,TRUE,"Segment 2"}</definedName>
    <definedName name="wrn.Segment._.2." hidden="1">{#N/A,#N/A,TRUE,"Segment 2"}</definedName>
    <definedName name="wrn.Segment._.3." localSheetId="18" hidden="1">{#N/A,#N/A,TRUE,"Segment 3"}</definedName>
    <definedName name="wrn.Segment._.3." hidden="1">{#N/A,#N/A,TRUE,"Segment 3"}</definedName>
    <definedName name="wrn.Segment._.4." localSheetId="18" hidden="1">{#N/A,#N/A,TRUE,"Segment 4"}</definedName>
    <definedName name="wrn.Segment._.4." hidden="1">{#N/A,#N/A,TRUE,"Segment 4"}</definedName>
    <definedName name="wrn.Segment._.5." localSheetId="18" hidden="1">{#N/A,#N/A,TRUE,"Segment 5"}</definedName>
    <definedName name="wrn.Segment._.5." hidden="1">{#N/A,#N/A,TRUE,"Segment 5"}</definedName>
    <definedName name="wrn.Snapshot." localSheetId="18" hidden="1">{#N/A,#N/A,TRUE,"Facility-Input";#N/A,#N/A,TRUE,"Graphs"}</definedName>
    <definedName name="wrn.Snapshot." hidden="1">{#N/A,#N/A,TRUE,"Facility-Input";#N/A,#N/A,TRUE,"Graphs"}</definedName>
    <definedName name="wrn.SRU._.CONDENSER." localSheetId="18" hidden="1">{#N/A,#N/A,FALSE,"HXSheet1";#N/A,#N/A,FALSE,"Sheet2";#N/A,#N/A,FALSE,"Sheet3";#N/A,#N/A,FALSE,"Sheet4"}</definedName>
    <definedName name="wrn.SRU._.CONDENSER." hidden="1">{#N/A,#N/A,FALSE,"HXSheet1";#N/A,#N/A,FALSE,"Sheet2";#N/A,#N/A,FALSE,"Sheet3";#N/A,#N/A,FALSE,"Sheet4"}</definedName>
    <definedName name="wrn.STAND_ALONE_BOTH." localSheetId="18" hidden="1">{"FCB_ALL",#N/A,FALSE,"FCB";"GREY_ALL",#N/A,FALSE,"GREY"}</definedName>
    <definedName name="wrn.STAND_ALONE_BOTH." hidden="1">{"FCB_ALL",#N/A,FALSE,"FCB";"GREY_ALL",#N/A,FALSE,"GREY"}</definedName>
    <definedName name="wrn.SUM._.OF._.UNIT._.3." localSheetId="18" hidden="1">{#N/A,#N/A,FALSE,"INPUTDATA";#N/A,#N/A,FALSE,"SUMMARY";#N/A,#N/A,FALSE,"CTAREP";#N/A,#N/A,FALSE,"CTBREP";#N/A,#N/A,FALSE,"PMG4ST86";#N/A,#N/A,FALSE,"TURBEFF";#N/A,#N/A,FALSE,"Condenser Performance"}</definedName>
    <definedName name="wrn.SUM._.OF._.UNIT._.3." hidden="1">{#N/A,#N/A,FALSE,"INPUTDATA";#N/A,#N/A,FALSE,"SUMMARY";#N/A,#N/A,FALSE,"CTAREP";#N/A,#N/A,FALSE,"CTBREP";#N/A,#N/A,FALSE,"PMG4ST86";#N/A,#N/A,FALSE,"TURBEFF";#N/A,#N/A,FALSE,"Condenser Performance"}</definedName>
    <definedName name="wrn.Summary." localSheetId="18" hidden="1">{#N/A,#N/A,FALSE,"Summary"}</definedName>
    <definedName name="wrn.Summary." hidden="1">{#N/A,#N/A,FALSE,"Summary"}</definedName>
    <definedName name="wrn.Supporting._.Calculations." localSheetId="8" hidden="1">{#N/A,#N/A,FALSE,"Work performed";#N/A,#N/A,FALSE,"Resources"}</definedName>
    <definedName name="wrn.Supporting._.Calculations." localSheetId="14" hidden="1">{#N/A,#N/A,FALSE,"Work performed";#N/A,#N/A,FALSE,"Resources"}</definedName>
    <definedName name="wrn.Supporting._.Calculations." localSheetId="15" hidden="1">{#N/A,#N/A,FALSE,"Work performed";#N/A,#N/A,FALSE,"Resources"}</definedName>
    <definedName name="wrn.Supporting._.Calculations." localSheetId="18" hidden="1">{#N/A,#N/A,FALSE,"Work performed";#N/A,#N/A,FALSE,"Resources"}</definedName>
    <definedName name="wrn.Supporting._.Calculations." hidden="1">{#N/A,#N/A,FALSE,"Work performed";#N/A,#N/A,FALSE,"Resources"}</definedName>
    <definedName name="wrn.Tax._.Accrual." localSheetId="8" hidden="1">{#N/A,#N/A,TRUE,"TAXPROV";#N/A,#N/A,TRUE,"FLOWTHRU";#N/A,#N/A,TRUE,"SCHEDULE M'S";#N/A,#N/A,TRUE,"PLANT M'S";#N/A,#N/A,TRUE,"TAXJE"}</definedName>
    <definedName name="wrn.Tax._.Accrual." localSheetId="14" hidden="1">{#N/A,#N/A,TRUE,"TAXPROV";#N/A,#N/A,TRUE,"FLOWTHRU";#N/A,#N/A,TRUE,"SCHEDULE M'S";#N/A,#N/A,TRUE,"PLANT M'S";#N/A,#N/A,TRUE,"TAXJE"}</definedName>
    <definedName name="wrn.Tax._.Accrual." localSheetId="15" hidden="1">{#N/A,#N/A,TRUE,"TAXPROV";#N/A,#N/A,TRUE,"FLOWTHRU";#N/A,#N/A,TRUE,"SCHEDULE M'S";#N/A,#N/A,TRUE,"PLANT M'S";#N/A,#N/A,TRUE,"TAXJE"}</definedName>
    <definedName name="wrn.Tax._.Accrual." localSheetId="18" hidden="1">{#N/A,#N/A,TRUE,"TAXPROV";#N/A,#N/A,TRUE,"FLOWTHRU";#N/A,#N/A,TRUE,"SCHEDULE M'S";#N/A,#N/A,TRUE,"PLANT M'S";#N/A,#N/A,TRUE,"TAXJE"}</definedName>
    <definedName name="wrn.Tax._.Accrual." hidden="1">{#N/A,#N/A,TRUE,"TAXPROV";#N/A,#N/A,TRUE,"FLOWTHRU";#N/A,#N/A,TRUE,"SCHEDULE M'S";#N/A,#N/A,TRUE,"PLANT M'S";#N/A,#N/A,TRUE,"TAXJE"}</definedName>
    <definedName name="wrn.Template." localSheetId="18" hidden="1">{#N/A,#N/A,FALSE,"1_Executive Summary";#N/A,#N/A,FALSE,"2_Assumptions";#N/A,#N/A,FALSE,"3_Footnotes";#N/A,#N/A,FALSE,"4_Cash Flow";#N/A,#N/A,FALSE,"5_Exp Detail";#N/A,#N/A,FALSE,"6_Residual - Marketing";#N/A,#N/A,FALSE,"7_Residual Matrix";#N/A,#N/A,FALSE,"8_Pricing Matrix";#N/A,#N/A,FALSE,"9_Value Matrix";#N/A,#N/A,FALSE,"10_Vacancy Detail";#N/A,#N/A,FALSE,"12_Expiration Schedule";#N/A,#N/A,FALSE,"13_Exp Analysis Fixed-Var";#N/A,#N/A,FALSE,"14_Existing vs Mkt"}</definedName>
    <definedName name="wrn.Template." hidden="1">{#N/A,#N/A,FALSE,"1_Executive Summary";#N/A,#N/A,FALSE,"2_Assumptions";#N/A,#N/A,FALSE,"3_Footnotes";#N/A,#N/A,FALSE,"4_Cash Flow";#N/A,#N/A,FALSE,"5_Exp Detail";#N/A,#N/A,FALSE,"6_Residual - Marketing";#N/A,#N/A,FALSE,"7_Residual Matrix";#N/A,#N/A,FALSE,"8_Pricing Matrix";#N/A,#N/A,FALSE,"9_Value Matrix";#N/A,#N/A,FALSE,"10_Vacancy Detail";#N/A,#N/A,FALSE,"12_Expiration Schedule";#N/A,#N/A,FALSE,"13_Exp Analysis Fixed-Var";#N/A,#N/A,FALSE,"14_Existing vs Mkt"}</definedName>
    <definedName name="wrn.Totals." localSheetId="18" hidden="1">{#N/A,#N/A,TRUE,"TOTAL";#N/A,#N/A,TRUE,"Total Pipes"}</definedName>
    <definedName name="wrn.Totals." hidden="1">{#N/A,#N/A,TRUE,"TOTAL";#N/A,#N/A,TRUE,"Total Pipes"}</definedName>
    <definedName name="wrn.Value." localSheetId="18" hidden="1">{#N/A,#N/A,FALSE,"Cashflow Analysis";#N/A,#N/A,FALSE,"Sensitivity Analysis";#N/A,#N/A,FALSE,"PV";#N/A,#N/A,FALSE,"Pro Forma"}</definedName>
    <definedName name="wrn.Value." hidden="1">{#N/A,#N/A,FALSE,"Cashflow Analysis";#N/A,#N/A,FALSE,"Sensitivity Analysis";#N/A,#N/A,FALSE,"PV";#N/A,#N/A,FALSE,"Pro Forma"}</definedName>
    <definedName name="wrn_CAPREIT_">{#N/A,#N/A,FALSE,"CAPREIT"}</definedName>
    <definedName name="wrn_CAPREIT2">{#N/A,#N/A,FALSE,"CAPREIT"}</definedName>
    <definedName name="WTG_MW">#REF!</definedName>
    <definedName name="WTG_Qty">#REF!</definedName>
    <definedName name="WTG_rating">#REF!</definedName>
    <definedName name="wvi" localSheetId="18" hidden="1">{#N/A,#N/A,FALSE,"SUMMARY";#N/A,#N/A,FALSE,"INPUTDATA";#N/A,#N/A,FALSE,"Condenser Performance"}</definedName>
    <definedName name="wvi" hidden="1">{#N/A,#N/A,FALSE,"SUMMARY";#N/A,#N/A,FALSE,"INPUTDATA";#N/A,#N/A,FALSE,"Condenser Performance"}</definedName>
    <definedName name="wvo" localSheetId="18" hidden="1">{"EXCELHLP.HLP!1802";5;10;5;10;13;13;13;8;5;5;10;14;13;13;13;13;5;10;14;13;5;10;1;2;24}</definedName>
    <definedName name="wvo" hidden="1">{"EXCELHLP.HLP!1802";5;10;5;10;13;13;13;8;5;5;10;14;13;13;13;13;5;10;14;13;5;10;1;2;24}</definedName>
    <definedName name="wvu.inputs._.raw._.data." localSheetId="18" hidden="1">{TRUE,TRUE,-1.25,-15.5,604.5,369,FALSE,FALSE,TRUE,TRUE,0,1,83,1,38,4,5,4,TRUE,TRUE,3,TRUE,1,TRUE,75,"Swvu.inputs._.raw._.data.","ACwvu.inputs._.raw._.data.",#N/A,FALSE,FALSE,0.5,0.5,0.5,0.5,2,"&amp;F","&amp;A&amp;RPage &amp;P",FALSE,FALSE,FALSE,FALSE,1,60,#N/A,#N/A,"=R1C61:R53C89","=C1:C5",#N/A,#N/A,FALSE,FALSE,FALSE,1,600,600,FALSE,FALSE,TRUE,TRUE,TRUE}</definedName>
    <definedName name="wvu.inputs._.raw._.data." hidden="1">{TRUE,TRUE,-1.25,-15.5,604.5,369,FALSE,FALSE,TRUE,TRUE,0,1,83,1,38,4,5,4,TRUE,TRUE,3,TRUE,1,TRUE,75,"Swvu.inputs._.raw._.data.","ACwvu.inputs._.raw._.data.",#N/A,FALSE,FALSE,0.5,0.5,0.5,0.5,2,"&amp;F","&amp;A&amp;RPage &amp;P",FALSE,FALSE,FALSE,FALSE,1,60,#N/A,#N/A,"=R1C61:R53C89","=C1:C5",#N/A,#N/A,FALSE,FALSE,FALSE,1,600,600,FALSE,FALSE,TRUE,TRUE,TRUE}</definedName>
    <definedName name="wvu.summary1." localSheetId="18"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1."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2." localSheetId="18"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2."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3." localSheetId="18"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3."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WH">#REF!</definedName>
    <definedName name="Wyoming">#REF!</definedName>
    <definedName name="x">#REF!</definedName>
    <definedName name="xAnchorCell">#REF!</definedName>
    <definedName name="Xbracing">#REF!</definedName>
    <definedName name="Xbracing_labor">#REF!</definedName>
    <definedName name="Xcel">#REF!</definedName>
    <definedName name="Xcel_COS">#REF!</definedName>
    <definedName name="xDisclaimer1">#REF!</definedName>
    <definedName name="xDisclaimer2">#REF!</definedName>
    <definedName name="Xfmr_pit">#REF!</definedName>
    <definedName name="xRunDate">#REF!</definedName>
    <definedName name="xSponsorName">#REF!</definedName>
    <definedName name="xx" localSheetId="18" hidden="1">{2;#N/A;"R13C16:R17C16";#N/A;"R13C14:R17C15";FALSE;FALSE;FALSE;95;#N/A;#N/A;"R13C19";#N/A;FALSE;FALSE;FALSE;FALSE;#N/A;"";#N/A;FALSE;"";"";#N/A;#N/A;#N/A}</definedName>
    <definedName name="xx" hidden="1">{2;#N/A;"R13C16:R17C16";#N/A;"R13C14:R17C15";FALSE;FALSE;FALSE;95;#N/A;#N/A;"R13C19";#N/A;FALSE;FALSE;FALSE;FALSE;#N/A;"";#N/A;FALSE;"";"";#N/A;#N/A;#N/A}</definedName>
    <definedName name="xxx" localSheetId="8" hidden="1">{#N/A,#N/A,FALSE,"O&amp;M by processes";#N/A,#N/A,FALSE,"Elec Act vs Bud";#N/A,#N/A,FALSE,"G&amp;A";#N/A,#N/A,FALSE,"BGS";#N/A,#N/A,FALSE,"Res Cost"}</definedName>
    <definedName name="xxx" localSheetId="14" hidden="1">{#N/A,#N/A,FALSE,"O&amp;M by processes";#N/A,#N/A,FALSE,"Elec Act vs Bud";#N/A,#N/A,FALSE,"G&amp;A";#N/A,#N/A,FALSE,"BGS";#N/A,#N/A,FALSE,"Res Cost"}</definedName>
    <definedName name="xxx" localSheetId="15" hidden="1">{#N/A,#N/A,FALSE,"O&amp;M by processes";#N/A,#N/A,FALSE,"Elec Act vs Bud";#N/A,#N/A,FALSE,"G&amp;A";#N/A,#N/A,FALSE,"BGS";#N/A,#N/A,FALSE,"Res Cost"}</definedName>
    <definedName name="xxx" localSheetId="18" hidden="1">{#N/A,#N/A,FALSE,"O&amp;M by processes";#N/A,#N/A,FALSE,"Elec Act vs Bud";#N/A,#N/A,FALSE,"G&amp;A";#N/A,#N/A,FALSE,"BGS";#N/A,#N/A,FALSE,"Res Cost"}</definedName>
    <definedName name="xxx" hidden="1">{#N/A,#N/A,FALSE,"O&amp;M by processes";#N/A,#N/A,FALSE,"Elec Act vs Bud";#N/A,#N/A,FALSE,"G&amp;A";#N/A,#N/A,FALSE,"BGS";#N/A,#N/A,FALSE,"Res Cost"}</definedName>
    <definedName name="xxx.detail" localSheetId="18" hidden="1">{"detail305",#N/A,FALSE,"BI-305"}</definedName>
    <definedName name="xxx.detail" hidden="1">{"detail305",#N/A,FALSE,"BI-305"}</definedName>
    <definedName name="xxx.directory" localSheetId="18" hidden="1">{"summary",#N/A,FALSE,"PCR DIRECTORY"}</definedName>
    <definedName name="xxx.directory" hidden="1">{"summary",#N/A,FALSE,"PCR DIRECTORY"}</definedName>
    <definedName name="xxxx" localSheetId="8" hidden="1">{#N/A,#N/A,FALSE,"O&amp;M by processes";#N/A,#N/A,FALSE,"Elec Act vs Bud";#N/A,#N/A,FALSE,"G&amp;A";#N/A,#N/A,FALSE,"BGS";#N/A,#N/A,FALSE,"Res Cost"}</definedName>
    <definedName name="xxxx" localSheetId="14" hidden="1">{#N/A,#N/A,FALSE,"O&amp;M by processes";#N/A,#N/A,FALSE,"Elec Act vs Bud";#N/A,#N/A,FALSE,"G&amp;A";#N/A,#N/A,FALSE,"BGS";#N/A,#N/A,FALSE,"Res Cost"}</definedName>
    <definedName name="xxxx" localSheetId="15" hidden="1">{#N/A,#N/A,FALSE,"O&amp;M by processes";#N/A,#N/A,FALSE,"Elec Act vs Bud";#N/A,#N/A,FALSE,"G&amp;A";#N/A,#N/A,FALSE,"BGS";#N/A,#N/A,FALSE,"Res Cost"}</definedName>
    <definedName name="xxxx" localSheetId="18" hidden="1">{#N/A,#N/A,FALSE,"O&amp;M by processes";#N/A,#N/A,FALSE,"Elec Act vs Bud";#N/A,#N/A,FALSE,"G&amp;A";#N/A,#N/A,FALSE,"BGS";#N/A,#N/A,FALSE,"Res Cost"}</definedName>
    <definedName name="xxxx" hidden="1">{#N/A,#N/A,FALSE,"O&amp;M by processes";#N/A,#N/A,FALSE,"Elec Act vs Bud";#N/A,#N/A,FALSE,"G&amp;A";#N/A,#N/A,FALSE,"BGS";#N/A,#N/A,FALSE,"Res Cost"}</definedName>
    <definedName name="xxxxx" localSheetId="18" hidden="1">{#N/A,#N/A,TRUE,"TOTAL DISTRIBUTION";#N/A,#N/A,TRUE,"SOUTH";#N/A,#N/A,TRUE,"NORTHEAST";#N/A,#N/A,TRUE,"WEST"}</definedName>
    <definedName name="xxxxx" hidden="1">{#N/A,#N/A,TRUE,"TOTAL DISTRIBUTION";#N/A,#N/A,TRUE,"SOUTH";#N/A,#N/A,TRUE,"NORTHEAST";#N/A,#N/A,TRUE,"WEST"}</definedName>
    <definedName name="xxxxxx" localSheetId="18" hidden="1">{#N/A,#N/A,TRUE,"TOTAL DSBN";#N/A,#N/A,TRUE,"WEST";#N/A,#N/A,TRUE,"SOUTH";#N/A,#N/A,TRUE,"NORTHEAST"}</definedName>
    <definedName name="xxxxxx" hidden="1">{#N/A,#N/A,TRUE,"TOTAL DSBN";#N/A,#N/A,TRUE,"WEST";#N/A,#N/A,TRUE,"SOUTH";#N/A,#N/A,TRUE,"NORTHEAST"}</definedName>
    <definedName name="xxxxxxx" localSheetId="18" hidden="1">{#N/A,#N/A,FALSE,"Sum6 (1)"}</definedName>
    <definedName name="xxxxxxx" hidden="1">{#N/A,#N/A,FALSE,"Sum6 (1)"}</definedName>
    <definedName name="y">#REF!</definedName>
    <definedName name="Y1M1">#REF!&amp;" "&amp;"-"&amp;" "&amp;"1"</definedName>
    <definedName name="Y1M10">#REF!&amp;" "&amp;"-"&amp;" "&amp;"10"</definedName>
    <definedName name="Y1M11">#REF!&amp;" "&amp;"-"&amp;" "&amp;"11"</definedName>
    <definedName name="Y1M12">#REF!&amp;" "&amp;"-"&amp;" "&amp;"12"</definedName>
    <definedName name="Y1M2">#REF!&amp;" "&amp;"-"&amp;" "&amp;"2"</definedName>
    <definedName name="Y1M3">#REF!&amp;" "&amp;"-"&amp;" "&amp;"3"</definedName>
    <definedName name="Y1M4">#REF!&amp;" "&amp;"-"&amp;" "&amp;"4"</definedName>
    <definedName name="Y1M5">#REF!&amp;" "&amp;"-"&amp;" "&amp;"5"</definedName>
    <definedName name="Y1M6">#REF!&amp;" "&amp;"-"&amp;" "&amp;"6"</definedName>
    <definedName name="Y1M7">#REF!&amp;" "&amp;"-"&amp;" "&amp;"7"</definedName>
    <definedName name="Y1M8">#REF!&amp;" "&amp;"-"&amp;" "&amp;"8"</definedName>
    <definedName name="Y1M9">#REF!&amp;" "&amp;"-"&amp;" "&amp;"9"</definedName>
    <definedName name="Y2M1">#REF!&amp;" "&amp;"-"&amp;" "&amp;"1"</definedName>
    <definedName name="Y2M10">#REF!&amp;" "&amp;"-"&amp;" "&amp;"10"</definedName>
    <definedName name="Y2M11">#REF!&amp;" "&amp;"-"&amp;" "&amp;"11"</definedName>
    <definedName name="Y2M12">#REF!&amp;" "&amp;"-"&amp;" "&amp;"12"</definedName>
    <definedName name="Y2M2">#REF!&amp;" "&amp;"-"&amp;" "&amp;"2"</definedName>
    <definedName name="Y2M3">#REF!&amp;" "&amp;"-"&amp;" "&amp;"3"</definedName>
    <definedName name="Y2M4">#REF!&amp;" "&amp;"-"&amp;" "&amp;"4"</definedName>
    <definedName name="Y2M5">#REF!&amp;" "&amp;"-"&amp;" "&amp;"5"</definedName>
    <definedName name="Y2M6">#REF!&amp;" "&amp;"-"&amp;" "&amp;"6"</definedName>
    <definedName name="Y2M7">#REF!&amp;" "&amp;"-"&amp;" "&amp;"7"</definedName>
    <definedName name="Y2M8">#REF!&amp;" "&amp;"-"&amp;" "&amp;"8"</definedName>
    <definedName name="Y2M9">#REF!&amp;" "&amp;"-"&amp;" "&amp;"9"</definedName>
    <definedName name="Y3M1">#REF!&amp;" "&amp;"-"&amp;" "&amp;"1"</definedName>
    <definedName name="Y3M10">#REF!&amp;" "&amp;"-"&amp;" "&amp;"10"</definedName>
    <definedName name="Y3M11">#REF!&amp;" "&amp;"-"&amp;" "&amp;"11"</definedName>
    <definedName name="Y3M12">#REF!&amp;" "&amp;"-"&amp;" "&amp;"12"</definedName>
    <definedName name="Y3M2">#REF!&amp;" "&amp;"-"&amp;" "&amp;"2"</definedName>
    <definedName name="Y3M3">#REF!&amp;" "&amp;"-"&amp;" "&amp;"3"</definedName>
    <definedName name="Y3M4">#REF!&amp;" "&amp;"-"&amp;" "&amp;"4"</definedName>
    <definedName name="Y3M5">#REF!&amp;" "&amp;"-"&amp;" "&amp;"5"</definedName>
    <definedName name="Y3M6">#REF!&amp;" "&amp;"-"&amp;" "&amp;"6"</definedName>
    <definedName name="Y3M7">#REF!&amp;" "&amp;"-"&amp;" "&amp;"7"</definedName>
    <definedName name="Y3M8">#REF!&amp;" "&amp;"-"&amp;" "&amp;"8"</definedName>
    <definedName name="Y3M9">#REF!&amp;" "&amp;"-"&amp;" "&amp;"9"</definedName>
    <definedName name="y3noi">#REF!</definedName>
    <definedName name="Yard_Spacing">#REF!</definedName>
    <definedName name="year">#REF!</definedName>
    <definedName name="YEAR1">#REF!</definedName>
    <definedName name="YEAR2">#REF!</definedName>
    <definedName name="YEAR3">#REF!</definedName>
    <definedName name="yeartodate">#REF!</definedName>
    <definedName name="YesNo">#REF!</definedName>
    <definedName name="YF">#REF!</definedName>
    <definedName name="yr_03">#REF!</definedName>
    <definedName name="yr_04">#REF!</definedName>
    <definedName name="yr_05">#REF!</definedName>
    <definedName name="yr_06">#REF!</definedName>
    <definedName name="YR_2">#REF!</definedName>
    <definedName name="yr1noi">#REF!</definedName>
    <definedName name="yr2noi">#REF!</definedName>
    <definedName name="YRMFG">#N/A</definedName>
    <definedName name="YTD">#REF!</definedName>
    <definedName name="YTDACT">#REF!</definedName>
    <definedName name="yyy" localSheetId="18" hidden="1">{"detail305",#N/A,FALSE,"BI-305"}</definedName>
    <definedName name="yyy" hidden="1">{"detail305",#N/A,FALSE,"BI-305"}</definedName>
    <definedName name="Yyyy">#REF!,#REF!,#REF!,#REF!</definedName>
    <definedName name="z">#REF!</definedName>
    <definedName name="Z_28948E05_8F34_4F1E_96FB_A80A6A844600_.wvu.Cols" localSheetId="9" hidden="1">'6a-ADIT Projection'!#REF!</definedName>
    <definedName name="Z_28948E05_8F34_4F1E_96FB_A80A6A844600_.wvu.Cols" localSheetId="10" hidden="1">'6b-ADIT Projection Proration'!#REF!</definedName>
    <definedName name="Z_28948E05_8F34_4F1E_96FB_A80A6A844600_.wvu.Cols" localSheetId="11" hidden="1">'6c- ADIT BOY'!#REF!</definedName>
    <definedName name="Z_28948E05_8F34_4F1E_96FB_A80A6A844600_.wvu.Cols" localSheetId="12" hidden="1">'6d- ADIT EOY'!#REF!</definedName>
    <definedName name="Z_28948E05_8F34_4F1E_96FB_A80A6A844600_.wvu.Cols" localSheetId="13" hidden="1">'6e-ADIT True-up'!#REF!</definedName>
    <definedName name="Z_28948E05_8F34_4F1E_96FB_A80A6A844600_.wvu.Cols" localSheetId="14" hidden="1">'6f-ADIT True-up Proration'!#REF!</definedName>
    <definedName name="Z_28948E05_8F34_4F1E_96FB_A80A6A844600_.wvu.PrintArea" localSheetId="9" hidden="1">'6a-ADIT Projection'!$B$1:$G$56</definedName>
    <definedName name="Z_28948E05_8F34_4F1E_96FB_A80A6A844600_.wvu.PrintArea" localSheetId="10" hidden="1">'6b-ADIT Projection Proration'!$B$1:$H$74</definedName>
    <definedName name="Z_28948E05_8F34_4F1E_96FB_A80A6A844600_.wvu.PrintArea" localSheetId="11" hidden="1">'6c- ADIT BOY'!$B$1:$H$106</definedName>
    <definedName name="Z_28948E05_8F34_4F1E_96FB_A80A6A844600_.wvu.PrintArea" localSheetId="12" hidden="1">'6d- ADIT EOY'!$B$1:$H$106</definedName>
    <definedName name="Z_28948E05_8F34_4F1E_96FB_A80A6A844600_.wvu.PrintArea" localSheetId="13" hidden="1">'6e-ADIT True-up'!$B$1:$G$63</definedName>
    <definedName name="Z_28948E05_8F34_4F1E_96FB_A80A6A844600_.wvu.PrintArea" localSheetId="14" hidden="1">'6f-ADIT True-up Proration'!$B$1:$F$74</definedName>
    <definedName name="Z_3768C7C8_9953_11DA_B318_000FB55D51DC_.wvu.PrintArea" localSheetId="3" hidden="1">'1 - Revenue Credits'!$A$5:$D$19</definedName>
    <definedName name="Z_3768C7C8_9953_11DA_B318_000FB55D51DC_.wvu.PrintArea" localSheetId="4" hidden="1">'2 - Cost Support '!#REF!</definedName>
    <definedName name="Z_3768C7C8_9953_11DA_B318_000FB55D51DC_.wvu.PrintArea" localSheetId="5" hidden="1">'3 - Cost Support'!$A$30:$M$118</definedName>
    <definedName name="Z_3768C7C8_9953_11DA_B318_000FB55D51DC_.wvu.PrintTitles" localSheetId="4" hidden="1">'2 - Cost Support '!#REF!</definedName>
    <definedName name="Z_3768C7C8_9953_11DA_B318_000FB55D51DC_.wvu.PrintTitles" localSheetId="5" hidden="1">'3 - Cost Support'!#REF!</definedName>
    <definedName name="Z_3768C7C8_9953_11DA_B318_000FB55D51DC_.wvu.Rows" localSheetId="4" hidden="1">'2 - Cost Support '!#REF!</definedName>
    <definedName name="Z_3768C7C8_9953_11DA_B318_000FB55D51DC_.wvu.Rows" localSheetId="5" hidden="1">'3 - Cost Support'!#REF!</definedName>
    <definedName name="Z_3BDD6235_B127_4929_8311_BDAF7BB89818_.wvu.PrintArea" localSheetId="3" hidden="1">'1 - Revenue Credits'!$A$5:$D$19</definedName>
    <definedName name="Z_3BDD6235_B127_4929_8311_BDAF7BB89818_.wvu.PrintArea" localSheetId="4" hidden="1">'2 - Cost Support '!#REF!</definedName>
    <definedName name="Z_3BDD6235_B127_4929_8311_BDAF7BB89818_.wvu.PrintArea" localSheetId="5" hidden="1">'3 - Cost Support'!$A$30:$M$118</definedName>
    <definedName name="Z_3BDD6235_B127_4929_8311_BDAF7BB89818_.wvu.PrintTitles" localSheetId="4" hidden="1">'2 - Cost Support '!#REF!</definedName>
    <definedName name="Z_3BDD6235_B127_4929_8311_BDAF7BB89818_.wvu.PrintTitles" localSheetId="5" hidden="1">'3 - Cost Support'!#REF!</definedName>
    <definedName name="Z_3BDD6235_B127_4929_8311_BDAF7BB89818_.wvu.Rows" localSheetId="4" hidden="1">'2 - Cost Support '!#REF!</definedName>
    <definedName name="Z_3BDD6235_B127_4929_8311_BDAF7BB89818_.wvu.Rows" localSheetId="5" hidden="1">'3 - Cost Support'!#REF!</definedName>
    <definedName name="Z_63011E91_4609_4523_98FE_FD252E915668_.wvu.Cols" localSheetId="9" hidden="1">'6a-ADIT Projection'!#REF!</definedName>
    <definedName name="Z_63011E91_4609_4523_98FE_FD252E915668_.wvu.Cols" localSheetId="10" hidden="1">'6b-ADIT Projection Proration'!#REF!</definedName>
    <definedName name="Z_63011E91_4609_4523_98FE_FD252E915668_.wvu.Cols" localSheetId="11" hidden="1">'6c- ADIT BOY'!#REF!</definedName>
    <definedName name="Z_63011E91_4609_4523_98FE_FD252E915668_.wvu.Cols" localSheetId="12" hidden="1">'6d- ADIT EOY'!#REF!</definedName>
    <definedName name="Z_63011E91_4609_4523_98FE_FD252E915668_.wvu.Cols" localSheetId="13" hidden="1">'6e-ADIT True-up'!#REF!</definedName>
    <definedName name="Z_63011E91_4609_4523_98FE_FD252E915668_.wvu.Cols" localSheetId="14" hidden="1">'6f-ADIT True-up Proration'!#REF!</definedName>
    <definedName name="Z_63011E91_4609_4523_98FE_FD252E915668_.wvu.PrintArea" localSheetId="9" hidden="1">'6a-ADIT Projection'!$B$1:$G$56</definedName>
    <definedName name="Z_63011E91_4609_4523_98FE_FD252E915668_.wvu.PrintArea" localSheetId="10" hidden="1">'6b-ADIT Projection Proration'!$B$1:$H$74</definedName>
    <definedName name="Z_63011E91_4609_4523_98FE_FD252E915668_.wvu.PrintArea" localSheetId="11" hidden="1">'6c- ADIT BOY'!$B$1:$H$106</definedName>
    <definedName name="Z_63011E91_4609_4523_98FE_FD252E915668_.wvu.PrintArea" localSheetId="12" hidden="1">'6d- ADIT EOY'!$B$1:$H$106</definedName>
    <definedName name="Z_63011E91_4609_4523_98FE_FD252E915668_.wvu.PrintArea" localSheetId="13" hidden="1">'6e-ADIT True-up'!$B$1:$G$63</definedName>
    <definedName name="Z_63011E91_4609_4523_98FE_FD252E915668_.wvu.PrintArea" localSheetId="14" hidden="1">'6f-ADIT True-up Proration'!$B$1:$F$74</definedName>
    <definedName name="Z_6928E596_79BD_4CEC_9F0D_07E62D69B2A5_.wvu.Cols" localSheetId="9" hidden="1">'6a-ADIT Projection'!#REF!</definedName>
    <definedName name="Z_6928E596_79BD_4CEC_9F0D_07E62D69B2A5_.wvu.Cols" localSheetId="10" hidden="1">'6b-ADIT Projection Proration'!#REF!</definedName>
    <definedName name="Z_6928E596_79BD_4CEC_9F0D_07E62D69B2A5_.wvu.Cols" localSheetId="11" hidden="1">'6c- ADIT BOY'!#REF!</definedName>
    <definedName name="Z_6928E596_79BD_4CEC_9F0D_07E62D69B2A5_.wvu.Cols" localSheetId="12" hidden="1">'6d- ADIT EOY'!#REF!</definedName>
    <definedName name="Z_6928E596_79BD_4CEC_9F0D_07E62D69B2A5_.wvu.Cols" localSheetId="13" hidden="1">'6e-ADIT True-up'!#REF!</definedName>
    <definedName name="Z_6928E596_79BD_4CEC_9F0D_07E62D69B2A5_.wvu.Cols" localSheetId="14" hidden="1">'6f-ADIT True-up Proration'!#REF!</definedName>
    <definedName name="Z_6928E596_79BD_4CEC_9F0D_07E62D69B2A5_.wvu.PrintArea" localSheetId="9" hidden="1">'6a-ADIT Projection'!$B$1:$G$56</definedName>
    <definedName name="Z_6928E596_79BD_4CEC_9F0D_07E62D69B2A5_.wvu.PrintArea" localSheetId="10" hidden="1">'6b-ADIT Projection Proration'!$B$1:$H$74</definedName>
    <definedName name="Z_6928E596_79BD_4CEC_9F0D_07E62D69B2A5_.wvu.PrintArea" localSheetId="11" hidden="1">'6c- ADIT BOY'!$B$1:$H$106</definedName>
    <definedName name="Z_6928E596_79BD_4CEC_9F0D_07E62D69B2A5_.wvu.PrintArea" localSheetId="12" hidden="1">'6d- ADIT EOY'!$B$1:$H$106</definedName>
    <definedName name="Z_6928E596_79BD_4CEC_9F0D_07E62D69B2A5_.wvu.PrintArea" localSheetId="13" hidden="1">'6e-ADIT True-up'!$B$1:$G$63</definedName>
    <definedName name="Z_6928E596_79BD_4CEC_9F0D_07E62D69B2A5_.wvu.PrintArea" localSheetId="14" hidden="1">'6f-ADIT True-up Proration'!$B$1:$F$74</definedName>
    <definedName name="Z_71B42B22_A376_44B5_B0C1_23FC1AA3DBA2_.wvu.Cols" localSheetId="9" hidden="1">'6a-ADIT Projection'!#REF!</definedName>
    <definedName name="Z_71B42B22_A376_44B5_B0C1_23FC1AA3DBA2_.wvu.Cols" localSheetId="10" hidden="1">'6b-ADIT Projection Proration'!#REF!</definedName>
    <definedName name="Z_71B42B22_A376_44B5_B0C1_23FC1AA3DBA2_.wvu.Cols" localSheetId="11" hidden="1">'6c- ADIT BOY'!#REF!</definedName>
    <definedName name="Z_71B42B22_A376_44B5_B0C1_23FC1AA3DBA2_.wvu.Cols" localSheetId="12" hidden="1">'6d- ADIT EOY'!#REF!</definedName>
    <definedName name="Z_71B42B22_A376_44B5_B0C1_23FC1AA3DBA2_.wvu.Cols" localSheetId="13" hidden="1">'6e-ADIT True-up'!#REF!</definedName>
    <definedName name="Z_71B42B22_A376_44B5_B0C1_23FC1AA3DBA2_.wvu.Cols" localSheetId="14" hidden="1">'6f-ADIT True-up Proration'!#REF!</definedName>
    <definedName name="Z_71B42B22_A376_44B5_B0C1_23FC1AA3DBA2_.wvu.PrintArea" localSheetId="9" hidden="1">'6a-ADIT Projection'!$B$1:$G$56</definedName>
    <definedName name="Z_71B42B22_A376_44B5_B0C1_23FC1AA3DBA2_.wvu.PrintArea" localSheetId="10" hidden="1">'6b-ADIT Projection Proration'!$B$1:$H$74</definedName>
    <definedName name="Z_71B42B22_A376_44B5_B0C1_23FC1AA3DBA2_.wvu.PrintArea" localSheetId="11" hidden="1">'6c- ADIT BOY'!$B$1:$H$106</definedName>
    <definedName name="Z_71B42B22_A376_44B5_B0C1_23FC1AA3DBA2_.wvu.PrintArea" localSheetId="12" hidden="1">'6d- ADIT EOY'!$B$1:$H$106</definedName>
    <definedName name="Z_71B42B22_A376_44B5_B0C1_23FC1AA3DBA2_.wvu.PrintArea" localSheetId="13" hidden="1">'6e-ADIT True-up'!$B$1:$G$63</definedName>
    <definedName name="Z_71B42B22_A376_44B5_B0C1_23FC1AA3DBA2_.wvu.PrintArea" localSheetId="14" hidden="1">'6f-ADIT True-up Proration'!$B$1:$F$74</definedName>
    <definedName name="Z_8FBB4DC9_2D51_4AB9_80D8_F8474B404C29_.wvu.Cols" localSheetId="9" hidden="1">'6a-ADIT Projection'!#REF!</definedName>
    <definedName name="Z_8FBB4DC9_2D51_4AB9_80D8_F8474B404C29_.wvu.Cols" localSheetId="10" hidden="1">'6b-ADIT Projection Proration'!#REF!</definedName>
    <definedName name="Z_8FBB4DC9_2D51_4AB9_80D8_F8474B404C29_.wvu.Cols" localSheetId="11" hidden="1">'6c- ADIT BOY'!#REF!</definedName>
    <definedName name="Z_8FBB4DC9_2D51_4AB9_80D8_F8474B404C29_.wvu.Cols" localSheetId="12" hidden="1">'6d- ADIT EOY'!#REF!</definedName>
    <definedName name="Z_8FBB4DC9_2D51_4AB9_80D8_F8474B404C29_.wvu.Cols" localSheetId="13" hidden="1">'6e-ADIT True-up'!#REF!</definedName>
    <definedName name="Z_8FBB4DC9_2D51_4AB9_80D8_F8474B404C29_.wvu.Cols" localSheetId="14" hidden="1">'6f-ADIT True-up Proration'!#REF!</definedName>
    <definedName name="Z_8FBB4DC9_2D51_4AB9_80D8_F8474B404C29_.wvu.PrintArea" localSheetId="9" hidden="1">'6a-ADIT Projection'!$B$1:$G$56</definedName>
    <definedName name="Z_8FBB4DC9_2D51_4AB9_80D8_F8474B404C29_.wvu.PrintArea" localSheetId="10" hidden="1">'6b-ADIT Projection Proration'!$B$1:$H$74</definedName>
    <definedName name="Z_8FBB4DC9_2D51_4AB9_80D8_F8474B404C29_.wvu.PrintArea" localSheetId="11" hidden="1">'6c- ADIT BOY'!$B$1:$H$106</definedName>
    <definedName name="Z_8FBB4DC9_2D51_4AB9_80D8_F8474B404C29_.wvu.PrintArea" localSheetId="12" hidden="1">'6d- ADIT EOY'!$B$1:$H$106</definedName>
    <definedName name="Z_8FBB4DC9_2D51_4AB9_80D8_F8474B404C29_.wvu.PrintArea" localSheetId="13" hidden="1">'6e-ADIT True-up'!$B$1:$G$63</definedName>
    <definedName name="Z_8FBB4DC9_2D51_4AB9_80D8_F8474B404C29_.wvu.PrintArea" localSheetId="14" hidden="1">'6f-ADIT True-up Proration'!$B$1:$F$74</definedName>
    <definedName name="Z_B0241363_5C8A_48FC_89A6_56D55586BABE_.wvu.PrintArea" localSheetId="3" hidden="1">'1 - Revenue Credits'!$A$5:$D$19</definedName>
    <definedName name="Z_B0241363_5C8A_48FC_89A6_56D55586BABE_.wvu.PrintArea" localSheetId="4" hidden="1">'2 - Cost Support '!#REF!</definedName>
    <definedName name="Z_B0241363_5C8A_48FC_89A6_56D55586BABE_.wvu.PrintArea" localSheetId="5" hidden="1">'3 - Cost Support'!$A$30:$M$118</definedName>
    <definedName name="Z_B0241363_5C8A_48FC_89A6_56D55586BABE_.wvu.PrintTitles" localSheetId="4" hidden="1">'2 - Cost Support '!#REF!</definedName>
    <definedName name="Z_B0241363_5C8A_48FC_89A6_56D55586BABE_.wvu.PrintTitles" localSheetId="5" hidden="1">'3 - Cost Support'!#REF!</definedName>
    <definedName name="Z_B0241363_5C8A_48FC_89A6_56D55586BABE_.wvu.Rows" localSheetId="4" hidden="1">'2 - Cost Support '!#REF!</definedName>
    <definedName name="Z_B0241363_5C8A_48FC_89A6_56D55586BABE_.wvu.Rows" localSheetId="5" hidden="1">'3 - Cost Support'!#REF!</definedName>
    <definedName name="Z_B647CB7F_C846_4278_B6B1_1EF7F3C004F5_.wvu.Cols" localSheetId="9" hidden="1">'6a-ADIT Projection'!#REF!</definedName>
    <definedName name="Z_B647CB7F_C846_4278_B6B1_1EF7F3C004F5_.wvu.Cols" localSheetId="10" hidden="1">'6b-ADIT Projection Proration'!#REF!</definedName>
    <definedName name="Z_B647CB7F_C846_4278_B6B1_1EF7F3C004F5_.wvu.Cols" localSheetId="11" hidden="1">'6c- ADIT BOY'!#REF!</definedName>
    <definedName name="Z_B647CB7F_C846_4278_B6B1_1EF7F3C004F5_.wvu.Cols" localSheetId="12" hidden="1">'6d- ADIT EOY'!#REF!</definedName>
    <definedName name="Z_B647CB7F_C846_4278_B6B1_1EF7F3C004F5_.wvu.Cols" localSheetId="13" hidden="1">'6e-ADIT True-up'!#REF!</definedName>
    <definedName name="Z_B647CB7F_C846_4278_B6B1_1EF7F3C004F5_.wvu.Cols" localSheetId="14" hidden="1">'6f-ADIT True-up Proration'!#REF!</definedName>
    <definedName name="Z_B647CB7F_C846_4278_B6B1_1EF7F3C004F5_.wvu.PrintArea" localSheetId="9" hidden="1">'6a-ADIT Projection'!$B$1:$G$56</definedName>
    <definedName name="Z_B647CB7F_C846_4278_B6B1_1EF7F3C004F5_.wvu.PrintArea" localSheetId="10" hidden="1">'6b-ADIT Projection Proration'!$B$1:$H$74</definedName>
    <definedName name="Z_B647CB7F_C846_4278_B6B1_1EF7F3C004F5_.wvu.PrintArea" localSheetId="11" hidden="1">'6c- ADIT BOY'!$B$1:$H$106</definedName>
    <definedName name="Z_B647CB7F_C846_4278_B6B1_1EF7F3C004F5_.wvu.PrintArea" localSheetId="12" hidden="1">'6d- ADIT EOY'!$B$1:$H$106</definedName>
    <definedName name="Z_B647CB7F_C846_4278_B6B1_1EF7F3C004F5_.wvu.PrintArea" localSheetId="13" hidden="1">'6e-ADIT True-up'!$B$1:$G$63</definedName>
    <definedName name="Z_B647CB7F_C846_4278_B6B1_1EF7F3C004F5_.wvu.PrintArea" localSheetId="14" hidden="1">'6f-ADIT True-up Proration'!$B$1:$F$74</definedName>
    <definedName name="Z_C0EA0F9F_7310_4201_82C9_7B8FC8DB9137_.wvu.PrintArea" localSheetId="3" hidden="1">'1 - Revenue Credits'!$A$5:$D$19</definedName>
    <definedName name="Z_C0EA0F9F_7310_4201_82C9_7B8FC8DB9137_.wvu.PrintArea" localSheetId="4" hidden="1">'2 - Cost Support '!#REF!</definedName>
    <definedName name="Z_C0EA0F9F_7310_4201_82C9_7B8FC8DB9137_.wvu.PrintArea" localSheetId="5" hidden="1">'3 - Cost Support'!$A$30:$M$118</definedName>
    <definedName name="Z_C0EA0F9F_7310_4201_82C9_7B8FC8DB9137_.wvu.PrintTitles" localSheetId="4" hidden="1">'2 - Cost Support '!#REF!</definedName>
    <definedName name="Z_C0EA0F9F_7310_4201_82C9_7B8FC8DB9137_.wvu.PrintTitles" localSheetId="5" hidden="1">'3 - Cost Support'!#REF!</definedName>
    <definedName name="Z_C0EA0F9F_7310_4201_82C9_7B8FC8DB9137_.wvu.Rows" localSheetId="4" hidden="1">'2 - Cost Support '!#REF!</definedName>
    <definedName name="Z_C0EA0F9F_7310_4201_82C9_7B8FC8DB9137_.wvu.Rows" localSheetId="5" hidden="1">'3 - Cost Support'!#REF!</definedName>
    <definedName name="Z_DC91DEF3_837B_4BB9_A81E_3B78C5914E6C_.wvu.Cols" localSheetId="9" hidden="1">'6a-ADIT Projection'!#REF!</definedName>
    <definedName name="Z_DC91DEF3_837B_4BB9_A81E_3B78C5914E6C_.wvu.Cols" localSheetId="10" hidden="1">'6b-ADIT Projection Proration'!#REF!</definedName>
    <definedName name="Z_DC91DEF3_837B_4BB9_A81E_3B78C5914E6C_.wvu.Cols" localSheetId="11" hidden="1">'6c- ADIT BOY'!#REF!</definedName>
    <definedName name="Z_DC91DEF3_837B_4BB9_A81E_3B78C5914E6C_.wvu.Cols" localSheetId="12" hidden="1">'6d- ADIT EOY'!#REF!</definedName>
    <definedName name="Z_DC91DEF3_837B_4BB9_A81E_3B78C5914E6C_.wvu.Cols" localSheetId="13" hidden="1">'6e-ADIT True-up'!#REF!</definedName>
    <definedName name="Z_DC91DEF3_837B_4BB9_A81E_3B78C5914E6C_.wvu.Cols" localSheetId="14" hidden="1">'6f-ADIT True-up Proration'!#REF!</definedName>
    <definedName name="Z_DC91DEF3_837B_4BB9_A81E_3B78C5914E6C_.wvu.PrintArea" localSheetId="9" hidden="1">'6a-ADIT Projection'!$B$1:$G$56</definedName>
    <definedName name="Z_DC91DEF3_837B_4BB9_A81E_3B78C5914E6C_.wvu.PrintArea" localSheetId="10" hidden="1">'6b-ADIT Projection Proration'!$B$1:$H$74</definedName>
    <definedName name="Z_DC91DEF3_837B_4BB9_A81E_3B78C5914E6C_.wvu.PrintArea" localSheetId="11" hidden="1">'6c- ADIT BOY'!$B$1:$H$106</definedName>
    <definedName name="Z_DC91DEF3_837B_4BB9_A81E_3B78C5914E6C_.wvu.PrintArea" localSheetId="12" hidden="1">'6d- ADIT EOY'!$B$1:$H$106</definedName>
    <definedName name="Z_DC91DEF3_837B_4BB9_A81E_3B78C5914E6C_.wvu.PrintArea" localSheetId="13" hidden="1">'6e-ADIT True-up'!$B$1:$G$63</definedName>
    <definedName name="Z_DC91DEF3_837B_4BB9_A81E_3B78C5914E6C_.wvu.PrintArea" localSheetId="14" hidden="1">'6f-ADIT True-up Proration'!$B$1:$F$74</definedName>
    <definedName name="Z_FAAD9AAC_1337_43AB_BF1F_CCF9DFCF5B78_.wvu.Cols" localSheetId="9" hidden="1">'6a-ADIT Projection'!#REF!</definedName>
    <definedName name="Z_FAAD9AAC_1337_43AB_BF1F_CCF9DFCF5B78_.wvu.Cols" localSheetId="10" hidden="1">'6b-ADIT Projection Proration'!#REF!</definedName>
    <definedName name="Z_FAAD9AAC_1337_43AB_BF1F_CCF9DFCF5B78_.wvu.Cols" localSheetId="11" hidden="1">'6c- ADIT BOY'!#REF!</definedName>
    <definedName name="Z_FAAD9AAC_1337_43AB_BF1F_CCF9DFCF5B78_.wvu.Cols" localSheetId="12" hidden="1">'6d- ADIT EOY'!#REF!</definedName>
    <definedName name="Z_FAAD9AAC_1337_43AB_BF1F_CCF9DFCF5B78_.wvu.Cols" localSheetId="13" hidden="1">'6e-ADIT True-up'!#REF!</definedName>
    <definedName name="Z_FAAD9AAC_1337_43AB_BF1F_CCF9DFCF5B78_.wvu.Cols" localSheetId="14" hidden="1">'6f-ADIT True-up Proration'!#REF!</definedName>
    <definedName name="Z_FAAD9AAC_1337_43AB_BF1F_CCF9DFCF5B78_.wvu.PrintArea" localSheetId="9" hidden="1">'6a-ADIT Projection'!$B$1:$G$56</definedName>
    <definedName name="Z_FAAD9AAC_1337_43AB_BF1F_CCF9DFCF5B78_.wvu.PrintArea" localSheetId="10" hidden="1">'6b-ADIT Projection Proration'!$B$1:$H$74</definedName>
    <definedName name="Z_FAAD9AAC_1337_43AB_BF1F_CCF9DFCF5B78_.wvu.PrintArea" localSheetId="11" hidden="1">'6c- ADIT BOY'!$B$1:$H$106</definedName>
    <definedName name="Z_FAAD9AAC_1337_43AB_BF1F_CCF9DFCF5B78_.wvu.PrintArea" localSheetId="12" hidden="1">'6d- ADIT EOY'!$B$1:$H$106</definedName>
    <definedName name="Z_FAAD9AAC_1337_43AB_BF1F_CCF9DFCF5B78_.wvu.PrintArea" localSheetId="13" hidden="1">'6e-ADIT True-up'!$B$1:$G$63</definedName>
    <definedName name="Z_FAAD9AAC_1337_43AB_BF1F_CCF9DFCF5B78_.wvu.PrintArea" localSheetId="14" hidden="1">'6f-ADIT True-up Proration'!$B$1:$F$74</definedName>
    <definedName name="ZACQBGT">#REF!</definedName>
    <definedName name="ZACQCF">#REF!</definedName>
    <definedName name="ZCFLW">#REF!</definedName>
    <definedName name="ZCOMM">#REF!</definedName>
    <definedName name="zero">0</definedName>
    <definedName name="zero_out">#REF!</definedName>
    <definedName name="zLFC">#REF!</definedName>
    <definedName name="ZRCL">#REF!</definedName>
    <definedName name="zzz" localSheetId="18" hidden="1">{#N/A,#N/A,FALSE,"Results";#N/A,#N/A,FALSE,"Input Data";#N/A,#N/A,FALSE,"Generation Calculation";#N/A,#N/A,FALSE,"Unit Heat Rate Calculation";#N/A,#N/A,FALSE,"Final FWH Extraction Flow";#N/A,#N/A,FALSE,"BEFF.XLS";#N/A,#N/A,FALSE,"TURBEFF.XLS";#N/A,#N/A,FALSE,"Condenser Performance";#N/A,#N/A,FALSE,"Stage Pressure Correction";#N/A,#N/A,FALSE,"Electrical Loss Correction";#N/A,#N/A,FALSE,"Throttle P &amp; T Correction";#N/A,#N/A,FALSE,"Final FWH TTD Correction";#N/A,#N/A,FALSE,"Reheat T &amp; dP Correction";#N/A,#N/A,FALSE,"Auxiliary Steam &amp; Extr Corr";#N/A,#N/A,FALSE,"SHS &amp; RHS Correction";#N/A,#N/A,FALSE,"Change Log"}</definedName>
    <definedName name="zzz" hidden="1">{#N/A,#N/A,FALSE,"Results";#N/A,#N/A,FALSE,"Input Data";#N/A,#N/A,FALSE,"Generation Calculation";#N/A,#N/A,FALSE,"Unit Heat Rate Calculation";#N/A,#N/A,FALSE,"Final FWH Extraction Flow";#N/A,#N/A,FALSE,"BEFF.XLS";#N/A,#N/A,FALSE,"TURBEFF.XLS";#N/A,#N/A,FALSE,"Condenser Performance";#N/A,#N/A,FALSE,"Stage Pressure Correction";#N/A,#N/A,FALSE,"Electrical Loss Correction";#N/A,#N/A,FALSE,"Throttle P &amp; T Correction";#N/A,#N/A,FALSE,"Final FWH TTD Correction";#N/A,#N/A,FALSE,"Reheat T &amp; dP Correction";#N/A,#N/A,FALSE,"Auxiliary Steam &amp; Extr Corr";#N/A,#N/A,FALSE,"SHS &amp; RHS Correction";#N/A,#N/A,FALSE,"Change Log"}</definedName>
    <definedName name="シャイン">#REF!</definedName>
    <definedName name="その他">#REF!</definedName>
    <definedName name="口座名">#REF!</definedName>
    <definedName name="売上">#REF!</definedName>
    <definedName name="支店名">#REF!</definedName>
    <definedName name="普・当">#REF!</definedName>
    <definedName name="社員">#REF!</definedName>
    <definedName name="種類">#REF!</definedName>
    <definedName name="販管費">#REF!</definedName>
    <definedName name="銀行名">#REF!</definedName>
    <definedName name="預コ">#REF!</definedName>
  </definedNames>
  <calcPr calcId="191029" concurrentManualCount="12"/>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7" i="7" l="1"/>
  <c r="F46" i="7"/>
  <c r="F45" i="7"/>
  <c r="F44" i="7"/>
  <c r="AA19" i="35" l="1"/>
  <c r="AC19" i="35"/>
  <c r="AC77" i="35"/>
  <c r="AC53" i="35"/>
  <c r="AC37" i="35"/>
  <c r="AH37" i="35" s="1"/>
  <c r="C5" i="17" l="1"/>
  <c r="J15" i="17"/>
  <c r="J33" i="17"/>
  <c r="K33" i="17"/>
  <c r="J8" i="17"/>
  <c r="J17" i="17"/>
  <c r="K27" i="17"/>
  <c r="J11" i="17"/>
  <c r="J25" i="17"/>
  <c r="J13" i="17"/>
  <c r="J12" i="17"/>
  <c r="K10" i="17"/>
  <c r="K23" i="17"/>
  <c r="D10" i="18"/>
  <c r="D7" i="18"/>
  <c r="H35" i="17"/>
  <c r="H34" i="17"/>
  <c r="H33" i="17"/>
  <c r="H32" i="17"/>
  <c r="H31" i="17"/>
  <c r="H30" i="17"/>
  <c r="H29" i="17"/>
  <c r="H28" i="17"/>
  <c r="H27" i="17"/>
  <c r="H26" i="17"/>
  <c r="H25" i="17"/>
  <c r="H24" i="17"/>
  <c r="H23" i="17"/>
  <c r="H134" i="16"/>
  <c r="M108" i="16"/>
  <c r="M107" i="16"/>
  <c r="M106" i="16"/>
  <c r="M105" i="16"/>
  <c r="M104" i="16"/>
  <c r="M103" i="16"/>
  <c r="M102" i="16"/>
  <c r="M101" i="16"/>
  <c r="M100" i="16"/>
  <c r="M99" i="16"/>
  <c r="M98" i="16"/>
  <c r="M97" i="16"/>
  <c r="M96" i="16"/>
  <c r="M95" i="16"/>
  <c r="M94" i="16"/>
  <c r="M93" i="16"/>
  <c r="M109" i="16"/>
  <c r="M92" i="16"/>
  <c r="V80" i="16"/>
  <c r="T80" i="16"/>
  <c r="T79" i="16"/>
  <c r="V79" i="16"/>
  <c r="T78" i="16"/>
  <c r="V78" i="16"/>
  <c r="T77" i="16"/>
  <c r="V77" i="16"/>
  <c r="V76" i="16"/>
  <c r="T76" i="16"/>
  <c r="T75" i="16"/>
  <c r="V75" i="16"/>
  <c r="T74" i="16"/>
  <c r="V74" i="16"/>
  <c r="T73" i="16"/>
  <c r="V73" i="16"/>
  <c r="V72" i="16"/>
  <c r="T72" i="16"/>
  <c r="T71" i="16"/>
  <c r="V71" i="16"/>
  <c r="T70" i="16"/>
  <c r="V70" i="16"/>
  <c r="R60" i="16"/>
  <c r="R59" i="16"/>
  <c r="R58" i="16"/>
  <c r="R57" i="16"/>
  <c r="R56" i="16"/>
  <c r="R55" i="16"/>
  <c r="R54" i="16"/>
  <c r="R53" i="16"/>
  <c r="R52" i="16"/>
  <c r="R51" i="16"/>
  <c r="R61" i="16"/>
  <c r="Y40" i="16"/>
  <c r="W40" i="16"/>
  <c r="Z40" i="16"/>
  <c r="E40" i="16"/>
  <c r="G40" i="16"/>
  <c r="I40" i="16"/>
  <c r="Z39" i="16"/>
  <c r="Y39" i="16"/>
  <c r="W39" i="16"/>
  <c r="G39" i="16"/>
  <c r="I39" i="16"/>
  <c r="E39" i="16"/>
  <c r="Y38" i="16"/>
  <c r="W38" i="16"/>
  <c r="Z38" i="16"/>
  <c r="E38" i="16"/>
  <c r="G38" i="16"/>
  <c r="I38" i="16"/>
  <c r="Z37" i="16"/>
  <c r="Y37" i="16"/>
  <c r="W37" i="16"/>
  <c r="I37" i="16"/>
  <c r="G37" i="16"/>
  <c r="E37" i="16"/>
  <c r="Y36" i="16"/>
  <c r="W36" i="16"/>
  <c r="Z36" i="16"/>
  <c r="E36" i="16"/>
  <c r="G36" i="16"/>
  <c r="I36" i="16"/>
  <c r="Z35" i="16"/>
  <c r="Y35" i="16"/>
  <c r="W35" i="16"/>
  <c r="G35" i="16"/>
  <c r="I35" i="16"/>
  <c r="E35" i="16"/>
  <c r="Y34" i="16"/>
  <c r="W34" i="16"/>
  <c r="Z34" i="16"/>
  <c r="E34" i="16"/>
  <c r="G34" i="16"/>
  <c r="I34" i="16"/>
  <c r="Z33" i="16"/>
  <c r="Y33" i="16"/>
  <c r="W33" i="16"/>
  <c r="I33" i="16"/>
  <c r="G33" i="16"/>
  <c r="E33" i="16"/>
  <c r="Y32" i="16"/>
  <c r="W32" i="16"/>
  <c r="Z32" i="16"/>
  <c r="E32" i="16"/>
  <c r="G32" i="16"/>
  <c r="I32" i="16"/>
  <c r="Z31" i="16"/>
  <c r="Y31" i="16"/>
  <c r="W31" i="16"/>
  <c r="G31" i="16"/>
  <c r="I31" i="16"/>
  <c r="E31" i="16"/>
  <c r="Y30" i="16"/>
  <c r="W30" i="16"/>
  <c r="Z30" i="16"/>
  <c r="Z41" i="16"/>
  <c r="E30" i="16"/>
  <c r="G30" i="16"/>
  <c r="I30" i="16"/>
  <c r="Y20" i="16"/>
  <c r="W20" i="16"/>
  <c r="Z20" i="16"/>
  <c r="E20" i="16"/>
  <c r="G20" i="16"/>
  <c r="I20" i="16"/>
  <c r="Z19" i="16"/>
  <c r="Y19" i="16"/>
  <c r="W19" i="16"/>
  <c r="I19" i="16"/>
  <c r="G19" i="16"/>
  <c r="E19" i="16"/>
  <c r="Y18" i="16"/>
  <c r="W18" i="16"/>
  <c r="Z18" i="16"/>
  <c r="E18" i="16"/>
  <c r="G18" i="16"/>
  <c r="I18" i="16"/>
  <c r="Z17" i="16"/>
  <c r="Y17" i="16"/>
  <c r="W17" i="16"/>
  <c r="G17" i="16"/>
  <c r="I17" i="16"/>
  <c r="E17" i="16"/>
  <c r="Y16" i="16"/>
  <c r="W16" i="16"/>
  <c r="Z16" i="16"/>
  <c r="E16" i="16"/>
  <c r="G16" i="16"/>
  <c r="I16" i="16"/>
  <c r="Z15" i="16"/>
  <c r="Y15" i="16"/>
  <c r="W15" i="16"/>
  <c r="I15" i="16"/>
  <c r="G15" i="16"/>
  <c r="E15" i="16"/>
  <c r="Y14" i="16"/>
  <c r="W14" i="16"/>
  <c r="Z14" i="16"/>
  <c r="E14" i="16"/>
  <c r="G14" i="16"/>
  <c r="I14" i="16"/>
  <c r="Z13" i="16"/>
  <c r="Y13" i="16"/>
  <c r="W13" i="16"/>
  <c r="G13" i="16"/>
  <c r="I13" i="16"/>
  <c r="E13" i="16"/>
  <c r="Y12" i="16"/>
  <c r="W12" i="16"/>
  <c r="Z12" i="16"/>
  <c r="E12" i="16"/>
  <c r="G12" i="16"/>
  <c r="I12" i="16"/>
  <c r="Z11" i="16"/>
  <c r="Y11" i="16"/>
  <c r="W11" i="16"/>
  <c r="I11" i="16"/>
  <c r="G11" i="16"/>
  <c r="E11" i="16"/>
  <c r="Y10" i="16"/>
  <c r="W10" i="16"/>
  <c r="Z10" i="16"/>
  <c r="Z21" i="16"/>
  <c r="E10" i="16"/>
  <c r="G10" i="16"/>
  <c r="I10" i="16"/>
  <c r="A39" i="15"/>
  <c r="A40" i="15"/>
  <c r="A41" i="15"/>
  <c r="A42" i="15"/>
  <c r="A38" i="15"/>
  <c r="AA54" i="14"/>
  <c r="R54" i="14"/>
  <c r="I54" i="14"/>
  <c r="AB53" i="14"/>
  <c r="AC53" i="14"/>
  <c r="X53" i="14"/>
  <c r="S53" i="14"/>
  <c r="T53" i="14"/>
  <c r="O53" i="14"/>
  <c r="J53" i="14"/>
  <c r="K53" i="14"/>
  <c r="F53" i="14"/>
  <c r="E53" i="14"/>
  <c r="Y53" i="14"/>
  <c r="AB52" i="14"/>
  <c r="AC52" i="14"/>
  <c r="Y52" i="14"/>
  <c r="X52" i="14"/>
  <c r="S52" i="14"/>
  <c r="T52" i="14"/>
  <c r="P52" i="14"/>
  <c r="O52" i="14"/>
  <c r="J52" i="14"/>
  <c r="K52" i="14"/>
  <c r="G52" i="14"/>
  <c r="F52" i="14"/>
  <c r="E52" i="14"/>
  <c r="X51" i="14"/>
  <c r="AB51" i="14"/>
  <c r="AC51" i="14"/>
  <c r="O51" i="14"/>
  <c r="S51" i="14"/>
  <c r="T51" i="14"/>
  <c r="F51" i="14"/>
  <c r="J51" i="14"/>
  <c r="K51" i="14"/>
  <c r="E51" i="14"/>
  <c r="Y51" i="14"/>
  <c r="AB50" i="14"/>
  <c r="AC50" i="14"/>
  <c r="Y50" i="14"/>
  <c r="X50" i="14"/>
  <c r="S50" i="14"/>
  <c r="T50" i="14"/>
  <c r="P50" i="14"/>
  <c r="O50" i="14"/>
  <c r="J50" i="14"/>
  <c r="K50" i="14"/>
  <c r="G50" i="14"/>
  <c r="F50" i="14"/>
  <c r="E50" i="14"/>
  <c r="AB49" i="14"/>
  <c r="AC49" i="14"/>
  <c r="X49" i="14"/>
  <c r="S49" i="14"/>
  <c r="T49" i="14"/>
  <c r="O49" i="14"/>
  <c r="J49" i="14"/>
  <c r="K49" i="14"/>
  <c r="F49" i="14"/>
  <c r="E49" i="14"/>
  <c r="Y49" i="14"/>
  <c r="AB48" i="14"/>
  <c r="AC48" i="14"/>
  <c r="AE48" i="14"/>
  <c r="Y48" i="14"/>
  <c r="X48" i="14"/>
  <c r="S48" i="14"/>
  <c r="T48" i="14"/>
  <c r="V48" i="14"/>
  <c r="P48" i="14"/>
  <c r="O48" i="14"/>
  <c r="J48" i="14"/>
  <c r="K48" i="14"/>
  <c r="M48" i="14"/>
  <c r="G48" i="14"/>
  <c r="F48" i="14"/>
  <c r="E48" i="14"/>
  <c r="X47" i="14"/>
  <c r="AB47" i="14"/>
  <c r="AC47" i="14"/>
  <c r="O47" i="14"/>
  <c r="S47" i="14"/>
  <c r="T47" i="14"/>
  <c r="F47" i="14"/>
  <c r="J47" i="14"/>
  <c r="K47" i="14"/>
  <c r="E47" i="14"/>
  <c r="AB46" i="14"/>
  <c r="AC46" i="14"/>
  <c r="Y46" i="14"/>
  <c r="X46" i="14"/>
  <c r="S46" i="14"/>
  <c r="T46" i="14"/>
  <c r="P46" i="14"/>
  <c r="O46" i="14"/>
  <c r="J46" i="14"/>
  <c r="K46" i="14"/>
  <c r="G46" i="14"/>
  <c r="F46" i="14"/>
  <c r="E46" i="14"/>
  <c r="AB45" i="14"/>
  <c r="AC45" i="14"/>
  <c r="X45" i="14"/>
  <c r="S45" i="14"/>
  <c r="T45" i="14"/>
  <c r="O45" i="14"/>
  <c r="J45" i="14"/>
  <c r="K45" i="14"/>
  <c r="F45" i="14"/>
  <c r="E45" i="14"/>
  <c r="Y45" i="14"/>
  <c r="AD44" i="14"/>
  <c r="AB44" i="14"/>
  <c r="AC44" i="14"/>
  <c r="AE44" i="14"/>
  <c r="Y44" i="14"/>
  <c r="X44" i="14"/>
  <c r="U44" i="14"/>
  <c r="S44" i="14"/>
  <c r="T44" i="14"/>
  <c r="V44" i="14"/>
  <c r="P44" i="14"/>
  <c r="O44" i="14"/>
  <c r="L44" i="14"/>
  <c r="J44" i="14"/>
  <c r="K44" i="14"/>
  <c r="M44" i="14"/>
  <c r="G44" i="14"/>
  <c r="F44" i="14"/>
  <c r="E44" i="14"/>
  <c r="AB43" i="14"/>
  <c r="AC43" i="14"/>
  <c r="X43" i="14"/>
  <c r="S43" i="14"/>
  <c r="T43" i="14"/>
  <c r="O43" i="14"/>
  <c r="J43" i="14"/>
  <c r="K43" i="14"/>
  <c r="F43" i="14"/>
  <c r="E43" i="14"/>
  <c r="AB42" i="14"/>
  <c r="AC42" i="14"/>
  <c r="Y42" i="14"/>
  <c r="X42" i="14"/>
  <c r="X54" i="14"/>
  <c r="U42" i="14"/>
  <c r="S42" i="14"/>
  <c r="T42" i="14"/>
  <c r="P42" i="14"/>
  <c r="O42" i="14"/>
  <c r="O54" i="14"/>
  <c r="L42" i="14"/>
  <c r="J42" i="14"/>
  <c r="K42" i="14"/>
  <c r="G42" i="14"/>
  <c r="F42" i="14"/>
  <c r="F54" i="14"/>
  <c r="E42" i="14"/>
  <c r="AF41" i="14"/>
  <c r="W41" i="14"/>
  <c r="N41" i="14"/>
  <c r="E41" i="14"/>
  <c r="AA38" i="14"/>
  <c r="R38" i="14"/>
  <c r="I38" i="14"/>
  <c r="Y37" i="14"/>
  <c r="X37" i="14"/>
  <c r="AB37" i="14"/>
  <c r="AC37" i="14"/>
  <c r="AE37" i="14"/>
  <c r="P37" i="14"/>
  <c r="O37" i="14"/>
  <c r="S37" i="14"/>
  <c r="T37" i="14"/>
  <c r="L37" i="14"/>
  <c r="G37" i="14"/>
  <c r="F37" i="14"/>
  <c r="J37" i="14"/>
  <c r="K37" i="14"/>
  <c r="M37" i="14"/>
  <c r="E37" i="14"/>
  <c r="AB36" i="14"/>
  <c r="AC36" i="14"/>
  <c r="X36" i="14"/>
  <c r="S36" i="14"/>
  <c r="T36" i="14"/>
  <c r="O36" i="14"/>
  <c r="J36" i="14"/>
  <c r="K36" i="14"/>
  <c r="F36" i="14"/>
  <c r="E36" i="14"/>
  <c r="X35" i="14"/>
  <c r="AB35" i="14"/>
  <c r="AC35" i="14"/>
  <c r="T35" i="14"/>
  <c r="P35" i="14"/>
  <c r="O35" i="14"/>
  <c r="S35" i="14"/>
  <c r="K35" i="14"/>
  <c r="M35" i="14"/>
  <c r="G35" i="14"/>
  <c r="F35" i="14"/>
  <c r="J35" i="14"/>
  <c r="E35" i="14"/>
  <c r="AB34" i="14"/>
  <c r="AC34" i="14"/>
  <c r="X34" i="14"/>
  <c r="S34" i="14"/>
  <c r="T34" i="14"/>
  <c r="O34" i="14"/>
  <c r="J34" i="14"/>
  <c r="K34" i="14"/>
  <c r="F34" i="14"/>
  <c r="E34" i="14"/>
  <c r="Y34" i="14"/>
  <c r="X33" i="14"/>
  <c r="AB33" i="14"/>
  <c r="AC33" i="14"/>
  <c r="AE33" i="14"/>
  <c r="O33" i="14"/>
  <c r="S33" i="14"/>
  <c r="T33" i="14"/>
  <c r="V33" i="14"/>
  <c r="L33" i="14"/>
  <c r="F33" i="14"/>
  <c r="J33" i="14"/>
  <c r="K33" i="14"/>
  <c r="M33" i="14"/>
  <c r="E33" i="14"/>
  <c r="Y33" i="14"/>
  <c r="X32" i="14"/>
  <c r="AB32" i="14"/>
  <c r="AC32" i="14"/>
  <c r="O32" i="14"/>
  <c r="S32" i="14"/>
  <c r="T32" i="14"/>
  <c r="F32" i="14"/>
  <c r="J32" i="14"/>
  <c r="K32" i="14"/>
  <c r="E32" i="14"/>
  <c r="AB31" i="14"/>
  <c r="AC31" i="14"/>
  <c r="Y31" i="14"/>
  <c r="X31" i="14"/>
  <c r="S31" i="14"/>
  <c r="T31" i="14"/>
  <c r="P31" i="14"/>
  <c r="O31" i="14"/>
  <c r="J31" i="14"/>
  <c r="K31" i="14"/>
  <c r="G31" i="14"/>
  <c r="F31" i="14"/>
  <c r="E31" i="14"/>
  <c r="AB30" i="14"/>
  <c r="AC30" i="14"/>
  <c r="AE30" i="14"/>
  <c r="X30" i="14"/>
  <c r="S30" i="14"/>
  <c r="T30" i="14"/>
  <c r="V30" i="14"/>
  <c r="O30" i="14"/>
  <c r="J30" i="14"/>
  <c r="K30" i="14"/>
  <c r="M30" i="14"/>
  <c r="F30" i="14"/>
  <c r="E30" i="14"/>
  <c r="Y30" i="14"/>
  <c r="X29" i="14"/>
  <c r="AB29" i="14"/>
  <c r="AC29" i="14"/>
  <c r="AE29" i="14"/>
  <c r="O29" i="14"/>
  <c r="S29" i="14"/>
  <c r="T29" i="14"/>
  <c r="F29" i="14"/>
  <c r="J29" i="14"/>
  <c r="K29" i="14"/>
  <c r="E29" i="14"/>
  <c r="X28" i="14"/>
  <c r="AB28" i="14"/>
  <c r="AC28" i="14"/>
  <c r="O28" i="14"/>
  <c r="S28" i="14"/>
  <c r="T28" i="14"/>
  <c r="F28" i="14"/>
  <c r="J28" i="14"/>
  <c r="K28" i="14"/>
  <c r="E28" i="14"/>
  <c r="P28" i="14"/>
  <c r="AB27" i="14"/>
  <c r="AC27" i="14"/>
  <c r="Y27" i="14"/>
  <c r="X27" i="14"/>
  <c r="S27" i="14"/>
  <c r="T27" i="14"/>
  <c r="P27" i="14"/>
  <c r="O27" i="14"/>
  <c r="J27" i="14"/>
  <c r="K27" i="14"/>
  <c r="G27" i="14"/>
  <c r="F27" i="14"/>
  <c r="E27" i="14"/>
  <c r="AB26" i="14"/>
  <c r="X26" i="14"/>
  <c r="X38" i="14"/>
  <c r="S26" i="14"/>
  <c r="O26" i="14"/>
  <c r="O38" i="14"/>
  <c r="J26" i="14"/>
  <c r="F26" i="14"/>
  <c r="E26" i="14"/>
  <c r="Y26" i="14"/>
  <c r="AF25" i="14"/>
  <c r="W25" i="14"/>
  <c r="N25" i="14"/>
  <c r="E25" i="14"/>
  <c r="AA22" i="14"/>
  <c r="R22" i="14"/>
  <c r="I22" i="14"/>
  <c r="X21" i="14"/>
  <c r="AB21" i="14"/>
  <c r="AC21" i="14"/>
  <c r="AD21" i="14"/>
  <c r="O21" i="14"/>
  <c r="S21" i="14"/>
  <c r="T21" i="14"/>
  <c r="U21" i="14"/>
  <c r="E21" i="14"/>
  <c r="X20" i="14"/>
  <c r="O20" i="14"/>
  <c r="E20" i="14"/>
  <c r="AC19" i="14"/>
  <c r="AB19" i="14"/>
  <c r="X19" i="14"/>
  <c r="S19" i="14"/>
  <c r="T19" i="14"/>
  <c r="O19" i="14"/>
  <c r="E19" i="14"/>
  <c r="Y19" i="14"/>
  <c r="AE18" i="14"/>
  <c r="AD18" i="14"/>
  <c r="AC18" i="14"/>
  <c r="X18" i="14"/>
  <c r="AB18" i="14"/>
  <c r="O18" i="14"/>
  <c r="S18" i="14"/>
  <c r="T18" i="14"/>
  <c r="E18" i="14"/>
  <c r="Y18" i="14"/>
  <c r="X17" i="14"/>
  <c r="AB17" i="14"/>
  <c r="AC17" i="14"/>
  <c r="AD17" i="14"/>
  <c r="V17" i="14"/>
  <c r="O17" i="14"/>
  <c r="S17" i="14"/>
  <c r="T17" i="14"/>
  <c r="U17" i="14"/>
  <c r="E17" i="14"/>
  <c r="Y16" i="14"/>
  <c r="X16" i="14"/>
  <c r="AB16" i="14"/>
  <c r="AC16" i="14"/>
  <c r="O16" i="14"/>
  <c r="S16" i="14"/>
  <c r="T16" i="14"/>
  <c r="E16" i="14"/>
  <c r="AC15" i="14"/>
  <c r="AB15" i="14"/>
  <c r="X15" i="14"/>
  <c r="S15" i="14"/>
  <c r="T15" i="14"/>
  <c r="O15" i="14"/>
  <c r="E15" i="14"/>
  <c r="Y15" i="14"/>
  <c r="X14" i="14"/>
  <c r="AB14" i="14"/>
  <c r="AC14" i="14"/>
  <c r="O14" i="14"/>
  <c r="S14" i="14"/>
  <c r="T14" i="14"/>
  <c r="E14" i="14"/>
  <c r="Y14" i="14"/>
  <c r="X13" i="14"/>
  <c r="AB13" i="14"/>
  <c r="AC13" i="14"/>
  <c r="AD13" i="14"/>
  <c r="O13" i="14"/>
  <c r="S13" i="14"/>
  <c r="T13" i="14"/>
  <c r="U13" i="14"/>
  <c r="E13" i="14"/>
  <c r="X12" i="14"/>
  <c r="AB12" i="14"/>
  <c r="AC12" i="14"/>
  <c r="P12" i="14"/>
  <c r="O12" i="14"/>
  <c r="S12" i="14"/>
  <c r="T12" i="14"/>
  <c r="E12" i="14"/>
  <c r="AB11" i="14"/>
  <c r="AC11" i="14"/>
  <c r="X11" i="14"/>
  <c r="S11" i="14"/>
  <c r="T11" i="14"/>
  <c r="O11" i="14"/>
  <c r="E11" i="14"/>
  <c r="Y11" i="14"/>
  <c r="X10" i="14"/>
  <c r="AB10" i="14"/>
  <c r="V10" i="14"/>
  <c r="U10" i="14"/>
  <c r="T10" i="14"/>
  <c r="O10" i="14"/>
  <c r="S10" i="14"/>
  <c r="E10" i="14"/>
  <c r="Y10" i="14"/>
  <c r="A10" i="14"/>
  <c r="A11" i="14"/>
  <c r="A12" i="14"/>
  <c r="A13" i="14"/>
  <c r="A14" i="14"/>
  <c r="A15" i="14"/>
  <c r="A16" i="14"/>
  <c r="A17" i="14"/>
  <c r="A18" i="14"/>
  <c r="A19" i="14"/>
  <c r="A20" i="14"/>
  <c r="A21" i="14"/>
  <c r="A22" i="14"/>
  <c r="A25" i="14"/>
  <c r="A26" i="14"/>
  <c r="A27" i="14"/>
  <c r="A28" i="14"/>
  <c r="A29" i="14"/>
  <c r="A30" i="14"/>
  <c r="A31" i="14"/>
  <c r="A32" i="14"/>
  <c r="A33" i="14"/>
  <c r="A34" i="14"/>
  <c r="A35" i="14"/>
  <c r="A36" i="14"/>
  <c r="A37" i="14"/>
  <c r="A38" i="14"/>
  <c r="A41" i="14"/>
  <c r="A42" i="14"/>
  <c r="A43" i="14"/>
  <c r="A44" i="14"/>
  <c r="A45" i="14"/>
  <c r="A46" i="14"/>
  <c r="A47" i="14"/>
  <c r="A48" i="14"/>
  <c r="A49" i="14"/>
  <c r="A50" i="14"/>
  <c r="A51" i="14"/>
  <c r="A52" i="14"/>
  <c r="A53" i="14"/>
  <c r="A54" i="14"/>
  <c r="AF9" i="14"/>
  <c r="W9" i="14"/>
  <c r="N9" i="14"/>
  <c r="E9" i="14"/>
  <c r="H47" i="13"/>
  <c r="G47" i="13"/>
  <c r="F47" i="13"/>
  <c r="E47" i="13"/>
  <c r="H44" i="13"/>
  <c r="G44" i="13"/>
  <c r="E44" i="13"/>
  <c r="F44" i="13"/>
  <c r="H37" i="13"/>
  <c r="G37" i="13"/>
  <c r="F37" i="13"/>
  <c r="H34" i="13"/>
  <c r="G34" i="13"/>
  <c r="F34" i="13"/>
  <c r="E34" i="13"/>
  <c r="H27" i="13"/>
  <c r="G27" i="13"/>
  <c r="H24" i="13"/>
  <c r="G24" i="13"/>
  <c r="F24" i="13"/>
  <c r="E24" i="13"/>
  <c r="G13" i="13"/>
  <c r="A11" i="13"/>
  <c r="A12" i="13"/>
  <c r="A13" i="13"/>
  <c r="A14" i="13"/>
  <c r="A15" i="13"/>
  <c r="A16" i="13"/>
  <c r="A22" i="13"/>
  <c r="A10" i="13"/>
  <c r="G75" i="12"/>
  <c r="G78" i="12"/>
  <c r="F75" i="12"/>
  <c r="F78" i="12"/>
  <c r="E75" i="12"/>
  <c r="E78" i="12"/>
  <c r="D75" i="12"/>
  <c r="D78" i="12"/>
  <c r="C75" i="12"/>
  <c r="C78" i="12"/>
  <c r="G51" i="12"/>
  <c r="G54" i="12"/>
  <c r="F51" i="12"/>
  <c r="F54" i="12"/>
  <c r="D51" i="12"/>
  <c r="D54" i="12"/>
  <c r="C51" i="12"/>
  <c r="C54" i="12" s="1"/>
  <c r="G29" i="12"/>
  <c r="G32" i="12"/>
  <c r="F29" i="12"/>
  <c r="F32" i="12"/>
  <c r="E29" i="12"/>
  <c r="E32" i="12"/>
  <c r="D29" i="12"/>
  <c r="D32" i="12"/>
  <c r="C29" i="12"/>
  <c r="C32" i="12"/>
  <c r="A11" i="12"/>
  <c r="A12" i="12"/>
  <c r="A19" i="12"/>
  <c r="A20" i="12"/>
  <c r="A21" i="12"/>
  <c r="A22" i="12"/>
  <c r="A23" i="12"/>
  <c r="A24" i="12"/>
  <c r="A25" i="12"/>
  <c r="A26" i="12"/>
  <c r="A27" i="12"/>
  <c r="A28" i="12"/>
  <c r="A29" i="12"/>
  <c r="A30" i="12"/>
  <c r="A31" i="12"/>
  <c r="A32" i="12"/>
  <c r="A43" i="12"/>
  <c r="A44" i="12"/>
  <c r="A45" i="12"/>
  <c r="A46" i="12"/>
  <c r="A47" i="12"/>
  <c r="A48" i="12"/>
  <c r="A49" i="12"/>
  <c r="A50" i="12"/>
  <c r="A51" i="12"/>
  <c r="A52" i="12"/>
  <c r="A53" i="12"/>
  <c r="A54" i="12"/>
  <c r="A65" i="12"/>
  <c r="A66" i="12"/>
  <c r="A67" i="12"/>
  <c r="A68" i="12"/>
  <c r="A69" i="12"/>
  <c r="A70" i="12"/>
  <c r="A71" i="12"/>
  <c r="A72" i="12"/>
  <c r="A73" i="12"/>
  <c r="A74" i="12"/>
  <c r="A75" i="12"/>
  <c r="A76" i="12"/>
  <c r="A77" i="12"/>
  <c r="A78" i="12"/>
  <c r="A10" i="12"/>
  <c r="G75" i="11"/>
  <c r="G78" i="11"/>
  <c r="F75" i="11"/>
  <c r="F78" i="11"/>
  <c r="E75" i="11"/>
  <c r="E78" i="11"/>
  <c r="D75" i="11"/>
  <c r="D78" i="11"/>
  <c r="C75" i="11"/>
  <c r="C78" i="11"/>
  <c r="G51" i="11"/>
  <c r="G54" i="11"/>
  <c r="F51" i="11"/>
  <c r="F54" i="11"/>
  <c r="D51" i="11"/>
  <c r="D54" i="11"/>
  <c r="C51" i="11"/>
  <c r="C54" i="11"/>
  <c r="F9" i="10"/>
  <c r="E51" i="11"/>
  <c r="E54" i="11"/>
  <c r="F22" i="13" s="1"/>
  <c r="G29" i="11"/>
  <c r="G32" i="11"/>
  <c r="F29" i="11"/>
  <c r="F32" i="11"/>
  <c r="E29" i="11"/>
  <c r="E32" i="11"/>
  <c r="D29" i="11"/>
  <c r="D32" i="11"/>
  <c r="C29" i="11"/>
  <c r="C32" i="11"/>
  <c r="A11" i="11"/>
  <c r="A12" i="11"/>
  <c r="A19" i="11"/>
  <c r="A20" i="11"/>
  <c r="A21" i="11"/>
  <c r="A22" i="11"/>
  <c r="A23" i="11"/>
  <c r="A24" i="11"/>
  <c r="A25" i="11"/>
  <c r="A26" i="11"/>
  <c r="A27" i="11"/>
  <c r="A28" i="11"/>
  <c r="A29" i="11"/>
  <c r="A30" i="11"/>
  <c r="A31" i="11"/>
  <c r="A32" i="11"/>
  <c r="A43" i="11"/>
  <c r="A44" i="11"/>
  <c r="A45" i="11"/>
  <c r="A46" i="11"/>
  <c r="A47" i="11"/>
  <c r="A48" i="11"/>
  <c r="A49" i="11"/>
  <c r="A50" i="11"/>
  <c r="A51" i="11"/>
  <c r="A52" i="11"/>
  <c r="A53" i="11"/>
  <c r="A54" i="11"/>
  <c r="A65" i="11"/>
  <c r="A66" i="11"/>
  <c r="A67" i="11"/>
  <c r="A68" i="11"/>
  <c r="A69" i="11"/>
  <c r="A70" i="11"/>
  <c r="A71" i="11"/>
  <c r="A72" i="11"/>
  <c r="A73" i="11"/>
  <c r="A74" i="11"/>
  <c r="A75" i="11"/>
  <c r="A76" i="11"/>
  <c r="A77" i="11"/>
  <c r="A78" i="11"/>
  <c r="A10" i="11"/>
  <c r="G54" i="10"/>
  <c r="G55" i="10"/>
  <c r="F54" i="10"/>
  <c r="J53" i="10"/>
  <c r="H53" i="10"/>
  <c r="E53" i="10"/>
  <c r="L53" i="10"/>
  <c r="L52" i="10"/>
  <c r="J52" i="10"/>
  <c r="H52" i="10"/>
  <c r="E52" i="10"/>
  <c r="E51" i="10"/>
  <c r="L51" i="10"/>
  <c r="L50" i="10"/>
  <c r="E50" i="10"/>
  <c r="J50" i="10"/>
  <c r="J49" i="10"/>
  <c r="H49" i="10"/>
  <c r="E49" i="10"/>
  <c r="L49" i="10"/>
  <c r="E48" i="10"/>
  <c r="L48" i="10"/>
  <c r="L47" i="10"/>
  <c r="J47" i="10"/>
  <c r="E47" i="10"/>
  <c r="H47" i="10"/>
  <c r="H46" i="10"/>
  <c r="E46" i="10"/>
  <c r="L46" i="10"/>
  <c r="J45" i="10"/>
  <c r="H45" i="10"/>
  <c r="E45" i="10"/>
  <c r="L45" i="10"/>
  <c r="L44" i="10"/>
  <c r="J44" i="10"/>
  <c r="H44" i="10"/>
  <c r="E44" i="10"/>
  <c r="E43" i="10"/>
  <c r="L42" i="10"/>
  <c r="E42" i="10"/>
  <c r="J42" i="10"/>
  <c r="K41" i="10"/>
  <c r="J41" i="10"/>
  <c r="I41" i="10"/>
  <c r="Q41" i="14"/>
  <c r="G41" i="10"/>
  <c r="H41" i="14"/>
  <c r="F41" i="10"/>
  <c r="E41" i="10"/>
  <c r="H41" i="10"/>
  <c r="G38" i="10"/>
  <c r="G39" i="10"/>
  <c r="F38" i="10"/>
  <c r="J37" i="10"/>
  <c r="H37" i="10"/>
  <c r="E37" i="10"/>
  <c r="L37" i="10"/>
  <c r="L36" i="10"/>
  <c r="J36" i="10"/>
  <c r="H36" i="10"/>
  <c r="E36" i="10"/>
  <c r="E35" i="10"/>
  <c r="L34" i="10"/>
  <c r="H34" i="10"/>
  <c r="E34" i="10"/>
  <c r="J34" i="10"/>
  <c r="J33" i="10"/>
  <c r="H33" i="10"/>
  <c r="E33" i="10"/>
  <c r="L33" i="10"/>
  <c r="L32" i="10"/>
  <c r="E32" i="10"/>
  <c r="J32" i="10"/>
  <c r="L31" i="10"/>
  <c r="J31" i="10"/>
  <c r="E31" i="10"/>
  <c r="H31" i="10"/>
  <c r="H30" i="10"/>
  <c r="E30" i="10"/>
  <c r="L30" i="10"/>
  <c r="J29" i="10"/>
  <c r="H29" i="10"/>
  <c r="E29" i="10"/>
  <c r="L29" i="10"/>
  <c r="L28" i="10"/>
  <c r="J28" i="10"/>
  <c r="H28" i="10"/>
  <c r="E28" i="10"/>
  <c r="E27" i="10"/>
  <c r="L26" i="10"/>
  <c r="H26" i="10"/>
  <c r="E26" i="10"/>
  <c r="J26" i="10"/>
  <c r="K25" i="10"/>
  <c r="J25" i="10"/>
  <c r="I25" i="10"/>
  <c r="Q25" i="14"/>
  <c r="G25" i="10"/>
  <c r="H25" i="14"/>
  <c r="F25" i="10"/>
  <c r="E25" i="10"/>
  <c r="H25" i="10"/>
  <c r="F21" i="14"/>
  <c r="G21" i="14" s="1"/>
  <c r="F21" i="10"/>
  <c r="E21" i="10"/>
  <c r="F20" i="14"/>
  <c r="J20" i="14" s="1"/>
  <c r="K20" i="14" s="1"/>
  <c r="F20" i="10"/>
  <c r="E20" i="10"/>
  <c r="F19" i="14"/>
  <c r="J19" i="14" s="1"/>
  <c r="K19" i="14" s="1"/>
  <c r="F19" i="10"/>
  <c r="E19" i="10"/>
  <c r="F18" i="14"/>
  <c r="J18" i="14" s="1"/>
  <c r="K18" i="14" s="1"/>
  <c r="E18" i="10"/>
  <c r="F17" i="14"/>
  <c r="G17" i="14" s="1"/>
  <c r="E17" i="10"/>
  <c r="F16" i="10"/>
  <c r="E16" i="10"/>
  <c r="F15" i="14"/>
  <c r="G15" i="14" s="1"/>
  <c r="E15" i="10"/>
  <c r="F14" i="14"/>
  <c r="J14" i="14" s="1"/>
  <c r="K14" i="14" s="1"/>
  <c r="M14" i="14" s="1"/>
  <c r="E14" i="10"/>
  <c r="F13" i="14"/>
  <c r="J13" i="14" s="1"/>
  <c r="K13" i="14" s="1"/>
  <c r="E13" i="10"/>
  <c r="F12" i="14"/>
  <c r="G12" i="14" s="1"/>
  <c r="E12" i="10"/>
  <c r="F11" i="14"/>
  <c r="G11" i="14" s="1"/>
  <c r="E11" i="10"/>
  <c r="D11" i="10"/>
  <c r="D12" i="10"/>
  <c r="D13" i="10"/>
  <c r="D14" i="10"/>
  <c r="D15" i="10"/>
  <c r="D16" i="10"/>
  <c r="D17" i="10"/>
  <c r="D18" i="10"/>
  <c r="D19" i="10"/>
  <c r="D20" i="10"/>
  <c r="D21" i="10"/>
  <c r="F10" i="14"/>
  <c r="E10" i="10"/>
  <c r="A10" i="10"/>
  <c r="A11" i="10"/>
  <c r="A12" i="10"/>
  <c r="A13" i="10"/>
  <c r="A14" i="10"/>
  <c r="A15" i="10"/>
  <c r="A16" i="10"/>
  <c r="A17" i="10"/>
  <c r="A18" i="10"/>
  <c r="A19" i="10"/>
  <c r="A20" i="10"/>
  <c r="A21" i="10"/>
  <c r="A22" i="10"/>
  <c r="A25" i="10"/>
  <c r="A26" i="10"/>
  <c r="A27" i="10"/>
  <c r="A28" i="10"/>
  <c r="A29" i="10"/>
  <c r="A30" i="10"/>
  <c r="A31" i="10"/>
  <c r="A32" i="10"/>
  <c r="A33" i="10"/>
  <c r="A34" i="10"/>
  <c r="A35" i="10"/>
  <c r="A36" i="10"/>
  <c r="A37" i="10"/>
  <c r="A38" i="10"/>
  <c r="A41" i="10"/>
  <c r="A42" i="10"/>
  <c r="A43" i="10"/>
  <c r="A44" i="10"/>
  <c r="A45" i="10"/>
  <c r="A46" i="10"/>
  <c r="A47" i="10"/>
  <c r="A48" i="10"/>
  <c r="A49" i="10"/>
  <c r="A50" i="10"/>
  <c r="A51" i="10"/>
  <c r="A52" i="10"/>
  <c r="A53" i="10"/>
  <c r="A54" i="10"/>
  <c r="K9" i="10"/>
  <c r="K22" i="10"/>
  <c r="K23" i="10"/>
  <c r="I9" i="10"/>
  <c r="Q9" i="14"/>
  <c r="E9" i="10"/>
  <c r="H47" i="9"/>
  <c r="G47" i="9"/>
  <c r="F47" i="9"/>
  <c r="E47" i="9"/>
  <c r="H45" i="9"/>
  <c r="H46" i="9"/>
  <c r="H44" i="9"/>
  <c r="G44" i="9"/>
  <c r="F44" i="9"/>
  <c r="E44" i="9"/>
  <c r="H42" i="9"/>
  <c r="H43" i="9"/>
  <c r="H37" i="9"/>
  <c r="G37" i="9"/>
  <c r="F37" i="9"/>
  <c r="G36" i="9"/>
  <c r="G35" i="9"/>
  <c r="H34" i="9"/>
  <c r="G34" i="9"/>
  <c r="F34" i="9"/>
  <c r="E34" i="9"/>
  <c r="H32" i="9"/>
  <c r="H33" i="9"/>
  <c r="G32" i="9"/>
  <c r="G33" i="9"/>
  <c r="F32" i="9"/>
  <c r="F33" i="9"/>
  <c r="H27" i="9"/>
  <c r="G27" i="9"/>
  <c r="H25" i="9"/>
  <c r="H26" i="9"/>
  <c r="H24" i="9"/>
  <c r="G24" i="9"/>
  <c r="F24" i="9"/>
  <c r="H22" i="9"/>
  <c r="H23" i="9"/>
  <c r="G13" i="9"/>
  <c r="G16" i="9"/>
  <c r="A11" i="9"/>
  <c r="A12" i="9"/>
  <c r="A13" i="9"/>
  <c r="A14" i="9"/>
  <c r="A15" i="9"/>
  <c r="A16" i="9"/>
  <c r="A22" i="9"/>
  <c r="A10" i="9"/>
  <c r="A3" i="9"/>
  <c r="A3" i="10"/>
  <c r="B2" i="11"/>
  <c r="B2" i="12"/>
  <c r="A3" i="13"/>
  <c r="A3" i="14"/>
  <c r="E43" i="8"/>
  <c r="E45" i="8" s="1"/>
  <c r="E21" i="8"/>
  <c r="D21" i="8"/>
  <c r="F19" i="8"/>
  <c r="H19" i="8" s="1"/>
  <c r="F18" i="8"/>
  <c r="H18" i="8"/>
  <c r="F17" i="8"/>
  <c r="H17" i="8"/>
  <c r="F16" i="8"/>
  <c r="F21" i="8" s="1"/>
  <c r="F15" i="8"/>
  <c r="F14" i="8"/>
  <c r="A138" i="7"/>
  <c r="A137" i="7"/>
  <c r="E119" i="7"/>
  <c r="E120" i="7"/>
  <c r="E121" i="7"/>
  <c r="E122" i="7"/>
  <c r="E123" i="7" s="1"/>
  <c r="E124" i="7" s="1"/>
  <c r="E125" i="7" s="1"/>
  <c r="E126" i="7" s="1"/>
  <c r="E127" i="7" s="1"/>
  <c r="E128" i="7" s="1"/>
  <c r="E129" i="7" s="1"/>
  <c r="E130" i="7" s="1"/>
  <c r="E131" i="7" s="1"/>
  <c r="E132" i="7" s="1"/>
  <c r="E133" i="7" s="1"/>
  <c r="E134" i="7" s="1"/>
  <c r="E135" i="7" s="1"/>
  <c r="E118" i="7"/>
  <c r="D96" i="7"/>
  <c r="D99" i="7" s="1"/>
  <c r="B94" i="7"/>
  <c r="D63" i="7"/>
  <c r="B61" i="7"/>
  <c r="J43" i="7"/>
  <c r="J107" i="7"/>
  <c r="E39" i="7"/>
  <c r="B29" i="7"/>
  <c r="G21" i="7"/>
  <c r="G53" i="7"/>
  <c r="A16" i="7"/>
  <c r="A19" i="7"/>
  <c r="J4" i="7"/>
  <c r="P40" i="6"/>
  <c r="B22" i="6"/>
  <c r="Q21" i="6"/>
  <c r="Q20" i="6"/>
  <c r="Q19" i="6"/>
  <c r="Q16" i="6"/>
  <c r="Q13" i="6"/>
  <c r="Q11" i="6"/>
  <c r="Q10" i="6"/>
  <c r="E132" i="5"/>
  <c r="E130" i="5"/>
  <c r="E128" i="5"/>
  <c r="A128" i="5"/>
  <c r="A129" i="5"/>
  <c r="A130" i="5"/>
  <c r="A131" i="5"/>
  <c r="A132" i="5"/>
  <c r="A9" i="6"/>
  <c r="A10" i="6"/>
  <c r="G115" i="5"/>
  <c r="G114" i="5"/>
  <c r="G113" i="5"/>
  <c r="G112" i="5"/>
  <c r="G111" i="5"/>
  <c r="G110" i="5"/>
  <c r="G109" i="5"/>
  <c r="G108" i="5"/>
  <c r="G107" i="5"/>
  <c r="G106" i="5"/>
  <c r="A106" i="5"/>
  <c r="A107" i="5"/>
  <c r="A108" i="5"/>
  <c r="A109" i="5"/>
  <c r="A110" i="5"/>
  <c r="A111" i="5"/>
  <c r="A112" i="5"/>
  <c r="A113" i="5"/>
  <c r="A114" i="5"/>
  <c r="A115" i="5"/>
  <c r="A117" i="5"/>
  <c r="A125" i="5"/>
  <c r="A126" i="5"/>
  <c r="A127" i="5"/>
  <c r="G105" i="5"/>
  <c r="G104" i="5"/>
  <c r="G103" i="5"/>
  <c r="G91" i="5"/>
  <c r="I82" i="5"/>
  <c r="M76" i="5"/>
  <c r="A73" i="5"/>
  <c r="A82" i="5"/>
  <c r="A93" i="5"/>
  <c r="A103" i="5"/>
  <c r="A104" i="5"/>
  <c r="A105" i="5"/>
  <c r="I64" i="5"/>
  <c r="A64" i="5"/>
  <c r="I41" i="5"/>
  <c r="I40" i="5"/>
  <c r="I42" i="5"/>
  <c r="I39" i="5"/>
  <c r="I38" i="5"/>
  <c r="I37" i="5"/>
  <c r="I36" i="5"/>
  <c r="E14" i="5"/>
  <c r="E15" i="5"/>
  <c r="E16" i="5"/>
  <c r="E17" i="5"/>
  <c r="E18" i="5"/>
  <c r="E19" i="5"/>
  <c r="E20" i="5"/>
  <c r="E21" i="5"/>
  <c r="E22" i="5"/>
  <c r="E23" i="5"/>
  <c r="E24" i="5"/>
  <c r="E25" i="5"/>
  <c r="G7" i="5"/>
  <c r="G5" i="5"/>
  <c r="F170" i="4"/>
  <c r="E86" i="2"/>
  <c r="J35" i="17"/>
  <c r="K28" i="17"/>
  <c r="F122" i="4"/>
  <c r="E88" i="2"/>
  <c r="F84" i="4"/>
  <c r="J6" i="17"/>
  <c r="K15" i="17"/>
  <c r="F36" i="4"/>
  <c r="A9" i="4"/>
  <c r="A10" i="4"/>
  <c r="A11" i="4"/>
  <c r="A12" i="4"/>
  <c r="A13" i="4"/>
  <c r="A14" i="4"/>
  <c r="A15" i="4"/>
  <c r="A16" i="4"/>
  <c r="A17" i="4"/>
  <c r="A18" i="4"/>
  <c r="A19" i="4"/>
  <c r="A20" i="4"/>
  <c r="E7" i="4"/>
  <c r="B8" i="8"/>
  <c r="D36" i="8"/>
  <c r="D37" i="8"/>
  <c r="D38" i="8"/>
  <c r="D39" i="8"/>
  <c r="D40" i="8"/>
  <c r="D41" i="8"/>
  <c r="D42" i="8" s="1"/>
  <c r="A7" i="4"/>
  <c r="A8" i="4"/>
  <c r="C46" i="3"/>
  <c r="F32" i="3"/>
  <c r="F34" i="3"/>
  <c r="E32" i="3"/>
  <c r="E34" i="3"/>
  <c r="D32" i="3"/>
  <c r="D34" i="3"/>
  <c r="C32" i="3"/>
  <c r="C34" i="3"/>
  <c r="C31" i="3"/>
  <c r="F29" i="3"/>
  <c r="E29" i="3"/>
  <c r="D29" i="3"/>
  <c r="C28" i="3"/>
  <c r="C27" i="3"/>
  <c r="C26" i="3"/>
  <c r="C29" i="3"/>
  <c r="C25" i="3"/>
  <c r="D14" i="3"/>
  <c r="A9" i="3"/>
  <c r="E290" i="2"/>
  <c r="C269" i="2"/>
  <c r="C241" i="2"/>
  <c r="M240" i="2"/>
  <c r="C231" i="2"/>
  <c r="I230" i="2"/>
  <c r="G20" i="7" s="1"/>
  <c r="F230" i="2"/>
  <c r="D20" i="7"/>
  <c r="D52" i="7"/>
  <c r="C226" i="2"/>
  <c r="E224" i="2"/>
  <c r="H223" i="2"/>
  <c r="H222" i="2"/>
  <c r="H220" i="2"/>
  <c r="J213" i="2"/>
  <c r="C213" i="2"/>
  <c r="J212" i="2"/>
  <c r="C212" i="2"/>
  <c r="C175" i="2"/>
  <c r="E172" i="2"/>
  <c r="E176" i="2"/>
  <c r="D171" i="2"/>
  <c r="G168" i="2"/>
  <c r="J167" i="2"/>
  <c r="H164" i="2"/>
  <c r="J164" i="2"/>
  <c r="G164" i="2"/>
  <c r="J163" i="2"/>
  <c r="H163" i="2"/>
  <c r="C161" i="2"/>
  <c r="H157" i="2"/>
  <c r="C156" i="2"/>
  <c r="J150" i="2"/>
  <c r="E149" i="2"/>
  <c r="E148" i="2"/>
  <c r="D148" i="2"/>
  <c r="E147" i="2"/>
  <c r="J147" i="2"/>
  <c r="D147" i="2"/>
  <c r="H146" i="2"/>
  <c r="G144" i="2"/>
  <c r="C114" i="2"/>
  <c r="C113" i="2"/>
  <c r="C111" i="2"/>
  <c r="E109" i="2"/>
  <c r="E106" i="2"/>
  <c r="J106" i="2"/>
  <c r="M239" i="2"/>
  <c r="H105" i="2"/>
  <c r="G105" i="2"/>
  <c r="E105" i="2"/>
  <c r="H104" i="2"/>
  <c r="J104" i="2"/>
  <c r="G104" i="2"/>
  <c r="E104" i="2"/>
  <c r="J103" i="2"/>
  <c r="E101" i="2"/>
  <c r="C99" i="2"/>
  <c r="C93" i="2"/>
  <c r="H89" i="2"/>
  <c r="G89" i="2"/>
  <c r="G88" i="2"/>
  <c r="C88" i="2"/>
  <c r="C95" i="2"/>
  <c r="G87" i="2"/>
  <c r="G109" i="2"/>
  <c r="G86" i="2"/>
  <c r="C86" i="2"/>
  <c r="H82" i="2"/>
  <c r="E81" i="2"/>
  <c r="E79" i="2"/>
  <c r="J79" i="2"/>
  <c r="A79" i="2"/>
  <c r="E72" i="2"/>
  <c r="E137" i="2"/>
  <c r="M71" i="2"/>
  <c r="M136" i="2"/>
  <c r="M205" i="2"/>
  <c r="M257" i="2"/>
  <c r="D25" i="2"/>
  <c r="D21" i="2"/>
  <c r="G19" i="2"/>
  <c r="E19" i="2"/>
  <c r="C19" i="2"/>
  <c r="C243" i="2" s="1"/>
  <c r="A19" i="2"/>
  <c r="E9" i="2"/>
  <c r="K6" i="1"/>
  <c r="K5" i="1"/>
  <c r="C5" i="1"/>
  <c r="C4" i="1"/>
  <c r="G100" i="2"/>
  <c r="G113" i="2"/>
  <c r="A22" i="4"/>
  <c r="A23" i="4"/>
  <c r="J81" i="2"/>
  <c r="E180" i="2"/>
  <c r="A80" i="2"/>
  <c r="J105" i="2"/>
  <c r="A11" i="6"/>
  <c r="A12" i="6"/>
  <c r="A13" i="6"/>
  <c r="A14" i="6"/>
  <c r="C14" i="6"/>
  <c r="C14" i="3"/>
  <c r="A10" i="3"/>
  <c r="A11" i="3"/>
  <c r="A12" i="3"/>
  <c r="A14" i="3"/>
  <c r="D19" i="2"/>
  <c r="A2" i="14"/>
  <c r="A2" i="9"/>
  <c r="A2" i="10"/>
  <c r="D2" i="5"/>
  <c r="A2" i="3"/>
  <c r="F11" i="7"/>
  <c r="E2" i="6"/>
  <c r="E258" i="2"/>
  <c r="A3" i="8"/>
  <c r="A2" i="13"/>
  <c r="A6" i="15"/>
  <c r="E206" i="2"/>
  <c r="A2" i="4"/>
  <c r="G145" i="2"/>
  <c r="G149" i="2"/>
  <c r="G148" i="2"/>
  <c r="A20" i="7"/>
  <c r="A21" i="7"/>
  <c r="A22" i="7"/>
  <c r="A23" i="7"/>
  <c r="D58" i="7"/>
  <c r="D91" i="7"/>
  <c r="D95" i="7"/>
  <c r="D26" i="7"/>
  <c r="D30" i="7"/>
  <c r="D34" i="7"/>
  <c r="D20" i="4"/>
  <c r="A23" i="9"/>
  <c r="G117" i="5"/>
  <c r="E113" i="2"/>
  <c r="E33" i="9"/>
  <c r="E24" i="9"/>
  <c r="E32" i="9"/>
  <c r="L12" i="10"/>
  <c r="J12" i="10"/>
  <c r="H12" i="10"/>
  <c r="L35" i="10"/>
  <c r="J35" i="10"/>
  <c r="H35" i="10"/>
  <c r="Z41" i="14"/>
  <c r="K54" i="10"/>
  <c r="K55" i="10"/>
  <c r="L41" i="10"/>
  <c r="L54" i="10"/>
  <c r="H48" i="9"/>
  <c r="H49" i="9"/>
  <c r="G11" i="9"/>
  <c r="H32" i="13"/>
  <c r="H33" i="13"/>
  <c r="G10" i="11"/>
  <c r="H35" i="13"/>
  <c r="H36" i="13"/>
  <c r="H35" i="9"/>
  <c r="H36" i="9"/>
  <c r="G10" i="12"/>
  <c r="L15" i="10"/>
  <c r="J15" i="10"/>
  <c r="H15" i="10"/>
  <c r="L20" i="10"/>
  <c r="J20" i="10"/>
  <c r="H20" i="10"/>
  <c r="L10" i="10"/>
  <c r="J10" i="10"/>
  <c r="H10" i="10"/>
  <c r="L18" i="10"/>
  <c r="J18" i="10"/>
  <c r="H18" i="10"/>
  <c r="L27" i="10"/>
  <c r="J27" i="10"/>
  <c r="H27" i="10"/>
  <c r="F9" i="11"/>
  <c r="G22" i="13"/>
  <c r="G23" i="13"/>
  <c r="F9" i="12"/>
  <c r="F12" i="12"/>
  <c r="G25" i="13"/>
  <c r="G26" i="13"/>
  <c r="A23" i="13"/>
  <c r="V15" i="14"/>
  <c r="U15" i="14"/>
  <c r="H39" i="9"/>
  <c r="G10" i="9"/>
  <c r="L13" i="10"/>
  <c r="J13" i="10"/>
  <c r="H13" i="10"/>
  <c r="L43" i="10"/>
  <c r="J43" i="10"/>
  <c r="H43" i="10"/>
  <c r="G9" i="11"/>
  <c r="H22" i="13"/>
  <c r="H23" i="13"/>
  <c r="G9" i="12"/>
  <c r="G12" i="12"/>
  <c r="H25" i="13"/>
  <c r="H26" i="13"/>
  <c r="V11" i="14"/>
  <c r="U11" i="14"/>
  <c r="J9" i="10"/>
  <c r="L9" i="10"/>
  <c r="L16" i="10"/>
  <c r="J16" i="10"/>
  <c r="H16" i="10"/>
  <c r="L21" i="10"/>
  <c r="J21" i="10"/>
  <c r="H21" i="10"/>
  <c r="F42" i="9"/>
  <c r="E11" i="11"/>
  <c r="F42" i="13"/>
  <c r="L11" i="10"/>
  <c r="J11" i="10"/>
  <c r="H11" i="10"/>
  <c r="L19" i="10"/>
  <c r="J19" i="10"/>
  <c r="H19" i="10"/>
  <c r="J38" i="10"/>
  <c r="G38" i="9"/>
  <c r="G39" i="9"/>
  <c r="F10" i="9"/>
  <c r="G42" i="9"/>
  <c r="G43" i="9"/>
  <c r="F11" i="11"/>
  <c r="G42" i="13"/>
  <c r="G43" i="13"/>
  <c r="F45" i="9"/>
  <c r="F45" i="13"/>
  <c r="E11" i="12"/>
  <c r="AE11" i="14"/>
  <c r="AD11" i="14"/>
  <c r="E37" i="9"/>
  <c r="L14" i="10"/>
  <c r="J14" i="10"/>
  <c r="H14" i="10"/>
  <c r="Z25" i="14"/>
  <c r="K38" i="10"/>
  <c r="K39" i="10"/>
  <c r="L25" i="10"/>
  <c r="L38" i="10"/>
  <c r="H38" i="9"/>
  <c r="G11" i="11"/>
  <c r="H42" i="13"/>
  <c r="H43" i="13"/>
  <c r="F32" i="13"/>
  <c r="E10" i="11"/>
  <c r="G45" i="9"/>
  <c r="G46" i="9"/>
  <c r="G45" i="13"/>
  <c r="G46" i="13"/>
  <c r="F11" i="12"/>
  <c r="F35" i="13"/>
  <c r="E10" i="12"/>
  <c r="F35" i="9"/>
  <c r="U14" i="14"/>
  <c r="V14" i="14"/>
  <c r="V19" i="14"/>
  <c r="U19" i="14"/>
  <c r="G22" i="9"/>
  <c r="G23" i="9"/>
  <c r="G25" i="9"/>
  <c r="G26" i="9"/>
  <c r="L17" i="10"/>
  <c r="J17" i="10"/>
  <c r="H17" i="10"/>
  <c r="G32" i="13"/>
  <c r="G33" i="13"/>
  <c r="F10" i="11"/>
  <c r="H45" i="13"/>
  <c r="H46" i="13"/>
  <c r="G11" i="12"/>
  <c r="G35" i="13"/>
  <c r="G36" i="13"/>
  <c r="F10" i="12"/>
  <c r="AE14" i="14"/>
  <c r="AD14" i="14"/>
  <c r="V18" i="14"/>
  <c r="U18" i="14"/>
  <c r="Z9" i="14"/>
  <c r="AE15" i="14"/>
  <c r="AD15" i="14"/>
  <c r="AE16" i="14"/>
  <c r="AD16" i="14"/>
  <c r="Y28" i="14"/>
  <c r="Y32" i="14"/>
  <c r="P32" i="14"/>
  <c r="G32" i="14"/>
  <c r="M34" i="14"/>
  <c r="L34" i="14"/>
  <c r="L36" i="14"/>
  <c r="M36" i="14"/>
  <c r="H42" i="14"/>
  <c r="Z42" i="14"/>
  <c r="S38" i="14"/>
  <c r="T26" i="14"/>
  <c r="M27" i="14"/>
  <c r="L27" i="14"/>
  <c r="M28" i="14"/>
  <c r="L28" i="14"/>
  <c r="M31" i="14"/>
  <c r="L31" i="14"/>
  <c r="M32" i="14"/>
  <c r="L32" i="14"/>
  <c r="V37" i="14"/>
  <c r="U37" i="14"/>
  <c r="AE12" i="14"/>
  <c r="AD12" i="14"/>
  <c r="F16" i="14"/>
  <c r="G16" i="14" s="1"/>
  <c r="S20" i="14"/>
  <c r="T20" i="14"/>
  <c r="P20" i="14"/>
  <c r="G28" i="14"/>
  <c r="Y29" i="14"/>
  <c r="P29" i="14"/>
  <c r="G29" i="14"/>
  <c r="AD29" i="14"/>
  <c r="U30" i="14"/>
  <c r="V34" i="14"/>
  <c r="U34" i="14"/>
  <c r="U36" i="14"/>
  <c r="V36" i="14"/>
  <c r="F10" i="10"/>
  <c r="F11" i="10"/>
  <c r="F12" i="10"/>
  <c r="F13" i="10"/>
  <c r="F14" i="10"/>
  <c r="F15" i="10"/>
  <c r="F17" i="10"/>
  <c r="F18" i="10"/>
  <c r="J30" i="10"/>
  <c r="J46" i="10"/>
  <c r="J54" i="10"/>
  <c r="G48" i="9"/>
  <c r="H51" i="10"/>
  <c r="E50" i="12"/>
  <c r="F27" i="9" s="1"/>
  <c r="E27" i="9" s="1"/>
  <c r="Z10" i="14"/>
  <c r="Z11" i="14"/>
  <c r="Y12" i="14"/>
  <c r="Z12" i="14"/>
  <c r="V13" i="14"/>
  <c r="V21" i="14"/>
  <c r="M29" i="14"/>
  <c r="V32" i="14"/>
  <c r="U32" i="14"/>
  <c r="U33" i="14"/>
  <c r="V35" i="14"/>
  <c r="U35" i="14"/>
  <c r="I22" i="10"/>
  <c r="I23" i="10"/>
  <c r="H32" i="10"/>
  <c r="H38" i="10"/>
  <c r="F38" i="9"/>
  <c r="E38" i="9"/>
  <c r="I38" i="10"/>
  <c r="I39" i="10"/>
  <c r="H48" i="10"/>
  <c r="J51" i="10"/>
  <c r="I54" i="10"/>
  <c r="I55" i="10"/>
  <c r="AC10" i="14"/>
  <c r="Y17" i="14"/>
  <c r="P17" i="14"/>
  <c r="AE17" i="14"/>
  <c r="AB20" i="14"/>
  <c r="AC20" i="14"/>
  <c r="Y20" i="14"/>
  <c r="Z26" i="14"/>
  <c r="Z27" i="14"/>
  <c r="AB38" i="14"/>
  <c r="AC26" i="14"/>
  <c r="V27" i="14"/>
  <c r="U27" i="14"/>
  <c r="V28" i="14"/>
  <c r="U28" i="14"/>
  <c r="L29" i="14"/>
  <c r="V31" i="14"/>
  <c r="U31" i="14"/>
  <c r="AE34" i="14"/>
  <c r="AD34" i="14"/>
  <c r="AE35" i="14"/>
  <c r="AD35" i="14"/>
  <c r="AD36" i="14"/>
  <c r="AE36" i="14"/>
  <c r="J48" i="10"/>
  <c r="V16" i="14"/>
  <c r="U16" i="14"/>
  <c r="AE21" i="14"/>
  <c r="AD30" i="14"/>
  <c r="AE32" i="14"/>
  <c r="AD32" i="14"/>
  <c r="AD33" i="14"/>
  <c r="AD37" i="14"/>
  <c r="H42" i="10"/>
  <c r="H54" i="10"/>
  <c r="F48" i="9"/>
  <c r="E48" i="9"/>
  <c r="H50" i="10"/>
  <c r="Y13" i="14"/>
  <c r="Z13" i="14"/>
  <c r="Z14" i="14"/>
  <c r="Z15" i="14"/>
  <c r="Z16" i="14"/>
  <c r="P13" i="14"/>
  <c r="G13" i="14"/>
  <c r="AE13" i="14"/>
  <c r="P16" i="14"/>
  <c r="AE19" i="14"/>
  <c r="AD19" i="14"/>
  <c r="J38" i="14"/>
  <c r="K26" i="14"/>
  <c r="V29" i="14"/>
  <c r="E37" i="13"/>
  <c r="V12" i="14"/>
  <c r="U12" i="14"/>
  <c r="Y21" i="14"/>
  <c r="AE27" i="14"/>
  <c r="AD27" i="14"/>
  <c r="AE28" i="14"/>
  <c r="AD28" i="14"/>
  <c r="U29" i="14"/>
  <c r="L30" i="14"/>
  <c r="AE31" i="14"/>
  <c r="AD31" i="14"/>
  <c r="M49" i="14"/>
  <c r="L49" i="14"/>
  <c r="M50" i="14"/>
  <c r="L50" i="14"/>
  <c r="M51" i="14"/>
  <c r="L51" i="14"/>
  <c r="Y36" i="14"/>
  <c r="P36" i="14"/>
  <c r="G36" i="14"/>
  <c r="M42" i="14"/>
  <c r="K54" i="14"/>
  <c r="AE42" i="14"/>
  <c r="AD42" i="14"/>
  <c r="AC54" i="14"/>
  <c r="Z45" i="14"/>
  <c r="Z46" i="14"/>
  <c r="AE46" i="14"/>
  <c r="AD46" i="14"/>
  <c r="U48" i="14"/>
  <c r="V51" i="14"/>
  <c r="U51" i="14"/>
  <c r="V52" i="14"/>
  <c r="U52" i="14"/>
  <c r="V53" i="14"/>
  <c r="U53" i="14"/>
  <c r="I21" i="16"/>
  <c r="E151" i="2"/>
  <c r="F38" i="14"/>
  <c r="Y43" i="14"/>
  <c r="Z43" i="14"/>
  <c r="Z44" i="14"/>
  <c r="P43" i="14"/>
  <c r="G43" i="14"/>
  <c r="H43" i="14"/>
  <c r="H44" i="14"/>
  <c r="AE43" i="14"/>
  <c r="AD43" i="14"/>
  <c r="Y47" i="14"/>
  <c r="P47" i="14"/>
  <c r="G47" i="14"/>
  <c r="V49" i="14"/>
  <c r="U49" i="14"/>
  <c r="AE51" i="14"/>
  <c r="AD51" i="14"/>
  <c r="P21" i="14"/>
  <c r="O22" i="14"/>
  <c r="X22" i="14"/>
  <c r="L35" i="14"/>
  <c r="N42" i="14"/>
  <c r="M45" i="14"/>
  <c r="L45" i="14"/>
  <c r="M46" i="14"/>
  <c r="L46" i="14"/>
  <c r="L54" i="14"/>
  <c r="M47" i="14"/>
  <c r="L47" i="14"/>
  <c r="V50" i="14"/>
  <c r="U50" i="14"/>
  <c r="AE53" i="14"/>
  <c r="AD53" i="14"/>
  <c r="G33" i="14"/>
  <c r="P33" i="14"/>
  <c r="Y35" i="14"/>
  <c r="W42" i="14"/>
  <c r="W43" i="14"/>
  <c r="W44" i="14"/>
  <c r="W45" i="14"/>
  <c r="W46" i="14"/>
  <c r="W47" i="14"/>
  <c r="W48" i="14"/>
  <c r="W49" i="14"/>
  <c r="W50" i="14"/>
  <c r="W51" i="14"/>
  <c r="W52" i="14"/>
  <c r="W53" i="14"/>
  <c r="W54" i="14"/>
  <c r="G48" i="13"/>
  <c r="Q42" i="14"/>
  <c r="M43" i="14"/>
  <c r="L43" i="14"/>
  <c r="AE49" i="14"/>
  <c r="AD49" i="14"/>
  <c r="AE52" i="14"/>
  <c r="AD52" i="14"/>
  <c r="P10" i="14"/>
  <c r="P14" i="14"/>
  <c r="P18" i="14"/>
  <c r="AF42" i="14"/>
  <c r="AF43" i="14"/>
  <c r="AF44" i="14"/>
  <c r="AF45" i="14"/>
  <c r="AF46" i="14"/>
  <c r="AF47" i="14"/>
  <c r="V42" i="14"/>
  <c r="T54" i="14"/>
  <c r="V45" i="14"/>
  <c r="U45" i="14"/>
  <c r="V47" i="14"/>
  <c r="U47" i="14"/>
  <c r="L48" i="14"/>
  <c r="AD48" i="14"/>
  <c r="G26" i="14"/>
  <c r="P26" i="14"/>
  <c r="G30" i="14"/>
  <c r="P30" i="14"/>
  <c r="G34" i="14"/>
  <c r="P34" i="14"/>
  <c r="V46" i="14"/>
  <c r="U46" i="14"/>
  <c r="AE50" i="14"/>
  <c r="AD50" i="14"/>
  <c r="M52" i="14"/>
  <c r="L52" i="14"/>
  <c r="V81" i="16"/>
  <c r="E102" i="2"/>
  <c r="J102" i="2"/>
  <c r="M238" i="2"/>
  <c r="P11" i="14"/>
  <c r="P15" i="14"/>
  <c r="P19" i="14"/>
  <c r="V43" i="14"/>
  <c r="U43" i="14"/>
  <c r="U54" i="14"/>
  <c r="AE45" i="14"/>
  <c r="AD45" i="14"/>
  <c r="AE47" i="14"/>
  <c r="AD47" i="14"/>
  <c r="M53" i="14"/>
  <c r="L53" i="14"/>
  <c r="I41" i="16"/>
  <c r="H9" i="5"/>
  <c r="E158" i="2"/>
  <c r="J158" i="2"/>
  <c r="J54" i="14"/>
  <c r="S54" i="14"/>
  <c r="AB54" i="14"/>
  <c r="G51" i="14"/>
  <c r="P51" i="14"/>
  <c r="G45" i="14"/>
  <c r="H45" i="14"/>
  <c r="H46" i="14"/>
  <c r="P45" i="14"/>
  <c r="G49" i="14"/>
  <c r="P49" i="14"/>
  <c r="G53" i="14"/>
  <c r="P53" i="14"/>
  <c r="U22" i="14"/>
  <c r="Q10" i="14"/>
  <c r="P22" i="14"/>
  <c r="W10" i="14"/>
  <c r="W11" i="14"/>
  <c r="W12" i="14"/>
  <c r="W13" i="14"/>
  <c r="W14" i="14"/>
  <c r="W15" i="14"/>
  <c r="W16" i="14"/>
  <c r="W17" i="14"/>
  <c r="W18" i="14"/>
  <c r="W19" i="14"/>
  <c r="W20" i="14"/>
  <c r="W21" i="14"/>
  <c r="W22" i="14"/>
  <c r="G28" i="13"/>
  <c r="N43" i="14"/>
  <c r="N44" i="14"/>
  <c r="N45" i="14"/>
  <c r="N46" i="14"/>
  <c r="N47" i="14"/>
  <c r="N48" i="14"/>
  <c r="N49" i="14"/>
  <c r="N50" i="14"/>
  <c r="N51" i="14"/>
  <c r="N52" i="14"/>
  <c r="N53" i="14"/>
  <c r="N54" i="14"/>
  <c r="F48" i="13"/>
  <c r="E48" i="13"/>
  <c r="AC38" i="14"/>
  <c r="AE26" i="14"/>
  <c r="AE38" i="14"/>
  <c r="AD26" i="14"/>
  <c r="V26" i="14"/>
  <c r="V38" i="14"/>
  <c r="T38" i="14"/>
  <c r="U26" i="14"/>
  <c r="U38" i="14"/>
  <c r="Z28" i="14"/>
  <c r="G49" i="9"/>
  <c r="F11" i="9"/>
  <c r="C211" i="2"/>
  <c r="A81" i="2"/>
  <c r="V20" i="14"/>
  <c r="V22" i="14"/>
  <c r="U20" i="14"/>
  <c r="E42" i="13"/>
  <c r="F43" i="13"/>
  <c r="G29" i="13"/>
  <c r="F9" i="13"/>
  <c r="AC22" i="14"/>
  <c r="AE10" i="14"/>
  <c r="AE22" i="14"/>
  <c r="AD10" i="14"/>
  <c r="AD22" i="14"/>
  <c r="E32" i="13"/>
  <c r="F33" i="13"/>
  <c r="F12" i="11"/>
  <c r="A25" i="7"/>
  <c r="A26" i="7"/>
  <c r="A24" i="4"/>
  <c r="A25" i="4"/>
  <c r="A26" i="4"/>
  <c r="A27" i="4"/>
  <c r="A28" i="4"/>
  <c r="A29" i="4"/>
  <c r="A30" i="4"/>
  <c r="A31" i="4"/>
  <c r="A32" i="4"/>
  <c r="A33" i="4"/>
  <c r="A34" i="4"/>
  <c r="A35" i="4"/>
  <c r="A36" i="4"/>
  <c r="Z17" i="14"/>
  <c r="Z18" i="14"/>
  <c r="Z19" i="14"/>
  <c r="AF48" i="14"/>
  <c r="AF49" i="14"/>
  <c r="AF50" i="14"/>
  <c r="AF51" i="14"/>
  <c r="AF52" i="14"/>
  <c r="AF53" i="14"/>
  <c r="AF54" i="14"/>
  <c r="H48" i="13"/>
  <c r="H49" i="13"/>
  <c r="G11" i="13"/>
  <c r="Z35" i="14"/>
  <c r="Z36" i="14"/>
  <c r="Z37" i="14"/>
  <c r="H47" i="14"/>
  <c r="H48" i="14"/>
  <c r="H49" i="14"/>
  <c r="H50" i="14"/>
  <c r="H51" i="14"/>
  <c r="H52" i="14"/>
  <c r="H53" i="14"/>
  <c r="AD54" i="14"/>
  <c r="Y38" i="14"/>
  <c r="E35" i="9"/>
  <c r="F36" i="9"/>
  <c r="E42" i="9"/>
  <c r="F43" i="9"/>
  <c r="A24" i="9"/>
  <c r="D62" i="7"/>
  <c r="D66" i="7"/>
  <c r="B28" i="7"/>
  <c r="A15" i="6"/>
  <c r="A16" i="6"/>
  <c r="A17" i="6"/>
  <c r="A18" i="6"/>
  <c r="Q43" i="14"/>
  <c r="Q44" i="14"/>
  <c r="Q45" i="14"/>
  <c r="Q46" i="14"/>
  <c r="Q47" i="14"/>
  <c r="Q48" i="14"/>
  <c r="Q49" i="14"/>
  <c r="Q50" i="14"/>
  <c r="Q51" i="14"/>
  <c r="Q52" i="14"/>
  <c r="Q53" i="14"/>
  <c r="AE54" i="14"/>
  <c r="Z20" i="14"/>
  <c r="Z21" i="14"/>
  <c r="E45" i="13"/>
  <c r="F46" i="13"/>
  <c r="E46" i="13"/>
  <c r="L22" i="10"/>
  <c r="H28" i="9"/>
  <c r="H29" i="9"/>
  <c r="G9" i="9"/>
  <c r="G12" i="9"/>
  <c r="G12" i="11"/>
  <c r="Z47" i="14"/>
  <c r="Z48" i="14"/>
  <c r="Z49" i="14"/>
  <c r="Z50" i="14"/>
  <c r="Z51" i="14"/>
  <c r="Z52" i="14"/>
  <c r="Z53" i="14"/>
  <c r="K38" i="14"/>
  <c r="M26" i="14"/>
  <c r="M38" i="14"/>
  <c r="L26" i="14"/>
  <c r="L38" i="14"/>
  <c r="AE20" i="14"/>
  <c r="AD20" i="14"/>
  <c r="AB22" i="14"/>
  <c r="Z29" i="14"/>
  <c r="Z30" i="14"/>
  <c r="Z31" i="14"/>
  <c r="Y54" i="14"/>
  <c r="G29" i="9"/>
  <c r="F9" i="9"/>
  <c r="F12" i="9"/>
  <c r="E35" i="13"/>
  <c r="F36" i="13"/>
  <c r="E36" i="13"/>
  <c r="E45" i="9"/>
  <c r="F46" i="9"/>
  <c r="E46" i="9"/>
  <c r="J22" i="10"/>
  <c r="G28" i="9"/>
  <c r="A24" i="13"/>
  <c r="P54" i="14"/>
  <c r="Q11" i="14"/>
  <c r="Q12" i="14"/>
  <c r="Q13" i="14"/>
  <c r="Q14" i="14"/>
  <c r="Q15" i="14"/>
  <c r="Q16" i="14"/>
  <c r="Q17" i="14"/>
  <c r="Q18" i="14"/>
  <c r="Q19" i="14"/>
  <c r="Q20" i="14"/>
  <c r="Q21" i="14"/>
  <c r="P38" i="14"/>
  <c r="Q26" i="14"/>
  <c r="Q27" i="14"/>
  <c r="Q28" i="14"/>
  <c r="Q29" i="14"/>
  <c r="Q30" i="14"/>
  <c r="Q31" i="14"/>
  <c r="Q32" i="14"/>
  <c r="Q33" i="14"/>
  <c r="Q34" i="14"/>
  <c r="Q35" i="14"/>
  <c r="Q36" i="14"/>
  <c r="Q37" i="14"/>
  <c r="M54" i="14"/>
  <c r="S22" i="14"/>
  <c r="Y22" i="14"/>
  <c r="Z32" i="14"/>
  <c r="Z33" i="14"/>
  <c r="Z34" i="14"/>
  <c r="T22" i="14"/>
  <c r="G49" i="13"/>
  <c r="F11" i="13"/>
  <c r="V54" i="14"/>
  <c r="G38" i="14"/>
  <c r="H26" i="14"/>
  <c r="H27" i="14"/>
  <c r="H28" i="14"/>
  <c r="H29" i="14"/>
  <c r="H30" i="14"/>
  <c r="H31" i="14"/>
  <c r="H32" i="14"/>
  <c r="H33" i="14"/>
  <c r="H34" i="14"/>
  <c r="H35" i="14"/>
  <c r="H36" i="14"/>
  <c r="H37" i="14"/>
  <c r="E152" i="2"/>
  <c r="J152" i="2"/>
  <c r="J151" i="2"/>
  <c r="W26" i="14"/>
  <c r="W27" i="14"/>
  <c r="W28" i="14"/>
  <c r="W29" i="14"/>
  <c r="W30" i="14"/>
  <c r="W31" i="14"/>
  <c r="W32" i="14"/>
  <c r="W33" i="14"/>
  <c r="W34" i="14"/>
  <c r="W35" i="14"/>
  <c r="W36" i="14"/>
  <c r="W37" i="14"/>
  <c r="W38" i="14"/>
  <c r="G38" i="13"/>
  <c r="G39" i="13"/>
  <c r="F10" i="13"/>
  <c r="G54" i="14"/>
  <c r="A25" i="9"/>
  <c r="B23" i="9"/>
  <c r="E33" i="13"/>
  <c r="A82" i="2"/>
  <c r="A19" i="6"/>
  <c r="A20" i="6"/>
  <c r="A21" i="6"/>
  <c r="A22" i="6"/>
  <c r="AF10" i="14"/>
  <c r="AF11" i="14"/>
  <c r="AF12" i="14"/>
  <c r="AF13" i="14"/>
  <c r="AF14" i="14"/>
  <c r="AF15" i="14"/>
  <c r="AF16" i="14"/>
  <c r="AF17" i="14"/>
  <c r="AF18" i="14"/>
  <c r="AF19" i="14"/>
  <c r="AF20" i="14"/>
  <c r="AF21" i="14"/>
  <c r="AF22" i="14"/>
  <c r="H28" i="13"/>
  <c r="H29" i="13"/>
  <c r="G9" i="13"/>
  <c r="G12" i="13"/>
  <c r="G16" i="13"/>
  <c r="E36" i="9"/>
  <c r="F39" i="9"/>
  <c r="F12" i="13"/>
  <c r="A27" i="7"/>
  <c r="B30" i="7"/>
  <c r="F49" i="13"/>
  <c r="E43" i="13"/>
  <c r="AD38" i="14"/>
  <c r="AF26" i="14"/>
  <c r="AF27" i="14"/>
  <c r="AF28" i="14"/>
  <c r="AF29" i="14"/>
  <c r="AF30" i="14"/>
  <c r="AF31" i="14"/>
  <c r="AF32" i="14"/>
  <c r="AF33" i="14"/>
  <c r="AF34" i="14"/>
  <c r="AF35" i="14"/>
  <c r="AF36" i="14"/>
  <c r="AF37" i="14"/>
  <c r="AF38" i="14"/>
  <c r="H38" i="13"/>
  <c r="H39" i="13"/>
  <c r="G10" i="13"/>
  <c r="N26" i="14"/>
  <c r="N27" i="14"/>
  <c r="N28" i="14"/>
  <c r="N29" i="14"/>
  <c r="N30" i="14"/>
  <c r="N31" i="14"/>
  <c r="N32" i="14"/>
  <c r="N33" i="14"/>
  <c r="N34" i="14"/>
  <c r="N35" i="14"/>
  <c r="N36" i="14"/>
  <c r="N37" i="14"/>
  <c r="N38" i="14"/>
  <c r="F38" i="13"/>
  <c r="E38" i="13"/>
  <c r="A25" i="13"/>
  <c r="B23" i="13"/>
  <c r="E43" i="9"/>
  <c r="F49" i="9"/>
  <c r="D36" i="4"/>
  <c r="A38" i="4"/>
  <c r="A39" i="4"/>
  <c r="B33" i="7"/>
  <c r="A28" i="7"/>
  <c r="A29" i="7"/>
  <c r="A30" i="7"/>
  <c r="E10" i="9"/>
  <c r="E39" i="9"/>
  <c r="A23" i="6"/>
  <c r="A24" i="6"/>
  <c r="A25" i="6"/>
  <c r="A26" i="6"/>
  <c r="A27" i="6"/>
  <c r="B24" i="6"/>
  <c r="C22" i="6"/>
  <c r="F39" i="13"/>
  <c r="E49" i="9"/>
  <c r="E11" i="9"/>
  <c r="A83" i="2"/>
  <c r="A85" i="2"/>
  <c r="A86" i="2"/>
  <c r="C83" i="2"/>
  <c r="A26" i="9"/>
  <c r="A40" i="4"/>
  <c r="A41" i="4"/>
  <c r="A42" i="4"/>
  <c r="A43" i="4"/>
  <c r="A44" i="4"/>
  <c r="A45" i="4"/>
  <c r="A46" i="4"/>
  <c r="A47" i="4"/>
  <c r="A48" i="4"/>
  <c r="A49" i="4"/>
  <c r="A50" i="4"/>
  <c r="A51" i="4"/>
  <c r="A52" i="4"/>
  <c r="D52" i="4"/>
  <c r="A26" i="13"/>
  <c r="E49" i="13"/>
  <c r="E11" i="13"/>
  <c r="A28" i="6"/>
  <c r="A29" i="6"/>
  <c r="A30" i="6"/>
  <c r="A31" i="6"/>
  <c r="A32" i="6"/>
  <c r="A33" i="6"/>
  <c r="C33" i="6"/>
  <c r="A27" i="13"/>
  <c r="A54" i="4"/>
  <c r="A55" i="4"/>
  <c r="A31" i="7"/>
  <c r="E39" i="13"/>
  <c r="E10" i="13"/>
  <c r="A87" i="2"/>
  <c r="D93" i="2"/>
  <c r="A27" i="9"/>
  <c r="A56" i="4"/>
  <c r="A57" i="4"/>
  <c r="A58" i="4"/>
  <c r="A59" i="4"/>
  <c r="A60" i="4"/>
  <c r="A61" i="4"/>
  <c r="A62" i="4"/>
  <c r="A63" i="4"/>
  <c r="A64" i="4"/>
  <c r="A65" i="4"/>
  <c r="A66" i="4"/>
  <c r="A67" i="4"/>
  <c r="A68" i="4"/>
  <c r="A28" i="9"/>
  <c r="B26" i="9"/>
  <c r="B35" i="6"/>
  <c r="A34" i="6"/>
  <c r="A35" i="6"/>
  <c r="A36" i="6"/>
  <c r="A37" i="6"/>
  <c r="A38" i="6"/>
  <c r="A88" i="2"/>
  <c r="D94" i="2"/>
  <c r="B96" i="7"/>
  <c r="A32" i="7"/>
  <c r="B63" i="7"/>
  <c r="B34" i="7"/>
  <c r="A28" i="13"/>
  <c r="B26" i="13"/>
  <c r="A89" i="2"/>
  <c r="D95" i="2"/>
  <c r="A70" i="4"/>
  <c r="A71" i="4"/>
  <c r="A29" i="13"/>
  <c r="A32" i="13"/>
  <c r="B29" i="13"/>
  <c r="B40" i="6"/>
  <c r="A39" i="6"/>
  <c r="A40" i="6"/>
  <c r="D68" i="4"/>
  <c r="A33" i="7"/>
  <c r="A34" i="7"/>
  <c r="A35" i="7"/>
  <c r="A29" i="9"/>
  <c r="B29" i="9"/>
  <c r="A72" i="4"/>
  <c r="A73" i="4"/>
  <c r="A74" i="4"/>
  <c r="A75" i="4"/>
  <c r="A76" i="4"/>
  <c r="A77" i="4"/>
  <c r="A78" i="4"/>
  <c r="A79" i="4"/>
  <c r="A80" i="4"/>
  <c r="A81" i="4"/>
  <c r="A82" i="4"/>
  <c r="A83" i="4"/>
  <c r="A84" i="4"/>
  <c r="A38" i="7"/>
  <c r="E38" i="7"/>
  <c r="C35" i="7"/>
  <c r="A33" i="13"/>
  <c r="A32" i="9"/>
  <c r="I9" i="9"/>
  <c r="A90" i="2"/>
  <c r="A92" i="2"/>
  <c r="A93" i="2"/>
  <c r="D96" i="2"/>
  <c r="C90" i="2"/>
  <c r="A86" i="4"/>
  <c r="A92" i="4"/>
  <c r="A93" i="4"/>
  <c r="D86" i="4"/>
  <c r="A33" i="9"/>
  <c r="A39" i="7"/>
  <c r="A40" i="7"/>
  <c r="A46" i="7"/>
  <c r="E40" i="7"/>
  <c r="A94" i="2"/>
  <c r="A34" i="13"/>
  <c r="D84" i="4"/>
  <c r="A35" i="13"/>
  <c r="B33" i="13"/>
  <c r="A94" i="4"/>
  <c r="A95" i="4"/>
  <c r="A96" i="4"/>
  <c r="A97" i="4"/>
  <c r="A98" i="4"/>
  <c r="A99" i="4"/>
  <c r="A100" i="4"/>
  <c r="A101" i="4"/>
  <c r="A102" i="4"/>
  <c r="A103" i="4"/>
  <c r="A104" i="4"/>
  <c r="A105" i="4"/>
  <c r="A106" i="4"/>
  <c r="D237" i="2"/>
  <c r="A95" i="2"/>
  <c r="A96" i="2"/>
  <c r="A34" i="9"/>
  <c r="A48" i="7"/>
  <c r="A51" i="7"/>
  <c r="E71" i="7"/>
  <c r="A108" i="4"/>
  <c r="A109" i="4"/>
  <c r="A52" i="7"/>
  <c r="A53" i="7"/>
  <c r="A54" i="7"/>
  <c r="A55" i="7"/>
  <c r="B60" i="7"/>
  <c r="A97" i="2"/>
  <c r="C97" i="2"/>
  <c r="D106" i="4"/>
  <c r="A35" i="9"/>
  <c r="B33" i="9"/>
  <c r="A36" i="13"/>
  <c r="A37" i="13"/>
  <c r="A36" i="9"/>
  <c r="A99" i="2"/>
  <c r="A100" i="2"/>
  <c r="A57" i="7"/>
  <c r="A58" i="7"/>
  <c r="A110" i="4"/>
  <c r="A111" i="4"/>
  <c r="A112" i="4"/>
  <c r="A113" i="4"/>
  <c r="A114" i="4"/>
  <c r="A115" i="4"/>
  <c r="A116" i="4"/>
  <c r="A117" i="4"/>
  <c r="A118" i="4"/>
  <c r="A119" i="4"/>
  <c r="A120" i="4"/>
  <c r="A121" i="4"/>
  <c r="A122" i="4"/>
  <c r="D122" i="4"/>
  <c r="A101" i="2"/>
  <c r="A102" i="2"/>
  <c r="A124" i="4"/>
  <c r="A125" i="4"/>
  <c r="A37" i="9"/>
  <c r="A59" i="7"/>
  <c r="B62" i="7"/>
  <c r="A38" i="13"/>
  <c r="B36" i="13"/>
  <c r="A39" i="13"/>
  <c r="A42" i="13"/>
  <c r="B39" i="13"/>
  <c r="A38" i="9"/>
  <c r="B36" i="9"/>
  <c r="B65" i="7"/>
  <c r="A60" i="7"/>
  <c r="A61" i="7"/>
  <c r="A62" i="7"/>
  <c r="D238" i="2"/>
  <c r="A104" i="2"/>
  <c r="A105" i="2"/>
  <c r="A126" i="4"/>
  <c r="A127" i="4"/>
  <c r="A128" i="4"/>
  <c r="A129" i="4"/>
  <c r="A130" i="4"/>
  <c r="A131" i="4"/>
  <c r="A132" i="4"/>
  <c r="A133" i="4"/>
  <c r="A134" i="4"/>
  <c r="A135" i="4"/>
  <c r="A136" i="4"/>
  <c r="A137" i="4"/>
  <c r="A138" i="4"/>
  <c r="A39" i="9"/>
  <c r="B39" i="9"/>
  <c r="A63" i="7"/>
  <c r="A64" i="7"/>
  <c r="B66" i="7"/>
  <c r="D138" i="4"/>
  <c r="A43" i="13"/>
  <c r="A140" i="4"/>
  <c r="A141" i="4"/>
  <c r="D240" i="2"/>
  <c r="A106" i="2"/>
  <c r="D239" i="2"/>
  <c r="A107" i="2"/>
  <c r="C107" i="2"/>
  <c r="A42" i="9"/>
  <c r="I10" i="9"/>
  <c r="A142" i="4"/>
  <c r="A143" i="4"/>
  <c r="A144" i="4"/>
  <c r="A145" i="4"/>
  <c r="A146" i="4"/>
  <c r="A147" i="4"/>
  <c r="A148" i="4"/>
  <c r="A149" i="4"/>
  <c r="A150" i="4"/>
  <c r="A151" i="4"/>
  <c r="A152" i="4"/>
  <c r="A153" i="4"/>
  <c r="A154" i="4"/>
  <c r="A65" i="7"/>
  <c r="A66" i="7"/>
  <c r="A67" i="7"/>
  <c r="A44" i="13"/>
  <c r="A109" i="2"/>
  <c r="A111" i="2"/>
  <c r="A112" i="2"/>
  <c r="A45" i="13"/>
  <c r="B43" i="13"/>
  <c r="A156" i="4"/>
  <c r="A157" i="4"/>
  <c r="D154" i="4"/>
  <c r="A70" i="7"/>
  <c r="E70" i="7"/>
  <c r="A43" i="9"/>
  <c r="C67" i="7"/>
  <c r="A158" i="4"/>
  <c r="A159" i="4"/>
  <c r="A160" i="4"/>
  <c r="A161" i="4"/>
  <c r="A162" i="4"/>
  <c r="A163" i="4"/>
  <c r="A164" i="4"/>
  <c r="A165" i="4"/>
  <c r="A166" i="4"/>
  <c r="A167" i="4"/>
  <c r="A168" i="4"/>
  <c r="A169" i="4"/>
  <c r="A170" i="4"/>
  <c r="A71" i="7"/>
  <c r="A72" i="7"/>
  <c r="A46" i="13"/>
  <c r="A113" i="2"/>
  <c r="A114" i="2"/>
  <c r="A115" i="2"/>
  <c r="A44" i="9"/>
  <c r="E73" i="7"/>
  <c r="A73" i="7"/>
  <c r="A79" i="7"/>
  <c r="A47" i="13"/>
  <c r="E72" i="7"/>
  <c r="D170" i="4"/>
  <c r="A173" i="4"/>
  <c r="A5" i="5"/>
  <c r="A7" i="5"/>
  <c r="A9" i="5"/>
  <c r="A11" i="5"/>
  <c r="A13" i="5"/>
  <c r="D173" i="4"/>
  <c r="A117" i="2"/>
  <c r="C117" i="2"/>
  <c r="C115" i="2"/>
  <c r="A45" i="9"/>
  <c r="B43" i="9"/>
  <c r="A14" i="5"/>
  <c r="A15" i="5"/>
  <c r="A16" i="5"/>
  <c r="A17" i="5"/>
  <c r="A18" i="5"/>
  <c r="A19" i="5"/>
  <c r="A20" i="5"/>
  <c r="A21" i="5"/>
  <c r="A22" i="5"/>
  <c r="A23" i="5"/>
  <c r="A24" i="5"/>
  <c r="A25" i="5"/>
  <c r="A26" i="5"/>
  <c r="A48" i="13"/>
  <c r="B46" i="13"/>
  <c r="A46" i="9"/>
  <c r="A81" i="7"/>
  <c r="A84" i="7"/>
  <c r="E104" i="7"/>
  <c r="A143" i="2"/>
  <c r="A144" i="2"/>
  <c r="A49" i="13"/>
  <c r="B49" i="13"/>
  <c r="A145" i="2"/>
  <c r="A146" i="2"/>
  <c r="A147" i="2"/>
  <c r="A148" i="2"/>
  <c r="A149" i="2"/>
  <c r="A153" i="2"/>
  <c r="A85" i="7"/>
  <c r="A86" i="7"/>
  <c r="A87" i="7"/>
  <c r="B93" i="7"/>
  <c r="D26" i="5"/>
  <c r="A47" i="9"/>
  <c r="A155" i="2"/>
  <c r="A156" i="2"/>
  <c r="C153" i="2"/>
  <c r="B88" i="7"/>
  <c r="A88" i="7"/>
  <c r="A48" i="9"/>
  <c r="B46" i="9"/>
  <c r="A49" i="9"/>
  <c r="I11" i="9"/>
  <c r="B49" i="9"/>
  <c r="A90" i="7"/>
  <c r="A91" i="7"/>
  <c r="A157" i="2"/>
  <c r="A158" i="2"/>
  <c r="A159" i="2"/>
  <c r="C159" i="2"/>
  <c r="A161" i="2"/>
  <c r="A162" i="2"/>
  <c r="A163" i="2"/>
  <c r="B95" i="7"/>
  <c r="A92" i="7"/>
  <c r="A93" i="7"/>
  <c r="A94" i="7"/>
  <c r="A95" i="7"/>
  <c r="B98" i="7"/>
  <c r="A164" i="2"/>
  <c r="A165" i="2"/>
  <c r="A166" i="2"/>
  <c r="A167" i="2"/>
  <c r="A168" i="2"/>
  <c r="A169" i="2"/>
  <c r="C169" i="2"/>
  <c r="A171" i="2"/>
  <c r="A172" i="2"/>
  <c r="A96" i="7"/>
  <c r="A97" i="7"/>
  <c r="C176" i="2"/>
  <c r="A173" i="2"/>
  <c r="A174" i="2"/>
  <c r="A175" i="2"/>
  <c r="A176" i="2"/>
  <c r="A177" i="2"/>
  <c r="A178" i="2"/>
  <c r="A98" i="7"/>
  <c r="A99" i="7"/>
  <c r="A100" i="7"/>
  <c r="B99" i="7"/>
  <c r="A179" i="2"/>
  <c r="A180" i="2"/>
  <c r="A181" i="2"/>
  <c r="A103" i="7"/>
  <c r="E103" i="7"/>
  <c r="C100" i="7"/>
  <c r="A104" i="7"/>
  <c r="A105" i="7"/>
  <c r="A183" i="2"/>
  <c r="A184" i="2"/>
  <c r="A186" i="2"/>
  <c r="C186" i="2"/>
  <c r="D181" i="2"/>
  <c r="A188" i="2"/>
  <c r="A191" i="2"/>
  <c r="C191" i="2"/>
  <c r="E106" i="7"/>
  <c r="A106" i="7"/>
  <c r="A109" i="7"/>
  <c r="A111" i="7"/>
  <c r="A112" i="7"/>
  <c r="E105" i="7"/>
  <c r="A209" i="2"/>
  <c r="A211" i="2"/>
  <c r="D15" i="2"/>
  <c r="A212" i="2"/>
  <c r="A213" i="2"/>
  <c r="A214" i="2"/>
  <c r="C214" i="2"/>
  <c r="C216" i="2"/>
  <c r="A216" i="2"/>
  <c r="A218" i="2"/>
  <c r="A219" i="2"/>
  <c r="A220" i="2"/>
  <c r="A221" i="2"/>
  <c r="A222" i="2"/>
  <c r="A223" i="2"/>
  <c r="A224" i="2"/>
  <c r="A226" i="2"/>
  <c r="A227" i="2"/>
  <c r="A228" i="2"/>
  <c r="A229" i="2"/>
  <c r="A230" i="2"/>
  <c r="A231" i="2"/>
  <c r="A232" i="2"/>
  <c r="C174" i="2"/>
  <c r="C232" i="2"/>
  <c r="C224" i="2"/>
  <c r="A237" i="2"/>
  <c r="A238" i="2"/>
  <c r="A239" i="2"/>
  <c r="A240" i="2"/>
  <c r="A241" i="2"/>
  <c r="A242" i="2"/>
  <c r="A243" i="2"/>
  <c r="A244" i="2"/>
  <c r="C184" i="2"/>
  <c r="J86" i="2"/>
  <c r="J93" i="2"/>
  <c r="E93" i="2"/>
  <c r="E95" i="2"/>
  <c r="J88" i="2"/>
  <c r="J95" i="2"/>
  <c r="A3" i="16"/>
  <c r="E39" i="4"/>
  <c r="E141" i="4"/>
  <c r="E8" i="4"/>
  <c r="E109" i="4"/>
  <c r="E93" i="4"/>
  <c r="E23" i="4"/>
  <c r="E157" i="4"/>
  <c r="E71" i="4"/>
  <c r="E55" i="4"/>
  <c r="G86" i="7"/>
  <c r="E125" i="4"/>
  <c r="E134" i="4"/>
  <c r="E131" i="4"/>
  <c r="E31" i="4"/>
  <c r="E42" i="4"/>
  <c r="E76" i="4"/>
  <c r="E130" i="4"/>
  <c r="E115" i="4"/>
  <c r="E25" i="4"/>
  <c r="E24" i="4"/>
  <c r="E144" i="4"/>
  <c r="E126" i="4"/>
  <c r="E121" i="4"/>
  <c r="E27" i="4"/>
  <c r="E13" i="4"/>
  <c r="E72" i="4"/>
  <c r="E101" i="4"/>
  <c r="E111" i="4"/>
  <c r="E12" i="4"/>
  <c r="E14" i="4"/>
  <c r="E110" i="4"/>
  <c r="E97" i="4"/>
  <c r="E167" i="4"/>
  <c r="E158" i="4"/>
  <c r="E47" i="4"/>
  <c r="E59" i="4"/>
  <c r="E132" i="4"/>
  <c r="E78" i="4"/>
  <c r="E51" i="4"/>
  <c r="E105" i="4"/>
  <c r="E117" i="4"/>
  <c r="E16" i="4"/>
  <c r="E162" i="4"/>
  <c r="E62" i="4"/>
  <c r="E67" i="4"/>
  <c r="E98" i="4"/>
  <c r="E147" i="4"/>
  <c r="E28" i="4"/>
  <c r="E100" i="4"/>
  <c r="E113" i="4"/>
  <c r="E83" i="4"/>
  <c r="E63" i="4"/>
  <c r="E102" i="4"/>
  <c r="E151" i="4"/>
  <c r="E34" i="4"/>
  <c r="E44" i="4"/>
  <c r="E79" i="4"/>
  <c r="E103" i="4"/>
  <c r="E137" i="4"/>
  <c r="E32" i="4"/>
  <c r="E143" i="4"/>
  <c r="E30" i="4"/>
  <c r="E75" i="4"/>
  <c r="E74" i="4"/>
  <c r="E81" i="4"/>
  <c r="E136" i="4"/>
  <c r="E120" i="4"/>
  <c r="E161" i="4"/>
  <c r="E64" i="4"/>
  <c r="E61" i="4"/>
  <c r="E43" i="4"/>
  <c r="E112" i="4"/>
  <c r="E148" i="4"/>
  <c r="E48" i="4"/>
  <c r="E133" i="4"/>
  <c r="E15" i="4"/>
  <c r="E95" i="4"/>
  <c r="E160" i="4"/>
  <c r="E40" i="4"/>
  <c r="E26" i="4"/>
  <c r="E66" i="4"/>
  <c r="E11" i="4"/>
  <c r="E73" i="4"/>
  <c r="E99" i="4"/>
  <c r="E142" i="4"/>
  <c r="E49" i="4"/>
  <c r="E118" i="4"/>
  <c r="E94" i="4"/>
  <c r="E19" i="4"/>
  <c r="E77" i="4"/>
  <c r="E128" i="4"/>
  <c r="E116" i="4"/>
  <c r="E18" i="4"/>
  <c r="E150" i="4"/>
  <c r="E56" i="4"/>
  <c r="E46" i="4"/>
  <c r="E152" i="4"/>
  <c r="E169" i="4"/>
  <c r="E10" i="4"/>
  <c r="E17" i="4"/>
  <c r="E165" i="4"/>
  <c r="E163" i="4"/>
  <c r="E60" i="4"/>
  <c r="E65" i="4"/>
  <c r="E104" i="4"/>
  <c r="E166" i="4"/>
  <c r="E135" i="4"/>
  <c r="E41" i="4"/>
  <c r="E9" i="4"/>
  <c r="E164" i="4"/>
  <c r="E168" i="4"/>
  <c r="E159" i="4"/>
  <c r="E45" i="4"/>
  <c r="E57" i="4"/>
  <c r="E96" i="4"/>
  <c r="E153" i="4"/>
  <c r="E127" i="4"/>
  <c r="E33" i="4"/>
  <c r="E82" i="4"/>
  <c r="E129" i="4"/>
  <c r="E149" i="4"/>
  <c r="E146" i="4"/>
  <c r="E35" i="4"/>
  <c r="E50" i="4"/>
  <c r="E80" i="4"/>
  <c r="E145" i="4"/>
  <c r="E119" i="4"/>
  <c r="E29" i="4"/>
  <c r="E58" i="4"/>
  <c r="E114" i="4"/>
  <c r="F26" i="5" l="1"/>
  <c r="E114" i="2" s="1"/>
  <c r="G14" i="8"/>
  <c r="G15" i="8"/>
  <c r="H15" i="8"/>
  <c r="H16" i="8"/>
  <c r="E51" i="12"/>
  <c r="E54" i="12" s="1"/>
  <c r="G18" i="14"/>
  <c r="J16" i="14"/>
  <c r="K16" i="14" s="1"/>
  <c r="M16" i="14" s="1"/>
  <c r="G14" i="14"/>
  <c r="G19" i="14"/>
  <c r="G52" i="7"/>
  <c r="G85" i="7"/>
  <c r="F25" i="13"/>
  <c r="E25" i="13" s="1"/>
  <c r="E9" i="12"/>
  <c r="F25" i="9"/>
  <c r="E25" i="9" s="1"/>
  <c r="L18" i="14"/>
  <c r="M18" i="14"/>
  <c r="M19" i="14"/>
  <c r="L19" i="14"/>
  <c r="F27" i="13"/>
  <c r="E27" i="13" s="1"/>
  <c r="J11" i="14"/>
  <c r="K11" i="14" s="1"/>
  <c r="M11" i="14" s="1"/>
  <c r="J15" i="14"/>
  <c r="K15" i="14" s="1"/>
  <c r="J17" i="14"/>
  <c r="K17" i="14" s="1"/>
  <c r="L17" i="14" s="1"/>
  <c r="F22" i="10"/>
  <c r="J12" i="14"/>
  <c r="K12" i="14" s="1"/>
  <c r="M12" i="14" s="1"/>
  <c r="F22" i="9"/>
  <c r="E22" i="9" s="1"/>
  <c r="J21" i="14"/>
  <c r="K21" i="14" s="1"/>
  <c r="F22" i="14"/>
  <c r="E169" i="2"/>
  <c r="J7" i="17"/>
  <c r="J34" i="17"/>
  <c r="J23" i="17"/>
  <c r="L23" i="17" s="1"/>
  <c r="K24" i="17"/>
  <c r="K7" i="17"/>
  <c r="K26" i="17"/>
  <c r="I17" i="17"/>
  <c r="K29" i="17"/>
  <c r="K9" i="17"/>
  <c r="K11" i="17"/>
  <c r="L11" i="17" s="1"/>
  <c r="J29" i="17"/>
  <c r="E178" i="2"/>
  <c r="D32" i="7" s="1"/>
  <c r="E22" i="13"/>
  <c r="F23" i="13"/>
  <c r="E23" i="13" s="1"/>
  <c r="G9" i="10"/>
  <c r="E9" i="11"/>
  <c r="L13" i="14"/>
  <c r="M13" i="14"/>
  <c r="M20" i="14"/>
  <c r="L20" i="14"/>
  <c r="G10" i="14"/>
  <c r="J10" i="14"/>
  <c r="L16" i="14"/>
  <c r="L14" i="14"/>
  <c r="G20" i="14"/>
  <c r="J24" i="17"/>
  <c r="J16" i="17"/>
  <c r="L15" i="17"/>
  <c r="L33" i="17"/>
  <c r="K30" i="17"/>
  <c r="L30" i="17" s="1"/>
  <c r="J28" i="17"/>
  <c r="E156" i="2"/>
  <c r="J9" i="17"/>
  <c r="K14" i="17"/>
  <c r="J32" i="17"/>
  <c r="J30" i="17"/>
  <c r="J10" i="17"/>
  <c r="L10" i="17" s="1"/>
  <c r="J31" i="17"/>
  <c r="J14" i="17"/>
  <c r="H14" i="8" l="1"/>
  <c r="H21" i="8" s="1"/>
  <c r="E23" i="2" s="1"/>
  <c r="J23" i="2" s="1"/>
  <c r="G21" i="8"/>
  <c r="L24" i="17"/>
  <c r="L9" i="17"/>
  <c r="F26" i="9"/>
  <c r="E26" i="9" s="1"/>
  <c r="E12" i="12"/>
  <c r="E12" i="11"/>
  <c r="F23" i="9"/>
  <c r="E23" i="9" s="1"/>
  <c r="L12" i="14"/>
  <c r="L11" i="14"/>
  <c r="F26" i="13"/>
  <c r="E26" i="13" s="1"/>
  <c r="L15" i="14"/>
  <c r="M15" i="14"/>
  <c r="L21" i="14"/>
  <c r="M21" i="14"/>
  <c r="M17" i="14"/>
  <c r="J146" i="2"/>
  <c r="E153" i="2"/>
  <c r="E112" i="2" s="1"/>
  <c r="E115" i="2" s="1"/>
  <c r="L7" i="17"/>
  <c r="F154" i="4"/>
  <c r="E157" i="2"/>
  <c r="J157" i="2" s="1"/>
  <c r="J26" i="17"/>
  <c r="L26" i="17" s="1"/>
  <c r="F20" i="4"/>
  <c r="J27" i="17"/>
  <c r="L27" i="17" s="1"/>
  <c r="D64" i="7"/>
  <c r="D97" i="7"/>
  <c r="H9" i="10"/>
  <c r="H22" i="10" s="1"/>
  <c r="F28" i="9" s="1"/>
  <c r="H9" i="14"/>
  <c r="H10" i="14" s="1"/>
  <c r="H11" i="14" s="1"/>
  <c r="H12" i="14" s="1"/>
  <c r="H13" i="14" s="1"/>
  <c r="H14" i="14" s="1"/>
  <c r="H15" i="14" s="1"/>
  <c r="H16" i="14" s="1"/>
  <c r="H17" i="14" s="1"/>
  <c r="H18" i="14" s="1"/>
  <c r="H19" i="14" s="1"/>
  <c r="H20" i="14" s="1"/>
  <c r="H21" i="14" s="1"/>
  <c r="G22" i="10"/>
  <c r="G23" i="10" s="1"/>
  <c r="J22" i="14"/>
  <c r="K10" i="14"/>
  <c r="G22" i="14"/>
  <c r="K13" i="17"/>
  <c r="L13" i="17" s="1"/>
  <c r="K5" i="17"/>
  <c r="K35" i="17"/>
  <c r="L35" i="17" s="1"/>
  <c r="K25" i="17"/>
  <c r="L29" i="17"/>
  <c r="I18" i="17"/>
  <c r="E159" i="2"/>
  <c r="F106" i="4"/>
  <c r="K31" i="17"/>
  <c r="L31" i="17" s="1"/>
  <c r="K12" i="17"/>
  <c r="L12" i="17" s="1"/>
  <c r="L14" i="17"/>
  <c r="J5" i="17"/>
  <c r="F68" i="4"/>
  <c r="L28" i="17"/>
  <c r="K17" i="17"/>
  <c r="E80" i="2" l="1"/>
  <c r="J36" i="17"/>
  <c r="E28" i="9"/>
  <c r="E9" i="9"/>
  <c r="E12" i="9" s="1"/>
  <c r="E16" i="9" s="1"/>
  <c r="F29" i="9"/>
  <c r="E29" i="9" s="1"/>
  <c r="L10" i="14"/>
  <c r="K22" i="14"/>
  <c r="M10" i="14"/>
  <c r="M22" i="14" s="1"/>
  <c r="J211" i="2"/>
  <c r="K32" i="17"/>
  <c r="L32" i="17" s="1"/>
  <c r="F138" i="4"/>
  <c r="L25" i="17"/>
  <c r="K6" i="17"/>
  <c r="L6" i="17" s="1"/>
  <c r="K34" i="17"/>
  <c r="L34" i="17" s="1"/>
  <c r="K8" i="17"/>
  <c r="L8" i="17" s="1"/>
  <c r="L17" i="17"/>
  <c r="O12" i="17" s="1"/>
  <c r="E87" i="2"/>
  <c r="K16" i="17"/>
  <c r="L16" i="17" s="1"/>
  <c r="J18" i="17"/>
  <c r="L5" i="17"/>
  <c r="F52" i="4"/>
  <c r="I36" i="17"/>
  <c r="E89" i="2" l="1"/>
  <c r="J89" i="2" s="1"/>
  <c r="N14" i="17"/>
  <c r="P12" i="17"/>
  <c r="N13" i="17"/>
  <c r="P14" i="17"/>
  <c r="O14" i="17"/>
  <c r="N12" i="17"/>
  <c r="L22" i="14"/>
  <c r="N10" i="14"/>
  <c r="N11" i="14" s="1"/>
  <c r="N12" i="14" s="1"/>
  <c r="N13" i="14" s="1"/>
  <c r="N14" i="14" s="1"/>
  <c r="N15" i="14" s="1"/>
  <c r="N16" i="14" s="1"/>
  <c r="N17" i="14" s="1"/>
  <c r="N18" i="14" s="1"/>
  <c r="N19" i="14" s="1"/>
  <c r="N20" i="14" s="1"/>
  <c r="N21" i="14" s="1"/>
  <c r="N22" i="14" s="1"/>
  <c r="F28" i="13" s="1"/>
  <c r="P8" i="17"/>
  <c r="N8" i="17"/>
  <c r="O8" i="17"/>
  <c r="L18" i="17"/>
  <c r="N5" i="17"/>
  <c r="P5" i="17"/>
  <c r="O5" i="17"/>
  <c r="E82" i="2"/>
  <c r="F86" i="4"/>
  <c r="O16" i="17"/>
  <c r="P16" i="17"/>
  <c r="N16" i="17"/>
  <c r="O6" i="17"/>
  <c r="N6" i="17"/>
  <c r="P6" i="17"/>
  <c r="F173" i="4"/>
  <c r="P17" i="17"/>
  <c r="N17" i="17"/>
  <c r="O17" i="17"/>
  <c r="P11" i="17"/>
  <c r="N11" i="17"/>
  <c r="P7" i="17"/>
  <c r="N15" i="17"/>
  <c r="N10" i="17"/>
  <c r="N9" i="17"/>
  <c r="O9" i="17"/>
  <c r="O11" i="17"/>
  <c r="N7" i="17"/>
  <c r="P15" i="17"/>
  <c r="O10" i="17"/>
  <c r="P10" i="17"/>
  <c r="P9" i="17"/>
  <c r="O7" i="17"/>
  <c r="O15" i="17"/>
  <c r="L36" i="17"/>
  <c r="O13" i="17"/>
  <c r="J214" i="2"/>
  <c r="J216" i="2" s="1"/>
  <c r="E90" i="2"/>
  <c r="E94" i="2"/>
  <c r="K18" i="17"/>
  <c r="K36" i="17"/>
  <c r="P13" i="17"/>
  <c r="E22" i="6" l="1"/>
  <c r="E14" i="6"/>
  <c r="E28" i="13"/>
  <c r="F29" i="13"/>
  <c r="H144" i="2"/>
  <c r="H156" i="2"/>
  <c r="J156" i="2" s="1"/>
  <c r="J159" i="2" s="1"/>
  <c r="F221" i="2"/>
  <c r="H221" i="2" s="1"/>
  <c r="H224" i="2" s="1"/>
  <c r="H109" i="2"/>
  <c r="H80" i="2"/>
  <c r="H87" i="2"/>
  <c r="J87" i="2" s="1"/>
  <c r="J90" i="2" s="1"/>
  <c r="E96" i="2"/>
  <c r="J82" i="2"/>
  <c r="J96" i="2" s="1"/>
  <c r="E83" i="2"/>
  <c r="E97" i="2"/>
  <c r="O18" i="17"/>
  <c r="D6" i="17" s="1"/>
  <c r="P18" i="17"/>
  <c r="D7" i="17" s="1"/>
  <c r="N18" i="17"/>
  <c r="D5" i="17" s="1"/>
  <c r="F22" i="6" l="1"/>
  <c r="F14" i="6"/>
  <c r="E24" i="6"/>
  <c r="E29" i="13"/>
  <c r="E9" i="13"/>
  <c r="E12" i="13" s="1"/>
  <c r="E16" i="13" s="1"/>
  <c r="M121" i="7"/>
  <c r="J80" i="2"/>
  <c r="H19" i="2"/>
  <c r="J19" i="2" s="1"/>
  <c r="M243" i="2" s="1"/>
  <c r="H100" i="2"/>
  <c r="H113" i="2"/>
  <c r="J113" i="2" s="1"/>
  <c r="J109" i="2"/>
  <c r="M120" i="7"/>
  <c r="M119" i="7"/>
  <c r="D8" i="17"/>
  <c r="P31" i="17" s="1"/>
  <c r="J144" i="2"/>
  <c r="H149" i="2"/>
  <c r="J149" i="2" s="1"/>
  <c r="H145" i="2"/>
  <c r="J145" i="2" s="1"/>
  <c r="H148" i="2"/>
  <c r="J148" i="2" s="1"/>
  <c r="O31" i="17" l="1"/>
  <c r="P25" i="17"/>
  <c r="O35" i="17"/>
  <c r="O23" i="17"/>
  <c r="O24" i="17"/>
  <c r="P33" i="17"/>
  <c r="N23" i="17"/>
  <c r="P27" i="17"/>
  <c r="O27" i="17"/>
  <c r="N29" i="17"/>
  <c r="O29" i="17"/>
  <c r="P29" i="17"/>
  <c r="F24" i="6"/>
  <c r="G14" i="6"/>
  <c r="G22" i="6"/>
  <c r="J153" i="2"/>
  <c r="J112" i="2" s="1"/>
  <c r="N34" i="17"/>
  <c r="N31" i="17"/>
  <c r="N28" i="17"/>
  <c r="P35" i="17"/>
  <c r="N26" i="17"/>
  <c r="O32" i="17"/>
  <c r="N35" i="17"/>
  <c r="O33" i="17"/>
  <c r="P30" i="17"/>
  <c r="J83" i="2"/>
  <c r="H83" i="2" s="1"/>
  <c r="J94" i="2"/>
  <c r="J97" i="2" s="1"/>
  <c r="N33" i="17"/>
  <c r="O34" i="17"/>
  <c r="P34" i="17"/>
  <c r="N30" i="17"/>
  <c r="N32" i="17"/>
  <c r="O30" i="17"/>
  <c r="P23" i="17"/>
  <c r="N27" i="17"/>
  <c r="P32" i="17"/>
  <c r="P26" i="17"/>
  <c r="N25" i="17"/>
  <c r="O26" i="17"/>
  <c r="P24" i="17"/>
  <c r="P28" i="17"/>
  <c r="N24" i="17"/>
  <c r="O28" i="17"/>
  <c r="O25" i="17"/>
  <c r="P120" i="7" l="1"/>
  <c r="P119" i="7"/>
  <c r="G24" i="6"/>
  <c r="H14" i="6"/>
  <c r="H22" i="6"/>
  <c r="O36" i="17"/>
  <c r="E6" i="17" s="1"/>
  <c r="C23" i="17" s="1"/>
  <c r="N36" i="17"/>
  <c r="E5" i="17" s="1"/>
  <c r="C119" i="7" s="1"/>
  <c r="J237" i="2" s="1"/>
  <c r="P36" i="17"/>
  <c r="E7" i="17" s="1"/>
  <c r="C121" i="7" s="1"/>
  <c r="H97" i="2"/>
  <c r="H168" i="2"/>
  <c r="J168" i="2" s="1"/>
  <c r="H166" i="2"/>
  <c r="J166" i="2" s="1"/>
  <c r="J169" i="2" s="1"/>
  <c r="H114" i="2"/>
  <c r="J114" i="2" s="1"/>
  <c r="J115" i="2" s="1"/>
  <c r="P121" i="7"/>
  <c r="P136" i="7" l="1"/>
  <c r="C120" i="7"/>
  <c r="E8" i="17"/>
  <c r="H24" i="6"/>
  <c r="I14" i="6"/>
  <c r="I22" i="6"/>
  <c r="G66" i="7"/>
  <c r="J66" i="7" s="1"/>
  <c r="F14" i="9"/>
  <c r="F16" i="9" s="1"/>
  <c r="H16" i="9" s="1"/>
  <c r="E100" i="2" s="1"/>
  <c r="G34" i="7"/>
  <c r="J34" i="7" s="1"/>
  <c r="F14" i="13"/>
  <c r="F16" i="13" s="1"/>
  <c r="H16" i="13" s="1"/>
  <c r="G99" i="7"/>
  <c r="J99" i="7" s="1"/>
  <c r="H180" i="2"/>
  <c r="H101" i="2"/>
  <c r="J101" i="2" s="1"/>
  <c r="E23" i="17"/>
  <c r="D23" i="17"/>
  <c r="J14" i="6" l="1"/>
  <c r="J22" i="6"/>
  <c r="I24" i="6"/>
  <c r="H178" i="2"/>
  <c r="J178" i="2" s="1"/>
  <c r="J180" i="2"/>
  <c r="E107" i="2"/>
  <c r="H237" i="2" s="1"/>
  <c r="J100" i="2"/>
  <c r="J107" i="2" s="1"/>
  <c r="J117" i="2" s="1"/>
  <c r="J24" i="6" l="1"/>
  <c r="K14" i="6"/>
  <c r="K22" i="6"/>
  <c r="J14" i="7"/>
  <c r="E117" i="2"/>
  <c r="L14" i="6" l="1"/>
  <c r="L22" i="6"/>
  <c r="K24" i="6"/>
  <c r="C136" i="7"/>
  <c r="M118" i="7"/>
  <c r="M237" i="2"/>
  <c r="M241" i="2" s="1"/>
  <c r="J46" i="7"/>
  <c r="J39" i="7"/>
  <c r="M14" i="6" l="1"/>
  <c r="M22" i="6"/>
  <c r="L24" i="6"/>
  <c r="J71" i="7"/>
  <c r="J79" i="7"/>
  <c r="M136" i="7"/>
  <c r="M111" i="7" s="1"/>
  <c r="N118" i="7" s="1"/>
  <c r="N119" i="7" s="1"/>
  <c r="N14" i="6" l="1"/>
  <c r="N22" i="6"/>
  <c r="M24" i="6"/>
  <c r="N120" i="7"/>
  <c r="O119" i="7"/>
  <c r="O118" i="7"/>
  <c r="J104" i="7"/>
  <c r="O14" i="6" l="1"/>
  <c r="O22" i="6"/>
  <c r="O24" i="6" s="1"/>
  <c r="P14" i="6"/>
  <c r="P22" i="6"/>
  <c r="N24" i="6"/>
  <c r="N121" i="7"/>
  <c r="O120" i="7"/>
  <c r="P24" i="6" l="1"/>
  <c r="N122" i="7"/>
  <c r="O121" i="7"/>
  <c r="Q18" i="6" l="1"/>
  <c r="Q22" i="6" s="1"/>
  <c r="D22" i="6"/>
  <c r="D14" i="6"/>
  <c r="D24" i="6" s="1"/>
  <c r="Q12" i="6"/>
  <c r="N123" i="7"/>
  <c r="O122" i="7"/>
  <c r="Q14" i="6" l="1"/>
  <c r="F231" i="2"/>
  <c r="D21" i="7" s="1"/>
  <c r="D53" i="7" s="1"/>
  <c r="O123" i="7"/>
  <c r="N124" i="7"/>
  <c r="P33" i="6" l="1"/>
  <c r="P35" i="6" s="1"/>
  <c r="F229" i="2"/>
  <c r="Q24" i="6"/>
  <c r="N125" i="7"/>
  <c r="O124" i="7"/>
  <c r="F232" i="2" l="1"/>
  <c r="D19" i="7"/>
  <c r="I229" i="2"/>
  <c r="N126" i="7"/>
  <c r="O125" i="7"/>
  <c r="G19" i="7" l="1"/>
  <c r="D22" i="7"/>
  <c r="D51" i="7"/>
  <c r="D54" i="7" s="1"/>
  <c r="G229" i="2"/>
  <c r="E19" i="7" s="1"/>
  <c r="G230" i="2"/>
  <c r="G231" i="2"/>
  <c r="N127" i="7"/>
  <c r="O126" i="7"/>
  <c r="K231" i="2" l="1"/>
  <c r="E21" i="7"/>
  <c r="E20" i="7"/>
  <c r="K230" i="2"/>
  <c r="G51" i="7"/>
  <c r="G84" i="7"/>
  <c r="E51" i="7"/>
  <c r="I19" i="7"/>
  <c r="K229" i="2"/>
  <c r="N128" i="7"/>
  <c r="O127" i="7"/>
  <c r="K232" i="2" l="1"/>
  <c r="E173" i="2" s="1"/>
  <c r="E85" i="7"/>
  <c r="E52" i="7"/>
  <c r="I52" i="7" s="1"/>
  <c r="I20" i="7"/>
  <c r="I51" i="7"/>
  <c r="E86" i="7"/>
  <c r="I86" i="7" s="1"/>
  <c r="I21" i="7"/>
  <c r="I22" i="7" s="1"/>
  <c r="E53" i="7"/>
  <c r="I53" i="7" s="1"/>
  <c r="O128" i="7"/>
  <c r="N129" i="7"/>
  <c r="E184" i="2" l="1"/>
  <c r="J184" i="2"/>
  <c r="D27" i="7"/>
  <c r="J23" i="7"/>
  <c r="I54" i="7"/>
  <c r="I85" i="7"/>
  <c r="E84" i="7"/>
  <c r="I84" i="7" s="1"/>
  <c r="J179" i="2"/>
  <c r="J181" i="2" s="1"/>
  <c r="O129" i="7"/>
  <c r="N130" i="7"/>
  <c r="E179" i="2" l="1"/>
  <c r="E181" i="2" s="1"/>
  <c r="I87" i="7"/>
  <c r="D92" i="7" s="1"/>
  <c r="M242" i="2"/>
  <c r="M244" i="2" s="1"/>
  <c r="M112" i="7" s="1"/>
  <c r="J186" i="2"/>
  <c r="D59" i="7"/>
  <c r="J55" i="7"/>
  <c r="J88" i="7"/>
  <c r="E186" i="2"/>
  <c r="D33" i="7"/>
  <c r="J33" i="7" s="1"/>
  <c r="O130" i="7"/>
  <c r="N131" i="7"/>
  <c r="L129" i="7" l="1"/>
  <c r="L134" i="7"/>
  <c r="L125" i="7"/>
  <c r="L122" i="7"/>
  <c r="L121" i="7"/>
  <c r="L118" i="7"/>
  <c r="L130" i="7"/>
  <c r="L132" i="7"/>
  <c r="L131" i="7"/>
  <c r="L135" i="7"/>
  <c r="L128" i="7"/>
  <c r="L126" i="7"/>
  <c r="L127" i="7"/>
  <c r="L119" i="7"/>
  <c r="L120" i="7"/>
  <c r="C24" i="17" s="1"/>
  <c r="L124" i="7"/>
  <c r="L123" i="7"/>
  <c r="L133" i="7"/>
  <c r="D98" i="7"/>
  <c r="J98" i="7" s="1"/>
  <c r="D65" i="7"/>
  <c r="J65" i="7" s="1"/>
  <c r="D35" i="7"/>
  <c r="J35" i="7"/>
  <c r="J38" i="7" s="1"/>
  <c r="J40" i="7" s="1"/>
  <c r="N132" i="7"/>
  <c r="O131" i="7"/>
  <c r="D67" i="7" l="1"/>
  <c r="J67" i="7"/>
  <c r="J70" i="7" s="1"/>
  <c r="J72" i="7" s="1"/>
  <c r="J73" i="7" s="1"/>
  <c r="J100" i="7"/>
  <c r="J103" i="7" s="1"/>
  <c r="J105" i="7" s="1"/>
  <c r="J106" i="7" s="1"/>
  <c r="D100" i="7"/>
  <c r="L136" i="7"/>
  <c r="D25" i="17"/>
  <c r="E25" i="17"/>
  <c r="Q120" i="7" s="1"/>
  <c r="Q136" i="7" s="1"/>
  <c r="N133" i="7"/>
  <c r="O132" i="7"/>
  <c r="K132" i="7" l="1"/>
  <c r="K133" i="7"/>
  <c r="K119" i="7"/>
  <c r="K129" i="7"/>
  <c r="K125" i="7"/>
  <c r="K130" i="7"/>
  <c r="K127" i="7"/>
  <c r="K123" i="7"/>
  <c r="K131" i="7"/>
  <c r="K124" i="7"/>
  <c r="K122" i="7"/>
  <c r="K134" i="7"/>
  <c r="K120" i="7"/>
  <c r="K126" i="7"/>
  <c r="K118" i="7"/>
  <c r="K135" i="7"/>
  <c r="K128" i="7"/>
  <c r="K121" i="7"/>
  <c r="G132" i="7"/>
  <c r="H132" i="7" s="1"/>
  <c r="I132" i="7" s="1"/>
  <c r="G125" i="7"/>
  <c r="H125" i="7" s="1"/>
  <c r="I125" i="7" s="1"/>
  <c r="G121" i="7"/>
  <c r="H121" i="7" s="1"/>
  <c r="I121" i="7" s="1"/>
  <c r="G126" i="7"/>
  <c r="H126" i="7" s="1"/>
  <c r="I126" i="7" s="1"/>
  <c r="G119" i="7"/>
  <c r="H119" i="7" s="1"/>
  <c r="I119" i="7" s="1"/>
  <c r="G120" i="7"/>
  <c r="H120" i="7" s="1"/>
  <c r="I120" i="7" s="1"/>
  <c r="G124" i="7"/>
  <c r="H124" i="7" s="1"/>
  <c r="I124" i="7" s="1"/>
  <c r="G128" i="7"/>
  <c r="H128" i="7" s="1"/>
  <c r="I128" i="7" s="1"/>
  <c r="G122" i="7"/>
  <c r="H122" i="7" s="1"/>
  <c r="I122" i="7" s="1"/>
  <c r="G130" i="7"/>
  <c r="H130" i="7" s="1"/>
  <c r="I130" i="7" s="1"/>
  <c r="G134" i="7"/>
  <c r="H134" i="7" s="1"/>
  <c r="I134" i="7" s="1"/>
  <c r="G118" i="7"/>
  <c r="H118" i="7" s="1"/>
  <c r="I118" i="7" s="1"/>
  <c r="G129" i="7"/>
  <c r="H129" i="7" s="1"/>
  <c r="I129" i="7" s="1"/>
  <c r="G133" i="7"/>
  <c r="H133" i="7" s="1"/>
  <c r="I133" i="7" s="1"/>
  <c r="G127" i="7"/>
  <c r="H127" i="7" s="1"/>
  <c r="I127" i="7" s="1"/>
  <c r="G135" i="7"/>
  <c r="H135" i="7" s="1"/>
  <c r="I135" i="7" s="1"/>
  <c r="G123" i="7"/>
  <c r="H123" i="7" s="1"/>
  <c r="I123" i="7" s="1"/>
  <c r="G131" i="7"/>
  <c r="H131" i="7" s="1"/>
  <c r="I131" i="7" s="1"/>
  <c r="N134" i="7"/>
  <c r="O133" i="7"/>
  <c r="R123" i="7" l="1"/>
  <c r="R127" i="7"/>
  <c r="R126" i="7"/>
  <c r="R125" i="7"/>
  <c r="R129" i="7"/>
  <c r="R132" i="7"/>
  <c r="R130" i="7"/>
  <c r="I136" i="7"/>
  <c r="R118" i="7"/>
  <c r="R122" i="7"/>
  <c r="R121" i="7"/>
  <c r="R133" i="7"/>
  <c r="R128" i="7"/>
  <c r="K136" i="7"/>
  <c r="R119" i="7"/>
  <c r="R124" i="7"/>
  <c r="R131" i="7"/>
  <c r="R120" i="7"/>
  <c r="N135" i="7"/>
  <c r="O135" i="7" s="1"/>
  <c r="O134" i="7"/>
  <c r="R134" i="7" s="1"/>
  <c r="E188" i="2" l="1"/>
  <c r="R136" i="7"/>
  <c r="O136" i="7"/>
  <c r="E191" i="2" l="1"/>
  <c r="J188" i="2"/>
  <c r="J191" i="2" s="1"/>
  <c r="J15" i="2" s="1"/>
  <c r="J21" i="2" s="1"/>
  <c r="J25" i="2" s="1"/>
  <c r="R137" i="7" l="1"/>
  <c r="R138" i="7" s="1"/>
</calcChain>
</file>

<file path=xl/sharedStrings.xml><?xml version="1.0" encoding="utf-8"?>
<sst xmlns="http://schemas.openxmlformats.org/spreadsheetml/2006/main" count="2944" uniqueCount="1309">
  <si>
    <t>6.10.9.2.1NextEra Energy Transmission New York, Inc. Formula Rate Template</t>
  </si>
  <si>
    <t>Index</t>
  </si>
  <si>
    <t>NextEra Energy Transmission New York, Inc.</t>
  </si>
  <si>
    <t>Appendix A</t>
  </si>
  <si>
    <t>Main body of the Formula Rate</t>
  </si>
  <si>
    <t>Attachment 1</t>
  </si>
  <si>
    <t>Detail of the Revenue Credits</t>
  </si>
  <si>
    <t>Attachment 2</t>
  </si>
  <si>
    <t>Monthly Plant and Accumulated Depreciation balances</t>
  </si>
  <si>
    <t>Attachment 3</t>
  </si>
  <si>
    <t>Cost Support Detail</t>
  </si>
  <si>
    <t>Attachment 4</t>
  </si>
  <si>
    <t xml:space="preserve">Calculations showing the revenue requirement by Investment, including any Incentives, </t>
  </si>
  <si>
    <t>Attachment 5</t>
  </si>
  <si>
    <t>True-Up calculations</t>
  </si>
  <si>
    <t>Attachment 6a-6e</t>
  </si>
  <si>
    <t>Detail of the Accumulated Deferred Income Tax Balances</t>
  </si>
  <si>
    <t>Attachment 7</t>
  </si>
  <si>
    <t>Depreciation Rates</t>
  </si>
  <si>
    <t>Attachment 8</t>
  </si>
  <si>
    <t>Workpapers</t>
  </si>
  <si>
    <t>Page 1 of 5</t>
  </si>
  <si>
    <t xml:space="preserve">Formula Rate - Non-Levelized </t>
  </si>
  <si>
    <r>
      <t>Rate Formula Template</t>
    </r>
    <r>
      <rPr>
        <strike/>
        <sz val="12"/>
        <color indexed="10"/>
        <rFont val="Arial"/>
        <family val="2"/>
      </rPr>
      <t xml:space="preserve"> </t>
    </r>
  </si>
  <si>
    <t xml:space="preserve"> </t>
  </si>
  <si>
    <t xml:space="preserve"> Utilizing FERC Form 1 Data</t>
  </si>
  <si>
    <t>Projected Annual Transmission Revenue Requirement</t>
  </si>
  <si>
    <t>(1)</t>
  </si>
  <si>
    <t>(2)</t>
  </si>
  <si>
    <t>(3)</t>
  </si>
  <si>
    <t>Line</t>
  </si>
  <si>
    <t>Allocated</t>
  </si>
  <si>
    <t>No.</t>
  </si>
  <si>
    <t>Amount</t>
  </si>
  <si>
    <t xml:space="preserve">GROSS REVENUE REQUIREMENT    </t>
  </si>
  <si>
    <t>12 months</t>
  </si>
  <si>
    <t xml:space="preserve">REVENUE CREDITS </t>
  </si>
  <si>
    <t>Total</t>
  </si>
  <si>
    <t>Allocator</t>
  </si>
  <si>
    <t>Net Revenue Requirement</t>
  </si>
  <si>
    <t>True-up Adjustment</t>
  </si>
  <si>
    <t>(Attachment 5, line 3, col. G)</t>
  </si>
  <si>
    <t>DA</t>
  </si>
  <si>
    <t>NET ADJUSTED REVENUE REQUIREMENT</t>
  </si>
  <si>
    <t>Page 2 of 5</t>
  </si>
  <si>
    <t>(4)</t>
  </si>
  <si>
    <t>(5)</t>
  </si>
  <si>
    <t>Transmission</t>
  </si>
  <si>
    <t>Source</t>
  </si>
  <si>
    <t>Company Total</t>
  </si>
  <si>
    <t xml:space="preserve">                  Allocator</t>
  </si>
  <si>
    <t>(Col 3 times Col 4)</t>
  </si>
  <si>
    <t>RATE BASE:</t>
  </si>
  <si>
    <t>GROSS PLANT IN SERVICE (Note M)</t>
  </si>
  <si>
    <t xml:space="preserve">  Production</t>
  </si>
  <si>
    <t>(Attach 2, line 75)</t>
  </si>
  <si>
    <t>NA</t>
  </si>
  <si>
    <t xml:space="preserve">  Transmission </t>
  </si>
  <si>
    <t>(Attach 2, line 15)</t>
  </si>
  <si>
    <t>TP</t>
  </si>
  <si>
    <t xml:space="preserve">  Distribution</t>
  </si>
  <si>
    <t>(Attach 2, line 30)</t>
  </si>
  <si>
    <t xml:space="preserve">  General &amp; Intangible</t>
  </si>
  <si>
    <t>(Attach 2, lines 45 + 60)</t>
  </si>
  <si>
    <t>W/S</t>
  </si>
  <si>
    <t>(If line 7&gt;0, GP= line 10 column 5 / line 10 column 3.  If line 7=0, GP=0)</t>
  </si>
  <si>
    <t>GP=</t>
  </si>
  <si>
    <t>ACCUMULATED DEPRECIATION &amp; AMORTIZATION  (Note M)</t>
  </si>
  <si>
    <t>(Attach 2, line 151)</t>
  </si>
  <si>
    <t>(Attach 2, line 91)</t>
  </si>
  <si>
    <t>(Attach 2, line 106)</t>
  </si>
  <si>
    <t>(Attach 2, lines 121 + 136</t>
  </si>
  <si>
    <t>NET PLANT IN SERVICE</t>
  </si>
  <si>
    <t xml:space="preserve">  Transmission</t>
  </si>
  <si>
    <t xml:space="preserve">  General &amp; Intangible </t>
  </si>
  <si>
    <t>(If line 19&gt;0, NP= line 22, column 5 / line 22, column 3.  If line 19=0, NP=0)</t>
  </si>
  <si>
    <t>NP=</t>
  </si>
  <si>
    <t xml:space="preserve">  ADIT                                                           (Attach 6a proj., line 8, Column E or Attach 6e True-up - line 8, column E)</t>
  </si>
  <si>
    <t xml:space="preserve">  Account No. 255 (enter negative) (Note F)</t>
  </si>
  <si>
    <t>(Attach 3, line 153)</t>
  </si>
  <si>
    <t>NP</t>
  </si>
  <si>
    <t xml:space="preserve">  CWIP</t>
  </si>
  <si>
    <t xml:space="preserve">(Attach 8, line 8, col.u)  </t>
  </si>
  <si>
    <t>26a</t>
  </si>
  <si>
    <t xml:space="preserve">  Unamortized portion of lumpsum lease payment</t>
  </si>
  <si>
    <t>(Note P)</t>
  </si>
  <si>
    <t xml:space="preserve">  Unfunded Reserves (enter negative)</t>
  </si>
  <si>
    <t>(Attach 3, line 170a, col. h)  (Note O)</t>
  </si>
  <si>
    <t xml:space="preserve">  Unamortized Regulatory Assets</t>
  </si>
  <si>
    <t>(Attach 8, line 2, col. y)  (Note L)</t>
  </si>
  <si>
    <t xml:space="preserve">  Unamortized Abandoned Plant</t>
  </si>
  <si>
    <t>(Attach 8, line 4, col. y) (Note K)</t>
  </si>
  <si>
    <t>LAND HELD FOR FUTURE USE</t>
  </si>
  <si>
    <t>(Attach 8, line 6, column q)</t>
  </si>
  <si>
    <t xml:space="preserve">  CWC  </t>
  </si>
  <si>
    <t>(1/8 * (Line 45  less Line 44b)</t>
  </si>
  <si>
    <t>(Attach 3, line 189, column C)</t>
  </si>
  <si>
    <t>(Attach 3, line 170, column B)</t>
  </si>
  <si>
    <t>GP</t>
  </si>
  <si>
    <t>Page 3 of 5</t>
  </si>
  <si>
    <t>O&amp;M</t>
  </si>
  <si>
    <t>321.112.b</t>
  </si>
  <si>
    <t xml:space="preserve">     Less Account 565</t>
  </si>
  <si>
    <t>321.96.b</t>
  </si>
  <si>
    <t xml:space="preserve">  A&amp;G</t>
  </si>
  <si>
    <t>323.197.b</t>
  </si>
  <si>
    <t xml:space="preserve">     Less EPRI &amp; Reg. Comm. Exp. &amp; Other  Ad.  </t>
  </si>
  <si>
    <t xml:space="preserve">     Plus Transmission Related Reg. Comm.  Exp.  </t>
  </si>
  <si>
    <t xml:space="preserve">     PBOP expense adjustment</t>
  </si>
  <si>
    <t>(Attach 3, line 197, col. b)</t>
  </si>
  <si>
    <t>44a</t>
  </si>
  <si>
    <t xml:space="preserve">    Less Account 566</t>
  </si>
  <si>
    <t>321.97.b</t>
  </si>
  <si>
    <t>44b</t>
  </si>
  <si>
    <t xml:space="preserve">    Amortization of Regulatory Assets</t>
  </si>
  <si>
    <t>(Attach 8, line 2, column h)</t>
  </si>
  <si>
    <t>44c</t>
  </si>
  <si>
    <t xml:space="preserve">    Account 566 excluding amort. of Reg Assets</t>
  </si>
  <si>
    <t>(line 44a less line 44b)</t>
  </si>
  <si>
    <t xml:space="preserve">DEPRECIATION EXPENSE </t>
  </si>
  <si>
    <t>336.7.f (Note M)</t>
  </si>
  <si>
    <t xml:space="preserve">  General and Intangible</t>
  </si>
  <si>
    <t>336.1.f + 336.10.f (Note M)</t>
  </si>
  <si>
    <t xml:space="preserve">  Amortization of Abandoned Plant</t>
  </si>
  <si>
    <t>(Attach 3, line 155) (Note K)</t>
  </si>
  <si>
    <t xml:space="preserve">  LABOR RELATED</t>
  </si>
  <si>
    <t xml:space="preserve">          Payroll</t>
  </si>
  <si>
    <t>263._.i (enter FN1 line #)</t>
  </si>
  <si>
    <t xml:space="preserve">          Highway and vehicle</t>
  </si>
  <si>
    <t xml:space="preserve">  PLANT RELATED</t>
  </si>
  <si>
    <t xml:space="preserve">         Property</t>
  </si>
  <si>
    <t xml:space="preserve">         Gross Receipts</t>
  </si>
  <si>
    <t xml:space="preserve">         Other</t>
  </si>
  <si>
    <t xml:space="preserve">INCOME TAXES          </t>
  </si>
  <si>
    <t xml:space="preserve">     T=1 - {[(1 - SIT) * (1 - FIT)] / (1 - SIT * FIT * p))} =</t>
  </si>
  <si>
    <t xml:space="preserve">     CIT=(T/1-T) * (1-(WCLTD/R)) =</t>
  </si>
  <si>
    <t>Amortized Investment Tax Credit (Attachment 4, line 14)</t>
  </si>
  <si>
    <t>Permanent Differences Tax Adjustment</t>
  </si>
  <si>
    <t>(Attach 3, line 173a * line 65)</t>
  </si>
  <si>
    <t xml:space="preserve">Income Tax Calculation = line 62 * line 72 </t>
  </si>
  <si>
    <t>ITC adjustment (line 65 * line 66)</t>
  </si>
  <si>
    <t>Total Income Taxes</t>
  </si>
  <si>
    <t xml:space="preserve">RETURN </t>
  </si>
  <si>
    <t xml:space="preserve">Incentive Return and Income Tax and Competitive Bid Concessions for Projects </t>
  </si>
  <si>
    <t>(Attach 4, line 70, cols. h, j &amp; less p)</t>
  </si>
  <si>
    <t>Page 4 of 5</t>
  </si>
  <si>
    <t>Rate Formula Template</t>
  </si>
  <si>
    <t>SUPPORTING CALCULATIONS AND NOTES</t>
  </si>
  <si>
    <t>TRANSMISSION PLANT INCLUDED IN ISO RATES</t>
  </si>
  <si>
    <t>(Attachment 3, line 175)</t>
  </si>
  <si>
    <t>TP=</t>
  </si>
  <si>
    <t>WAGES &amp; SALARY ALLOCATOR   (W&amp;S) (Note I)</t>
  </si>
  <si>
    <t>Form 1 Reference</t>
  </si>
  <si>
    <t>$</t>
  </si>
  <si>
    <t>Allocation</t>
  </si>
  <si>
    <t>354.20.b</t>
  </si>
  <si>
    <t>354.21.b</t>
  </si>
  <si>
    <t>354.23.b</t>
  </si>
  <si>
    <t>W&amp;S Allocator</t>
  </si>
  <si>
    <t xml:space="preserve">  Other</t>
  </si>
  <si>
    <t>354.24,25,26.b</t>
  </si>
  <si>
    <t>($ / Allocation)</t>
  </si>
  <si>
    <t>=</t>
  </si>
  <si>
    <t>WS</t>
  </si>
  <si>
    <t>%</t>
  </si>
  <si>
    <t>Cost</t>
  </si>
  <si>
    <t>Weighted</t>
  </si>
  <si>
    <t xml:space="preserve">  Long Term Debt </t>
  </si>
  <si>
    <t>(Attach 3, lines 249 &amp; 270) (Note G)</t>
  </si>
  <si>
    <t>=WCLTD</t>
  </si>
  <si>
    <t xml:space="preserve">  Preferred Stock  </t>
  </si>
  <si>
    <t>(Attachment 3, lines 251 &amp; 273)</t>
  </si>
  <si>
    <t>(Attachment 3, line 257)</t>
  </si>
  <si>
    <t>=R</t>
  </si>
  <si>
    <t>Development of Base Carrying charge and Summary of Incentive and Non-Incentive Investments</t>
  </si>
  <si>
    <t>(a)</t>
  </si>
  <si>
    <t>(b)</t>
  </si>
  <si>
    <t>(c)</t>
  </si>
  <si>
    <t>Source of Total Column</t>
  </si>
  <si>
    <t>Non-incentive Investments from Attachment 4 (Note N)</t>
  </si>
  <si>
    <t>Incentive Investments from Attachment 4 (Note N)</t>
  </si>
  <si>
    <t>Net Transmission Plant in Service</t>
  </si>
  <si>
    <t>CWIP in Rate Base</t>
  </si>
  <si>
    <t>Unamortized Abandoned Plant</t>
  </si>
  <si>
    <t>Project Specific Regulatory Assets</t>
  </si>
  <si>
    <t>Return and Taxes</t>
  </si>
  <si>
    <t>(Lines 69 &amp; 71)</t>
  </si>
  <si>
    <t/>
  </si>
  <si>
    <t>Base Carrying Charge (used in Attach 4, Line 65)</t>
  </si>
  <si>
    <t>(Line 100 - Line 101)/ Line 99</t>
  </si>
  <si>
    <t>Page 5 of 5</t>
  </si>
  <si>
    <t xml:space="preserve">                SUPPORTING CALCULATIONS AND NOTES</t>
  </si>
  <si>
    <t>General Note:  References to pages in this formulary rate are indicated as:  (page#, line#, col.#)</t>
  </si>
  <si>
    <t xml:space="preserve">                           References to data from FERC Form 1 are indicated as:   #.y.x  (page, line, column)</t>
  </si>
  <si>
    <t>Note</t>
  </si>
  <si>
    <t>Letter</t>
  </si>
  <si>
    <t>A</t>
  </si>
  <si>
    <t>The balances in Accounts 190, 281, 282 and 283, as adjusted by any amounts in contra accounts identified as regulatory assets or liabilities related</t>
  </si>
  <si>
    <t xml:space="preserve">   to FASB 106 or 109. Balance of Account 255 is reduced by prior flow throughs and excluded if the utility chose</t>
  </si>
  <si>
    <t>B</t>
  </si>
  <si>
    <t>Identified in Form 1 as being only transmission related.</t>
  </si>
  <si>
    <t>C</t>
  </si>
  <si>
    <t>Cash Working Capital assigned to transmission is one-eighth of O&amp;M allocated to transmission minus the amortization of any Regulatory Asset.</t>
  </si>
  <si>
    <t xml:space="preserve">  Prepayments are the electric related prepayments booked to Account No. 165 and reported on Pages 110-111 line 57 in the Form 1.</t>
  </si>
  <si>
    <t>D</t>
  </si>
  <si>
    <t>Line 42 removes EPRI Annual Membership Dues listed in Form 1 at 353._.f (enter FN1 line #),  </t>
  </si>
  <si>
    <t>any  EPRI Lobbying expenses included in line 42 of the template and all Regulatory Commission Expenses itemized at 351.h</t>
  </si>
  <si>
    <t>Line 42 removes all advertising  included in Account 930.1, except safety, education or out-reach related advertising</t>
  </si>
  <si>
    <t>Line 42 removes all EEI and EPRI research, development and demonstration expenses and NEET NY will not participate in EEI or EPRI.</t>
  </si>
  <si>
    <t>Line 43 reflects all Regulatory Commission Expenses directly related to transmission service, ISO filings, or transmission siting itemized at 351.h</t>
  </si>
  <si>
    <t xml:space="preserve">Line 39 or Line 41 and thus Line 45 shall include any NYISO charges other than penalties, including but not limited to administrative costs.  </t>
  </si>
  <si>
    <t>E</t>
  </si>
  <si>
    <t>Includes only FICA, unemployment, highway, property, gross receipts, and other assessments charged in the current year.</t>
  </si>
  <si>
    <t xml:space="preserve">  Taxes related to income are excluded.  Gross receipts taxes are not included in transmission revenue requirement in the Rate Formula Template, </t>
  </si>
  <si>
    <t xml:space="preserve">   since they are recovered elsewhere.</t>
  </si>
  <si>
    <t>F</t>
  </si>
  <si>
    <t>The currently effective income tax rate,  where FIT is the Federal income tax rate; SIT is the State income tax rate, and p =</t>
  </si>
  <si>
    <t xml:space="preserve">  "the percentage of federal income tax deductible for state income taxes".  If the utility is taxed in more than one state it must attach a</t>
  </si>
  <si>
    <t xml:space="preserve">  work paper showing the name of each state and how the blended or composite SIT was developed.  Furthermore, a utility that</t>
  </si>
  <si>
    <t xml:space="preserve">  elected to utilize amortization of tax credits against taxable income, rather than book tax credits to Account No. 255 and reduce </t>
  </si>
  <si>
    <t xml:space="preserve">  rate base, must reduce its income tax expense by the amount of the Amortized Investment Tax Credit (266.8.f)</t>
  </si>
  <si>
    <t xml:space="preserve">  multiplied by (1/1-T).  Excess Deferred Income Taxes reduce income tax expense by the amount of the expense multiplied by (1/1-T).</t>
  </si>
  <si>
    <t xml:space="preserve">         Inputs Required:</t>
  </si>
  <si>
    <t>FIT =</t>
  </si>
  <si>
    <t>SIT=</t>
  </si>
  <si>
    <t xml:space="preserve">  (State Income Tax Rate or Composite SIT from Attach 3)</t>
  </si>
  <si>
    <t>p =</t>
  </si>
  <si>
    <t xml:space="preserve">  (percent of federal income tax deductible for state purposes)</t>
  </si>
  <si>
    <t xml:space="preserve">For each Rate Year (including both Annual Projections and True-Up Adjustments) the statutory income tax rates utilized in the Formula Rate shall reflect the weighted average rates </t>
  </si>
  <si>
    <t xml:space="preserve">  actually in effect during the Rate Year.  For example, if the statutory tax rate is 10% from January 1 through June 30, and 5% from July 1 through December 31, such rates would be weighted </t>
  </si>
  <si>
    <t xml:space="preserve">  181/365 and 184/365, respectively, for a non-leap year.</t>
  </si>
  <si>
    <t>G</t>
  </si>
  <si>
    <r>
      <t xml:space="preserve">Prior to obtaining any debt, the cost of debt will be LIBOR plus 1.5%.  Once any debt is obtained, the formula will use the actual cost of long term debt determined in Attachment 3.  The capital structure will be 60% equity and 40% debt until NextEra Energy Transmission New York, Inc.'s first transmission project enters service, after which the capital structure will be the actual capital structure.  LIBOR refers to the London Inter Bank Offer Rate from the Federal Reserve Bank of St. Louis's https://fred.stlouisfed.org/. </t>
    </r>
    <r>
      <rPr>
        <b/>
        <sz val="14"/>
        <color rgb="FFFF0000"/>
        <rFont val="Arial Narrow"/>
        <family val="2"/>
      </rPr>
      <t xml:space="preserve">The capital structure and cost of debt will be the weighted for the year if the first debt is obtained or first project is placed into service midyear using the weighting setforth in Note G. </t>
    </r>
  </si>
  <si>
    <t>H</t>
  </si>
  <si>
    <t>Removes dollar amount of transmission plant included in the development of OATT ancillary services rates and generation</t>
  </si>
  <si>
    <t xml:space="preserve">  step-up facilities, which are deemed to included in OATT ancillary services.  For these purposes, generation step-up</t>
  </si>
  <si>
    <t xml:space="preserve">  facilities are those facilities at a generator substation on which there is no through-flow when the generator is shut down.</t>
  </si>
  <si>
    <t>I</t>
  </si>
  <si>
    <t>Enter dollar amounts</t>
  </si>
  <si>
    <t>J</t>
  </si>
  <si>
    <t>ROE will be supported in the original filing and no change in ROE may be made absent a filing with FERC under FPA Section 205 or 206.</t>
  </si>
  <si>
    <t>K</t>
  </si>
  <si>
    <t xml:space="preserve">Recovery of Regulatory Assets is permitted only for pre-commercial expenses incurred prior to the date when NEET New York may first recover costs under the NYISO Tariff, as authorized by the Commission.  Recovery of any other regulatory assets (e.g., project specific) requires authorization from the Commission. A carrying charge equal to the weighted cost of capital calculated pursuant to this formula will be applied to the Regulatory Asset prior to the rate year when costs are first recovered. </t>
  </si>
  <si>
    <t>L</t>
  </si>
  <si>
    <t>Unamortized Regulatory Assets, consisting of all expenses incurred but not included in CWIP prior to the date the rate is charged to customers, is included at line 28</t>
  </si>
  <si>
    <t>Carrying costs equal to the weighted cost of capital on the balance of the regulatory asset will accrue until the rate is charged to customers</t>
  </si>
  <si>
    <t>M</t>
  </si>
  <si>
    <t>Balances exclude Asset Retirement Costs</t>
  </si>
  <si>
    <t>N</t>
  </si>
  <si>
    <t>Non-incentive investments are investments without ROE incentives and incentive investments are investments with ROE incentives</t>
  </si>
  <si>
    <t>O</t>
  </si>
  <si>
    <t xml:space="preserve">Unfunded Reserves are customer contributed capital such as when employee vacation expense is accrued but not yet incurred.  Also, pursuant to Special Instructions to Accounts 228.1 through 228.4, </t>
  </si>
  <si>
    <t>no amounts shall be credited to accounts 228.1 through 228.4 unless authorized by a regulatory authority or authorities to be collected in a utility’s rates.</t>
  </si>
  <si>
    <t>P</t>
  </si>
  <si>
    <t xml:space="preserve">In the event that leased tranmission assests or right of ways involve a lumpsum upfront payment, it will be amortized over the life of the lease to Account No. 567 and the unamortized balance will be included here. </t>
  </si>
  <si>
    <t xml:space="preserve">  In the event such a lease involves monthly or annual payments, the payments will be booked to Account 567.</t>
  </si>
  <si>
    <t xml:space="preserve">Attachment 1 - Revenue Credit Workpaper* </t>
  </si>
  <si>
    <t>Account 454 - Rent from Electric Property  (300.19.b)</t>
  </si>
  <si>
    <t>Notes 1 &amp; 3</t>
  </si>
  <si>
    <t>Rent from FERC Form No. 1</t>
  </si>
  <si>
    <t>Account 456 (including 456.1) (300.21.b and 300.22.b)</t>
  </si>
  <si>
    <t>Other Electric Revenues (Note 2)</t>
  </si>
  <si>
    <t xml:space="preserve">Professional Services </t>
  </si>
  <si>
    <t>Revenues from Directly Assigned Transmission Facility Charges (Note 2)</t>
  </si>
  <si>
    <t xml:space="preserve">Rent or Attachment Fees associated with Transmission Facilities </t>
  </si>
  <si>
    <t>Total Revenue Credits</t>
  </si>
  <si>
    <t>Note 1</t>
  </si>
  <si>
    <t xml:space="preserve">All revenues booked to Account 454 that are derived from cost items classified as transmission-related will be included as a revenue credit.  All revenues booked to Account 456 (includes 456.1) that are derived from cost items classified as transmission-related, and are not derived from rates under this transmission formula rate will be included as a revenue credit.   Work papers will be included to properly classify revenues booked to these accounts to the transmission function.  A breakdown of all Account 454 revenues by subaccount will be provided below, and will be used to derive the proper calculation of revenue credits.  A breakdown of all Account 456 revenues by subaccount and customer will be provided and tabulated below, and will be used to develop the proper calculation of revenue credits.  </t>
  </si>
  <si>
    <t>Note 2</t>
  </si>
  <si>
    <t xml:space="preserve">If the facilities associated with the revenues are not included in the formula, the revenue is shown below, but not included in the total above and explained in the Attachment 3. </t>
  </si>
  <si>
    <t>Note 3</t>
  </si>
  <si>
    <t>All Account 454, 456, and 456.1 Revenues must be itemized below and tie to FERC Form No. 1 cites set forth below.</t>
  </si>
  <si>
    <t>Line No.</t>
  </si>
  <si>
    <t>Accounts 456 and 456.1 (300.21.b plus 300.22.b)</t>
  </si>
  <si>
    <t>TOTAL</t>
  </si>
  <si>
    <t>NY-ISO</t>
  </si>
  <si>
    <t>Other 1</t>
  </si>
  <si>
    <t>Other 2</t>
  </si>
  <si>
    <t>1a</t>
  </si>
  <si>
    <t>…</t>
  </si>
  <si>
    <t>1x</t>
  </si>
  <si>
    <t>Less:</t>
  </si>
  <si>
    <t xml:space="preserve">     Revenue for Demands in Divisor </t>
  </si>
  <si>
    <t>Sub Total Revenue Credit</t>
  </si>
  <si>
    <t>Prior Period Adjustments</t>
  </si>
  <si>
    <t>Total  (must tie to 300.21.b plus 300.22.b)</t>
  </si>
  <si>
    <t>Account 454 (300.19.b)</t>
  </si>
  <si>
    <t>9a</t>
  </si>
  <si>
    <t>9b</t>
  </si>
  <si>
    <t>9c</t>
  </si>
  <si>
    <t>9d</t>
  </si>
  <si>
    <t>9e</t>
  </si>
  <si>
    <t>9f</t>
  </si>
  <si>
    <t>9g</t>
  </si>
  <si>
    <t>9x</t>
  </si>
  <si>
    <t>Total  (must tie to 300.19.b)</t>
  </si>
  <si>
    <t>Attachment 2 - Cost Support</t>
  </si>
  <si>
    <t>Plant in Service Worksheet</t>
  </si>
  <si>
    <t>Calculation of Transmission  Plant In Service</t>
  </si>
  <si>
    <t>Source (Less ARO, see Note M)</t>
  </si>
  <si>
    <t>Year</t>
  </si>
  <si>
    <t>Balance</t>
  </si>
  <si>
    <t>December</t>
  </si>
  <si>
    <t>p206.58.b</t>
  </si>
  <si>
    <t>January</t>
  </si>
  <si>
    <t>company records</t>
  </si>
  <si>
    <t>February</t>
  </si>
  <si>
    <t>March</t>
  </si>
  <si>
    <t>April</t>
  </si>
  <si>
    <t>May</t>
  </si>
  <si>
    <t xml:space="preserve">June </t>
  </si>
  <si>
    <t>July</t>
  </si>
  <si>
    <t>August</t>
  </si>
  <si>
    <t>September</t>
  </si>
  <si>
    <t xml:space="preserve">October </t>
  </si>
  <si>
    <t>November</t>
  </si>
  <si>
    <t>p207.58.g</t>
  </si>
  <si>
    <t>Transmission Plant In Service</t>
  </si>
  <si>
    <t>Calculation of Distribution Plant In Service</t>
  </si>
  <si>
    <t>p206.75.b</t>
  </si>
  <si>
    <t>October</t>
  </si>
  <si>
    <t>p207.75.g</t>
  </si>
  <si>
    <t>Distribution Plant In Service</t>
  </si>
  <si>
    <t>Calculation of Intangible Plant In Service</t>
  </si>
  <si>
    <t>p204.5.b</t>
  </si>
  <si>
    <t>p205.5.g</t>
  </si>
  <si>
    <t>Intangible Plant In Service</t>
  </si>
  <si>
    <t>Calculation of General Plant In Service</t>
  </si>
  <si>
    <t>p206.99.b</t>
  </si>
  <si>
    <t>p207.99.g</t>
  </si>
  <si>
    <t>General Plant In Service</t>
  </si>
  <si>
    <t>Calculation of Production Plant In Service</t>
  </si>
  <si>
    <t>p204.46b</t>
  </si>
  <si>
    <t>p205.46.g</t>
  </si>
  <si>
    <t>Production Plant In Service</t>
  </si>
  <si>
    <t>Total Plant In Service</t>
  </si>
  <si>
    <t>Accumulated Depreciation Worksheet</t>
  </si>
  <si>
    <t>Appendix A Line #s, Descriptions, Notes, Form 1 Page #s and Instructions</t>
  </si>
  <si>
    <t>Calculation of Transmission Accumulated Depreciation</t>
  </si>
  <si>
    <t>Prior year p219.25.c</t>
  </si>
  <si>
    <t>p219.25.c</t>
  </si>
  <si>
    <t>Transmission Accumulated Depreciation</t>
  </si>
  <si>
    <t>Calculation of Distribution Accumulated Depreciation</t>
  </si>
  <si>
    <t>Prior year p219.26.c</t>
  </si>
  <si>
    <t>p219.26.c</t>
  </si>
  <si>
    <t>Distribution Accumulated Depreciation</t>
  </si>
  <si>
    <t>Calculation of Intangible Accumulated Amortization</t>
  </si>
  <si>
    <t>Prior year p200.21.c</t>
  </si>
  <si>
    <t>p200.21.c</t>
  </si>
  <si>
    <t>Accumulated Intangible Amortization</t>
  </si>
  <si>
    <t>Calculation of General Accumulated Depreciation</t>
  </si>
  <si>
    <t>Prior year p219.28.c</t>
  </si>
  <si>
    <t>p219.28.c</t>
  </si>
  <si>
    <t>Accumulated General Depreciation</t>
  </si>
  <si>
    <t>Calculation of Production Accumulated Depreciation</t>
  </si>
  <si>
    <t>p219.20.c to 24.c (prior year)</t>
  </si>
  <si>
    <t>p219.20.c to 24.c</t>
  </si>
  <si>
    <t>Production Accumulated Depreciation</t>
  </si>
  <si>
    <t>Total Accumulated Depreciation and Amortization</t>
  </si>
  <si>
    <t>Attachment 3 - Cost Support</t>
  </si>
  <si>
    <t>Details</t>
  </si>
  <si>
    <t>Numbering continues from Attachment 2</t>
  </si>
  <si>
    <t>Beginning of Year</t>
  </si>
  <si>
    <t>End of Year</t>
  </si>
  <si>
    <t>Average Balance</t>
  </si>
  <si>
    <t xml:space="preserve">  Account No. 255 (enter negative)  </t>
  </si>
  <si>
    <t>267.8.h</t>
  </si>
  <si>
    <t>Attachment 8, line 4, col. (v)</t>
  </si>
  <si>
    <t xml:space="preserve">  (recovery of abandoned plant requires a FERC order approving the amount and recovery period)</t>
  </si>
  <si>
    <t>Amortization Expense</t>
  </si>
  <si>
    <t>Amortization of Abandoned Plant</t>
  </si>
  <si>
    <t>Attachment 8, line 4, col. (h)</t>
  </si>
  <si>
    <t xml:space="preserve">  Prepayments (Account 165)</t>
  </si>
  <si>
    <t xml:space="preserve">B </t>
  </si>
  <si>
    <t xml:space="preserve">     (Prepayments exclude Prepaid Pension Assets)</t>
  </si>
  <si>
    <t>111.57.d</t>
  </si>
  <si>
    <t>111.57.c</t>
  </si>
  <si>
    <t>Prepayments</t>
  </si>
  <si>
    <t>Reserves</t>
  </si>
  <si>
    <t>170a</t>
  </si>
  <si>
    <t>(d)</t>
  </si>
  <si>
    <t>(e)</t>
  </si>
  <si>
    <t>(f)</t>
  </si>
  <si>
    <t>(g)</t>
  </si>
  <si>
    <t>(h)</t>
  </si>
  <si>
    <r>
      <t>Enter 1 if NOT in a trust or</t>
    </r>
    <r>
      <rPr>
        <sz val="10"/>
        <rFont val="Times New Roman"/>
        <family val="1"/>
      </rPr>
      <t xml:space="preserve"> reserved account, enter zero (0) if included in a trust or reserved account </t>
    </r>
  </si>
  <si>
    <t>Enter 1 if the accrual account is included in the formula rate, enter (0) if  O if the accrual account is NOT included in the formula rate</t>
  </si>
  <si>
    <t xml:space="preserve">Enter the percentage paid for by customers, 1 less the percent associated with an offsetting liability on the balance sheet </t>
  </si>
  <si>
    <t xml:space="preserve">Allocation (Plant or Labor Allocator) </t>
  </si>
  <si>
    <t>Amount Allocated, col. c x col. d x col. e x col. f x col. g</t>
  </si>
  <si>
    <t>Reserve 1</t>
  </si>
  <si>
    <t>Reserve 2</t>
  </si>
  <si>
    <t>Reserve 3</t>
  </si>
  <si>
    <t>Reserve 4</t>
  </si>
  <si>
    <t>All unfunded reserves will be listed above, specifically including (but not limited to) all subaccounts for FERC Account Nos. 228.1 through 228.4.  "Unfunded reserve" is defined as an accrued balance (1) created and increased by debiting an expense which is included in this formula rate (column (e), using the same allocator in column (g) as used in the formula to allocate the amounts in the corresponding expense account)  (2) in advance of an anticipated expenditure related to that expense (3) that is not deposited in a restricted account (e.g., set aside in an escrow account, see column (d)) with the earnings thereon retained within that account.  Where a given reserve is only partially funded through accruals collected from customers, only the balance funded by customer collections shall serve as a rate base credit, see column (f).  The source of monthly balance data is company records.</t>
  </si>
  <si>
    <t>EPRI Dues Cost Support</t>
  </si>
  <si>
    <t>EPRI &amp; EEI Costs to be Excluded</t>
  </si>
  <si>
    <t>Allocated General &amp; Common Expenses</t>
  </si>
  <si>
    <t>EPRI Dues</t>
  </si>
  <si>
    <t>(A)</t>
  </si>
  <si>
    <t xml:space="preserve">EPRI and EEI Dues to be excluded from the formula rate </t>
  </si>
  <si>
    <t>p353._.f (enter FN1 line #)</t>
  </si>
  <si>
    <t>Regulatory Expense Related to Transmission Cost Support</t>
  </si>
  <si>
    <t>Form 1 Amount</t>
  </si>
  <si>
    <t>Transmission Related</t>
  </si>
  <si>
    <t>Other</t>
  </si>
  <si>
    <t>Details*</t>
  </si>
  <si>
    <t>Directly Assigned A&amp;G</t>
  </si>
  <si>
    <t>(B)</t>
  </si>
  <si>
    <t>C (Col A-Col B)</t>
  </si>
  <si>
    <t>Regulatory Commission Exp Account 928</t>
  </si>
  <si>
    <t>p323.189.b</t>
  </si>
  <si>
    <t>* insert case specific detail and associated assignments here</t>
  </si>
  <si>
    <t>Multi-state Workpaper</t>
  </si>
  <si>
    <t>New York</t>
  </si>
  <si>
    <t>State 2</t>
  </si>
  <si>
    <t>State 3</t>
  </si>
  <si>
    <t>State 4</t>
  </si>
  <si>
    <t>State 5</t>
  </si>
  <si>
    <t>Weighed Average</t>
  </si>
  <si>
    <t>Income Tax Rates</t>
  </si>
  <si>
    <t>Weighting</t>
  </si>
  <si>
    <t>SIT=State Income Tax Rate or Composite</t>
  </si>
  <si>
    <t>Multiple state rates are weighted based on the state apportionment factors on the state income tax returns and the number of days in the year that the rates are effective (see Note F)</t>
  </si>
  <si>
    <t>173a</t>
  </si>
  <si>
    <t>The Tax Effect of Permanent Differences captures the differences in the income taxes due under the Federal and State calculations and the income taxes calculated in Appendix A that are not the result of a timing difference. If any, a workpaper showing the calculation will be attached.</t>
  </si>
  <si>
    <t>Safety Related and Education and Out Reach Cost Support</t>
  </si>
  <si>
    <t>Safety Related, Education, Siting &amp; Outreach Related</t>
  </si>
  <si>
    <t>General Advertising Exp Account 930.1</t>
  </si>
  <si>
    <t>Safety advertising consists of any advertising whose primary purpose is to educate the recipient as to what is safe or is not safe.</t>
  </si>
  <si>
    <t>Education advertising consists of any advertising whose primary purpose is to educate the recipient as about transmission related facts or issues</t>
  </si>
  <si>
    <t>Outreach advertising consists of advertising whose primary purpose is to attract the attention of the recipient about a transmission related issue</t>
  </si>
  <si>
    <t>Siting advertising consists of advertising whose primary purpose is to inform the recipient about locating transmission facilities</t>
  </si>
  <si>
    <t>Lobbying expenses are not allowed to be included in account 930.1</t>
  </si>
  <si>
    <t>Excluded Plant Cost Support</t>
  </si>
  <si>
    <t xml:space="preserve">Transmission plant included in OATT Ancillary Services and not otherwise excluded </t>
  </si>
  <si>
    <t>Description of the Facilities</t>
  </si>
  <si>
    <t>Adjustment to Remove Revenue Requirements Associated with Excluded Transmission Facilities</t>
  </si>
  <si>
    <t>Excluded Transmission Facilities</t>
  </si>
  <si>
    <t>General Description of the Facilities</t>
  </si>
  <si>
    <t>A worksheet will be provided if there are ever any excluded transmission plant or transmission plant in OATT Ancillary Services</t>
  </si>
  <si>
    <t>Add more lines if necessary</t>
  </si>
  <si>
    <t>Materials &amp; Supplies</t>
  </si>
  <si>
    <t>Stores Expense Undistributed</t>
  </si>
  <si>
    <t>Transmission Materials &amp; Supplies</t>
  </si>
  <si>
    <t>Note:  for the projection, the prior year's actual balances will be used</t>
  </si>
  <si>
    <t>p227.16</t>
  </si>
  <si>
    <t>p227.8</t>
  </si>
  <si>
    <t xml:space="preserve"> Form No.1 page</t>
  </si>
  <si>
    <t>C (Col A+Col B)</t>
  </si>
  <si>
    <t>Column b</t>
  </si>
  <si>
    <t>Company Records</t>
  </si>
  <si>
    <t>Column c</t>
  </si>
  <si>
    <t>Average</t>
  </si>
  <si>
    <t>sum line 176 to 188 divided by 13</t>
  </si>
  <si>
    <t>PBOPs</t>
  </si>
  <si>
    <t>Calculation of PBOP Expenses</t>
  </si>
  <si>
    <t>Total PBOP expenses (Note A)</t>
  </si>
  <si>
    <t>Labor dollars (total labor under PBOP Plan, Note A)</t>
  </si>
  <si>
    <t>Cost per labor dollar (line 191 / line 192)</t>
  </si>
  <si>
    <t>labor expensed (labor not capitalized) in current year, 354.28.b.</t>
  </si>
  <si>
    <t>PBOP Expense for current year</t>
  </si>
  <si>
    <t>(line 193 * line 194)</t>
  </si>
  <si>
    <t>PBOP amount included in Company's O&amp;M and A&amp;G expenses included in FERC Account Nos. 500-935</t>
  </si>
  <si>
    <t>PBOP Adjustment (line 195 - line 196)</t>
  </si>
  <si>
    <t xml:space="preserve">Lines 191-192 cannot change absent approval or acceptance by FERC in a separate proceeding. </t>
  </si>
  <si>
    <t>The source of the amounts from the Actuary Study supporting the numbers in Line 2 and 3 is -</t>
  </si>
  <si>
    <t>COST OF CAPITAL</t>
  </si>
  <si>
    <t>Form No.1</t>
  </si>
  <si>
    <t>Description</t>
  </si>
  <si>
    <t>Reference</t>
  </si>
  <si>
    <t>June</t>
  </si>
  <si>
    <t>13 Month Avg.</t>
  </si>
  <si>
    <t>Col. (a)</t>
  </si>
  <si>
    <t>Col. (b)</t>
  </si>
  <si>
    <t>Col. (c)</t>
  </si>
  <si>
    <t>Col. (d)</t>
  </si>
  <si>
    <t>Col. (e)</t>
  </si>
  <si>
    <t>Col. (f)</t>
  </si>
  <si>
    <t>Col. (g)</t>
  </si>
  <si>
    <t>Col. (h)</t>
  </si>
  <si>
    <t>Col. (i)</t>
  </si>
  <si>
    <t>Col. (j)</t>
  </si>
  <si>
    <t>Col. (k)</t>
  </si>
  <si>
    <t>Col. (l)</t>
  </si>
  <si>
    <t>Col. (m)</t>
  </si>
  <si>
    <t>Col. (n)</t>
  </si>
  <si>
    <t>Long Term Debt (3):</t>
  </si>
  <si>
    <t>Acct 221 Bonds</t>
  </si>
  <si>
    <t>112.18.c,d</t>
  </si>
  <si>
    <t>Acct 223 Advances from Assoc. Companies</t>
  </si>
  <si>
    <t>112.20.c,d</t>
  </si>
  <si>
    <t>Acct 224 Other Long Term Debt</t>
  </si>
  <si>
    <t>112.21.c,d</t>
  </si>
  <si>
    <t>Less  Acct 222 Reacquired Debt</t>
  </si>
  <si>
    <t>112.19 c, d enter negative</t>
  </si>
  <si>
    <t>Total Long Term Debt</t>
  </si>
  <si>
    <t>Preferred Stock (1)</t>
  </si>
  <si>
    <t>112.3.c,d</t>
  </si>
  <si>
    <t>Common Equity- Per Books</t>
  </si>
  <si>
    <t>112.16.c,d</t>
  </si>
  <si>
    <t>Less Acct 204 Preferred Stock</t>
  </si>
  <si>
    <t>Less Acct 219 Accum Other Compre. Income</t>
  </si>
  <si>
    <t>112.15.c,d</t>
  </si>
  <si>
    <t>Less Acct 216.1 Unappropriated Undistributed Subsidiary Earnings</t>
  </si>
  <si>
    <t>112.12.c,d</t>
  </si>
  <si>
    <t>Cost of Debt (3)</t>
  </si>
  <si>
    <t>Acct 427 Interest on Long Term Debt</t>
  </si>
  <si>
    <t>117.62.c</t>
  </si>
  <si>
    <t>Acct 428 Amortization of Debt Discount and Expense</t>
  </si>
  <si>
    <t>117.63.c</t>
  </si>
  <si>
    <t>Acct 428.1 Amortization of Loss on Reacquired Debt</t>
  </si>
  <si>
    <t>117.64.c</t>
  </si>
  <si>
    <t>Acct 430 Interest on Debt to Assoc. Companies (LTD portion only) (2)</t>
  </si>
  <si>
    <t>117.67.c</t>
  </si>
  <si>
    <t>Less:  Acct 429 Amort of Premium on Debt</t>
  </si>
  <si>
    <t>117.65.c enter negative</t>
  </si>
  <si>
    <t>Less:  Acct 429.1 Amort of Gain on Reacquired Debt</t>
  </si>
  <si>
    <t>117.66.c enter negative</t>
  </si>
  <si>
    <t>Total Interest Expense</t>
  </si>
  <si>
    <t>Cost of Preferred Stock</t>
  </si>
  <si>
    <t>Preferred Stock Dividends</t>
  </si>
  <si>
    <t>118.29.c</t>
  </si>
  <si>
    <t>Note 1.  If and when the Company issues preferred stock, footnote will indicate the authorizing regulatory agency, the docket/case number, and the date of the authorizing order.</t>
  </si>
  <si>
    <t>Note 2.  Interest on Debt to Associated Companies (FERC 430) will be populated with interest related to Long-Term Debt only.</t>
  </si>
  <si>
    <t>Note 3.  In the event there is a construction loan, line 222 will also include the outstanding amounts associated with any short term construction financing, prior to the issuance of long term debt.</t>
  </si>
  <si>
    <t xml:space="preserve">     Rate Formula Template</t>
  </si>
  <si>
    <t>Project Worksheet</t>
  </si>
  <si>
    <r>
      <t xml:space="preserve"> Utilizing </t>
    </r>
    <r>
      <rPr>
        <sz val="12"/>
        <color rgb="FF7030A0"/>
        <rFont val="Times New Roman"/>
        <family val="1"/>
      </rPr>
      <t>Appendix A</t>
    </r>
    <r>
      <rPr>
        <sz val="12"/>
        <rFont val="Times New Roman"/>
        <family val="1"/>
      </rPr>
      <t xml:space="preserve"> Data</t>
    </r>
  </si>
  <si>
    <t xml:space="preserve">The calculations below calculate that additional revenue requirement for 100 basis points of ROE and 1 percent change in the equity component of the capital structure. </t>
  </si>
  <si>
    <t>These amounts are then used to valuate the actual increase in  revenue in the table below (starting on line 66) associated with the actual incentive authorized by the Commission</t>
  </si>
  <si>
    <t xml:space="preserve">The use of the 100 basis point calculations do not presume any particular incentive (i.e., 100 basis points) being granted by the Commission. </t>
  </si>
  <si>
    <t>Base ROE and Income Taxes Carrying Charge</t>
  </si>
  <si>
    <t>Result</t>
  </si>
  <si>
    <t>Rate Base</t>
  </si>
  <si>
    <t>BASE RETURN CALCULATION:</t>
  </si>
  <si>
    <t xml:space="preserve">  Long Term Debt  </t>
  </si>
  <si>
    <t>(Appendix A, Line 91)</t>
  </si>
  <si>
    <t xml:space="preserve">  Preferred Stock </t>
  </si>
  <si>
    <t>(Appendix A, Line 92)</t>
  </si>
  <si>
    <t xml:space="preserve">  Common Stock </t>
  </si>
  <si>
    <t>(Appendix A, Line 93)</t>
  </si>
  <si>
    <t>Total  (sum lines 3-5)</t>
  </si>
  <si>
    <t>Return multiplied by Rate Base (line 1 * line 6)</t>
  </si>
  <si>
    <t xml:space="preserve">     T=1 - {[(1 - SIT) * (1 - FIT)] / (1 - SIT * FIT * p)} =  (Appendix A, line 61)</t>
  </si>
  <si>
    <t>Amortized Investment Tax Credit (266.8f) (enter negative)</t>
  </si>
  <si>
    <t>Permanent Differences Tax Adjustment = (Appendix A, line 67)</t>
  </si>
  <si>
    <t>Base Return and Income Taxes</t>
  </si>
  <si>
    <t>Return and Income Taxes at Base ROE</t>
  </si>
  <si>
    <t>100 Basis Point Incentive ROE and Income Taxes Carrying Charge</t>
  </si>
  <si>
    <t xml:space="preserve">100 Basis Point Incentive Return impact on </t>
  </si>
  <si>
    <t>(line 3)</t>
  </si>
  <si>
    <t>(line 4)</t>
  </si>
  <si>
    <t xml:space="preserve">  Common Stock</t>
  </si>
  <si>
    <t>(line 5 plus 100 basis points)</t>
  </si>
  <si>
    <t>Total  (sum lines 24-26)</t>
  </si>
  <si>
    <t>100 Basis Point Incentive Return multiplied by Rate Base (line 22 * line 27)</t>
  </si>
  <si>
    <t>Permanent Differences Tax Adjustment = (line 15)</t>
  </si>
  <si>
    <t>Return and Income Taxes with 100 basis point increase in ROE</t>
  </si>
  <si>
    <t>Return and Income Taxes with 100 basis point increase in  ROE</t>
  </si>
  <si>
    <t>Difference in Return and Income Taxes between Base ROE and 100 Basis Point Incentive</t>
  </si>
  <si>
    <t>Effect of 1% Increase in the Equity Ratio</t>
  </si>
  <si>
    <t>Results</t>
  </si>
  <si>
    <t>100 Basis Point Incentive Return</t>
  </si>
  <si>
    <t>(line 3 minus 1% in equity ratio)</t>
  </si>
  <si>
    <t xml:space="preserve">  Common Stock  </t>
  </si>
  <si>
    <t>(line 5 plus 1% in equity ratio))</t>
  </si>
  <si>
    <t>Total  (sum lines 46-48)</t>
  </si>
  <si>
    <t>Return and Income Taxes with 1% Increase in the Equity Ratio</t>
  </si>
  <si>
    <t>Difference between Base ROE and 1% Increase in the Equity Ratio</t>
  </si>
  <si>
    <t>Revenue Requirement per project including incentives</t>
  </si>
  <si>
    <t>Expense Allocator</t>
  </si>
  <si>
    <t>[Appendix A, lines 45 and 59, less Appendix A, line 44b (project specific) / Gross Transmission Plant In Service Column (l).  If Gross Transmission Plant is zero, then the Expense Allocator should be zero] (Note B)</t>
  </si>
  <si>
    <t>Base Carrying Charge</t>
  </si>
  <si>
    <t>Line 103 Appendix A</t>
  </si>
  <si>
    <t>The table below  breaks out the total revenue requirement on Appendix A separately  for each investment.  The total of Column (p) must equal the amount shown on Appendix A, Line 3.</t>
  </si>
  <si>
    <t>(i)</t>
  </si>
  <si>
    <t>(j)</t>
  </si>
  <si>
    <t>(k)</t>
  </si>
  <si>
    <t>(l)</t>
  </si>
  <si>
    <t>(m)</t>
  </si>
  <si>
    <t>(n)</t>
  </si>
  <si>
    <t>(o)</t>
  </si>
  <si>
    <t>(p)</t>
  </si>
  <si>
    <t>(q)</t>
  </si>
  <si>
    <t>Net Investment (Note A)</t>
  </si>
  <si>
    <t>ROE Authorized by FERC (Note D)</t>
  </si>
  <si>
    <t>ROE Base (From Appendix A, line 94)</t>
  </si>
  <si>
    <t>Incentive % Authorized by FERC</t>
  </si>
  <si>
    <t>Line 43</t>
  </si>
  <si>
    <t>Col (e) / .01 x Col (f)</t>
  </si>
  <si>
    <t>Incentive $ (Col (b) x Col (g)</t>
  </si>
  <si>
    <t>Equity % in Capital Structure (% above base %, -% below base %)(1 equals 1%)</t>
  </si>
  <si>
    <t>Impact of Equity Component of Capital Structure(Col (b) x (i) x Line 65</t>
  </si>
  <si>
    <t>Base Return and Tax (Line 68 x Col (b)</t>
  </si>
  <si>
    <t>Gross Plant In Service (Note B)</t>
  </si>
  <si>
    <t>Expense Allocator    (line 67)</t>
  </si>
  <si>
    <t>O&amp;M, Taxes Other than Income                  (Col. (l) x Col. (n)</t>
  </si>
  <si>
    <t>Depreciation/Amortization Expense</t>
  </si>
  <si>
    <t>Competitive Bid Concession      (Note C)</t>
  </si>
  <si>
    <t>Total Revenues (Col. (h) + (j) + (k) +(n) +(o) -(p))</t>
  </si>
  <si>
    <t>NextEra Energy Transmission New York, Inc. - Other Rate Base</t>
  </si>
  <si>
    <t>69a</t>
  </si>
  <si>
    <t>Empire State Line Project - 100 BP ROE Adder and Cost Cap</t>
  </si>
  <si>
    <t>69b</t>
  </si>
  <si>
    <t>Empire State Line Project - Cost Containment Mechanism</t>
  </si>
  <si>
    <t>69c</t>
  </si>
  <si>
    <t>Empire State Line Project - Unforeseeable Costs</t>
  </si>
  <si>
    <t>Check Sum Appendix A Line 3</t>
  </si>
  <si>
    <t>Difference (must be equal to zero)</t>
  </si>
  <si>
    <t>Note:</t>
  </si>
  <si>
    <t>Column (b), Net Investment includes the Net Plant In Service, unamortized regulatory assets, unamortized abandoned plant and CWIP</t>
  </si>
  <si>
    <t>Column (l), Gross Plant in Service excludes Regulatory Assets, CWIP, and Abandoned Plant.</t>
  </si>
  <si>
    <t xml:space="preserve">Competitive Bid Concession, if any, will reflect outcome of competitive developer selection process and will be computed on a workpaper that will be provided as supporting documentation </t>
  </si>
  <si>
    <t xml:space="preserve">for each Annual Update and will be zero or a reduction to the revenue requirement.  The amount in Column (p) above equals the amount by which the annual revenue requirement is reduced from the ceiling rate.   </t>
  </si>
  <si>
    <t>Column (e), for each project with an incentive in column (e), note the docket No. in which FERC granted the incentive&gt;</t>
  </si>
  <si>
    <t>Project</t>
  </si>
  <si>
    <t>Docket No.</t>
  </si>
  <si>
    <t>Docket Nos. ER16-2719, ER18-125</t>
  </si>
  <si>
    <r>
      <t xml:space="preserve">Pursuant to the settlement agreement approved in Docket No. ER16-2719, a 100 bp ROE adder will apply to project investment incurred up to the Cost Cap.  A 100 bp ROE adder shall also apply to Unforeseeable Costs in excess of five (5) percent of the Cost Cap, Empire Third Party Costs, and Project Development Costs.  </t>
    </r>
    <r>
      <rPr>
        <u/>
        <sz val="12"/>
        <rFont val="Times New Roman"/>
        <family val="1"/>
      </rPr>
      <t>Empire Third Party Costs</t>
    </r>
    <r>
      <rPr>
        <sz val="12"/>
        <rFont val="Times New Roman"/>
        <family val="1"/>
      </rPr>
      <t xml:space="preserve"> are costs that result from: (i) NYISO modifications or further NYISO requirements, including interconnection costs and upgrades resulting from the NYISO interconnection study process; or (ii) real estate-related costs incurred in any lease arrangements or purchases related to the acquisition of rights-of-way or access to rights-of-way or purchases of rights to access utility facilities; (iii) all taxes; or (iv) Empire Upgrades. These Empire Third Party Costs are not included in the Capital Cost Bid , are not subject to the Cost Cap or Cost Containment Mechanism, and are recoverable in the formula rate.  </t>
    </r>
    <r>
      <rPr>
        <u/>
        <sz val="12"/>
        <rFont val="Times New Roman"/>
        <family val="1"/>
      </rPr>
      <t>Project Development Costs</t>
    </r>
    <r>
      <rPr>
        <sz val="12"/>
        <rFont val="Times New Roman"/>
        <family val="1"/>
      </rPr>
      <t xml:space="preserve"> are costs incurred for the Empire State Line Project prior to the selection of one or more transmission developer(s) by the NYISO Board of Directors and are not included in the Capital Cost Bid submitted to the NYISO, and are not subject to the Cost Cap or Cost Containment Mechanism, are to be included in Construction Work in Progress (“CWIP”) in accordance with the FERC Uniform System of Accounts, and are recoverable in the formula rate.  The </t>
    </r>
    <r>
      <rPr>
        <u/>
        <sz val="12"/>
        <rFont val="Times New Roman"/>
        <family val="1"/>
      </rPr>
      <t>Cost Cap</t>
    </r>
    <r>
      <rPr>
        <sz val="12"/>
        <rFont val="Times New Roman"/>
        <family val="1"/>
      </rPr>
      <t xml:space="preserve"> is the sum of the following:  (A) the Capital Cost Bid, defined as the amount submitted by NEET NY in response to the NYISO's solicitation on the Western New York Public Policy Transmission Need, but excluding Empire Third Party Costs; (B) contingency of 18% will be applied to the Capital Cost Bid; (C) the sum of the Capital Cost Bid and the contingency of 18%, multiplied by an inflation factor of 2.0% per year for the period of time from the submission in response to the NYISO’s Solicitation to the date that is one year prior to the Commercial Operation Date; and (D) Allowance for Funds Used During Construction.</t>
    </r>
  </si>
  <si>
    <t xml:space="preserve">Pursuant to the settlement agreement approved in Docket No. ER16-2719, 20% of any prudently incurred project costs above the Cost Cap that are subject to the Cost Containment Mechanism will not earn an equity return, but NEET NY will be allowed to recover the associated depreciation and debt cost.  In addition, 80% of any prudently incurred costs above the Cost Cap that are subject to the Cost Containment Mechanism will not earn any ROE Incentive Adders on the equity portion of such costs, but NEET NY will be allowed to earn the Base ROE, associated depreciation, and debt cost.  </t>
  </si>
  <si>
    <t xml:space="preserve">Unforeseeable Costs in an aggregate amount up to 5% of the Cost Cap shall be considered project costs that are part of the contingency and subject to the Cost Containment Mechanism. Unforeseeable Costs that are more than 5% of the amount of the Cost Cap are not subject to the Cost Cap or Cost Containment Mechanism and are recoverable in the formula rate, and are subject to the base ROE of 9.65%. </t>
  </si>
  <si>
    <t>Empire State Line Project - Additional ROE Adder for Certain Costs Below the Cost Cap</t>
  </si>
  <si>
    <t>Pursuant to the settlement agreement approved in Docket No. ER16-2719, NEET NY may utilize an additional ROE adder when the actual project costs are below the “Adjusted Cost Cap.”The Adjusted Cost Cap shall be comprised of the sum of the following: (a) the Capital Cost Bids for the Empire State Line Project and the AC Transmission Project, respectively; (b) the Capital Cost Bid multiplied by 5% (“5% Adder”); (c) the sum of the Capital Cost Bid and the 5% Adder, multiplied by an inflation factor of 2.0% per year for the period of time from when the Capital Cost Bid was established and until the date when the project starts commercial operations; and (d) any AFUDC.  NEET NY will receive an additional ROE adder as set forth in Table A below when the Eligible Project costs, inclusive of Unforeseeable Costs in an amount up to 5% of the Adjusted Cost Cap, are less than the Adjusted Cost Cap, as set forth in Table A below.</t>
  </si>
  <si>
    <t>Table A</t>
  </si>
  <si>
    <t>Actual Costs Below Adjusted Cost Cap</t>
  </si>
  <si>
    <t>ROE Adder</t>
  </si>
  <si>
    <t>0% to &lt;=5%</t>
  </si>
  <si>
    <t>0.05%</t>
  </si>
  <si>
    <t>&gt;5% to &lt;=10%</t>
  </si>
  <si>
    <t>0.17%</t>
  </si>
  <si>
    <t>&gt;10% to &lt;=15%</t>
  </si>
  <si>
    <t>0.30%</t>
  </si>
  <si>
    <t>&gt;15% to &lt;=20%</t>
  </si>
  <si>
    <t>0.45%</t>
  </si>
  <si>
    <t>&gt;20% to &lt;=25%</t>
  </si>
  <si>
    <t>0.62%</t>
  </si>
  <si>
    <t>&gt;25%</t>
  </si>
  <si>
    <t>0.71%</t>
  </si>
  <si>
    <t>Attachment 5 - Example of True-Up Calculation</t>
  </si>
  <si>
    <t>Annual True-Up Calculation</t>
  </si>
  <si>
    <t xml:space="preserve">Net </t>
  </si>
  <si>
    <t>Adjusted</t>
  </si>
  <si>
    <t>Under/(Over)</t>
  </si>
  <si>
    <t>Interest</t>
  </si>
  <si>
    <t>Total True-Up</t>
  </si>
  <si>
    <t>Net Revenue</t>
  </si>
  <si>
    <t>Collection</t>
  </si>
  <si>
    <t>Income</t>
  </si>
  <si>
    <t>Adjustment</t>
  </si>
  <si>
    <t>Identification</t>
  </si>
  <si>
    <t>Project Name</t>
  </si>
  <si>
    <r>
      <t>Requirement</t>
    </r>
    <r>
      <rPr>
        <vertAlign val="superscript"/>
        <sz val="12"/>
        <color theme="1"/>
        <rFont val="Times New Roman"/>
        <family val="1"/>
      </rPr>
      <t>1</t>
    </r>
  </si>
  <si>
    <r>
      <t>Revenue Received</t>
    </r>
    <r>
      <rPr>
        <vertAlign val="superscript"/>
        <sz val="12"/>
        <color theme="1"/>
        <rFont val="Times New Roman"/>
        <family val="1"/>
      </rPr>
      <t>2</t>
    </r>
  </si>
  <si>
    <t>(C-D)</t>
  </si>
  <si>
    <t>(Expense)</t>
  </si>
  <si>
    <t>(E + F)</t>
  </si>
  <si>
    <t>NEET New York, Inc.</t>
  </si>
  <si>
    <t>Empire State Line</t>
  </si>
  <si>
    <t>2a</t>
  </si>
  <si>
    <t>2b</t>
  </si>
  <si>
    <t>2c</t>
  </si>
  <si>
    <t>2d</t>
  </si>
  <si>
    <t>Note A</t>
  </si>
  <si>
    <t xml:space="preserve">1) From Attachment 4, Column (q) for the period being trued-up </t>
  </si>
  <si>
    <t>2) The "revenue received" is the total amount of revenue distributed in the True-Up Year. The amounts do not include any true-ups or prior period</t>
  </si>
  <si>
    <t xml:space="preserve">     adjustments and reflects any Competitive Bid Concessions</t>
  </si>
  <si>
    <t>3. Then Monthly Interest Rate shall be equal to the interest rate set forth below on line 13 and be applied to the amount in Column E for a period of 24 months</t>
  </si>
  <si>
    <t>4. The True-Up Adjustment is applied to each project prorata based its contribution to the Revenue Requirement shown in Attachment 4</t>
  </si>
  <si>
    <t>FERC Refund Interest Rate</t>
  </si>
  <si>
    <t>Interest Rate:</t>
  </si>
  <si>
    <t>Quarter</t>
  </si>
  <si>
    <t>Quarterly Interest Rate under Section 35.19(a)</t>
  </si>
  <si>
    <t>1st Qtr.</t>
  </si>
  <si>
    <t xml:space="preserve">2nd Qtr </t>
  </si>
  <si>
    <t xml:space="preserve">3rd Qtr </t>
  </si>
  <si>
    <t>4th Qtr</t>
  </si>
  <si>
    <t xml:space="preserve">1st Qtr </t>
  </si>
  <si>
    <t>Sum lines 5-11</t>
  </si>
  <si>
    <t>Avg. Monthly FERC Rate</t>
  </si>
  <si>
    <t>Line 12 divided by 7</t>
  </si>
  <si>
    <t>Attachment 6a - Accumulated Deferred Income Taxes (ADIT) Average Worksheet (Projection)</t>
  </si>
  <si>
    <t>(Sum Col. B, C &amp; D)</t>
  </si>
  <si>
    <t>Ln</t>
  </si>
  <si>
    <t>Item</t>
  </si>
  <si>
    <t>Plant Related</t>
  </si>
  <si>
    <t>Labor Related</t>
  </si>
  <si>
    <t>ADIT-282 (enter negative)</t>
  </si>
  <si>
    <t>ADIT-283 (enter negative)</t>
  </si>
  <si>
    <t>ADIT-190</t>
  </si>
  <si>
    <t>Subtotal</t>
  </si>
  <si>
    <t>Sum of Lines 1-3</t>
  </si>
  <si>
    <t>Wages &amp; Salary Allocator (sum lines 1-3 for each column)</t>
  </si>
  <si>
    <t>Appendix A, line 91</t>
  </si>
  <si>
    <t>Net Plant Allocator</t>
  </si>
  <si>
    <t>Appendix A, line 22</t>
  </si>
  <si>
    <t>Total Plant Allocator</t>
  </si>
  <si>
    <t>Projected ADIT Total</t>
  </si>
  <si>
    <t>Enter as negative Appendix A, page 2, line 24</t>
  </si>
  <si>
    <t>Beginning Balance &amp; Monthly Changes</t>
  </si>
  <si>
    <t>Month</t>
  </si>
  <si>
    <t xml:space="preserve">Balance </t>
  </si>
  <si>
    <t>ADIT-282</t>
  </si>
  <si>
    <t>Actual Balance, BOY (Attach 6c, Line 30)</t>
  </si>
  <si>
    <t>-</t>
  </si>
  <si>
    <t>Actual Balance, BOY, Prorated items (Attach 6c, Line 26)</t>
  </si>
  <si>
    <t>Actual Balance, EOY (Attach 6d, Line 30)</t>
  </si>
  <si>
    <t>Actual Balance, EOY Prorated (Attach 6d, Line 26)</t>
  </si>
  <si>
    <t>Prorated EOY Balance (Attach 6b, Line 14)</t>
  </si>
  <si>
    <t>ADIT-283</t>
  </si>
  <si>
    <t>Actual Balance, BOY (Attach 6c, Line 44)</t>
  </si>
  <si>
    <t>Actual Balance, BOY, Prorated items (Attach 6c, Line 40)</t>
  </si>
  <si>
    <t>Actual Balance, EOY (Attach 6d, Line 44)</t>
  </si>
  <si>
    <t>Actual Balance, EOY Prorated (Attach 6d, Line 40)</t>
  </si>
  <si>
    <t>Prorated EOY Balance (Attach 6b, Line 28)</t>
  </si>
  <si>
    <t>Actual Balance, BOY (Attach 6c, Line 18)</t>
  </si>
  <si>
    <t>Actual Balance, BOY, Prorated items (Attach 6c, Line 14)</t>
  </si>
  <si>
    <t>Actual Balance, EOY (Attach 6d, Line 18)</t>
  </si>
  <si>
    <t>Actual Balance, EOY Prorated (Attach 6d, Line 14)</t>
  </si>
  <si>
    <t>Prorated EOY Balance (Attach 6b, Line 42)</t>
  </si>
  <si>
    <t>Attachment 6b - Accumulated Deferred Income Taxes (ADIT) Proration Worksheet (Projection)</t>
  </si>
  <si>
    <t>Weighting for Projection</t>
  </si>
  <si>
    <t>Beginning Balance/
Monthly Increment</t>
  </si>
  <si>
    <t>Transmission Proration
(d) x (f)</t>
  </si>
  <si>
    <t>Plant Proration
(d) x (h)</t>
  </si>
  <si>
    <t>Labor Proration
(d) x (j)</t>
  </si>
  <si>
    <r>
      <t>ADIT-282-Proration-</t>
    </r>
    <r>
      <rPr>
        <b/>
        <sz val="12"/>
        <color rgb="FFFF0000"/>
        <rFont val="Arial Narrow"/>
        <family val="2"/>
      </rPr>
      <t>Note A</t>
    </r>
  </si>
  <si>
    <t>Balance (Attach 6c, Line 26)</t>
  </si>
  <si>
    <t>Increment</t>
  </si>
  <si>
    <t>ADIT 282-Prorated EOY Balance</t>
  </si>
  <si>
    <r>
      <t>ADIT-283-Proration-</t>
    </r>
    <r>
      <rPr>
        <b/>
        <sz val="12"/>
        <color rgb="FFFF0000"/>
        <rFont val="Arial Narrow"/>
        <family val="2"/>
      </rPr>
      <t>Note B</t>
    </r>
  </si>
  <si>
    <t>Balance (Attach 6c, Line 40)</t>
  </si>
  <si>
    <t>ADIT 283-Prorated EOY Balance</t>
  </si>
  <si>
    <r>
      <t>ADIT-190-Proration-</t>
    </r>
    <r>
      <rPr>
        <b/>
        <sz val="12"/>
        <color rgb="FFFF0000"/>
        <rFont val="Arial Narrow"/>
        <family val="2"/>
      </rPr>
      <t>Note C</t>
    </r>
  </si>
  <si>
    <t>Balance (Attach 6c, Line 14)</t>
  </si>
  <si>
    <t>ADIT 190-Prorated EOY Balance</t>
  </si>
  <si>
    <t>Uses a 365 day calendar year.</t>
  </si>
  <si>
    <t>Projected end of year ADIT must be based on solely on enacted tax law.  No assumptions for future estimated changes in tax law may be forecasted.</t>
  </si>
  <si>
    <t>Substantial portion, if not all, of the ADIT-282 balance is subject to proration.  Explanation must be provided for any portion of balance not subject to proration.</t>
  </si>
  <si>
    <t>Only amounts in ADIT-283 relating to accelerated depreciation, if applicable, are subject to proration.  See Line 40 in Attach 6c and 6d.</t>
  </si>
  <si>
    <t>Only amounts in ADIT-190 related to NOL carryforwards resulting from accelerated depreciation, if applicable, are subject to proration.  See Line 14 in Attach 6c and 6d.</t>
  </si>
  <si>
    <t>Attachment 6c - Accumulated Deferred Income Taxes (ADIT) Worksheet (Beginning of Year)</t>
  </si>
  <si>
    <t>Line 30</t>
  </si>
  <si>
    <t>Line 44</t>
  </si>
  <si>
    <t>Line 18</t>
  </si>
  <si>
    <t>Sum of Lines 1-4</t>
  </si>
  <si>
    <t>In filling out this attachment, a full and complete description of each item and justification for the allocation to Columns B-F and each separate ADIT item will be listed.  Dissimilar items with amounts exceeding $100,000 will be listed separately.  For ADIT directly related to project depreciation or CWIP, the balance will be shown in a separate row for each project.</t>
  </si>
  <si>
    <t>Gas, Prod or Other Related</t>
  </si>
  <si>
    <t>Justification</t>
  </si>
  <si>
    <t>NOL Carryforward</t>
  </si>
  <si>
    <t>Amount subject to Proration</t>
  </si>
  <si>
    <t>Subtotal - p234.b</t>
  </si>
  <si>
    <t>Less FASB 109 Above if not separately removed</t>
  </si>
  <si>
    <t>Less FASB 106 Above if not separately removed</t>
  </si>
  <si>
    <t>Instructions for Account 190:</t>
  </si>
  <si>
    <t>1.  ADIT items related only to Non-Electric Operations (e.g., Gas, Water, Sewer) or Production are directly assigned to Column C</t>
  </si>
  <si>
    <t>2.  ADIT items related only to Transmission are directly assigned to Column D</t>
  </si>
  <si>
    <t>3.  ADIT items related to Plant and not in Columns C &amp; D are included in Column E</t>
  </si>
  <si>
    <t>4.  ADIT items related to labor and not in Columns C &amp; D are included in Column F</t>
  </si>
  <si>
    <t xml:space="preserve">5. Deferred income taxes arise when items are included in taxable income in different periods than they are included in rates, therefore if the item giving rise to the ADIT is not included in the formula, the associated ADIT amount shall be excluded.  This includes but is not limited to SFAS 109  &amp; 158 balance sheet items and the related ADIT.  </t>
  </si>
  <si>
    <t>ADIT- 282</t>
  </si>
  <si>
    <t>Property</t>
  </si>
  <si>
    <t>Depreciation Items</t>
  </si>
  <si>
    <t xml:space="preserve">Subtotal - p274.b </t>
  </si>
  <si>
    <t>Instructions for Account 282:</t>
  </si>
  <si>
    <t>ADIT- 283</t>
  </si>
  <si>
    <t xml:space="preserve">Subtotal - p276.b  </t>
  </si>
  <si>
    <t>Instructions for Account 283:</t>
  </si>
  <si>
    <t>Attachment 6d - Accumulated Deferred Income Taxes (ADIT) Worksheet (End of Year)</t>
  </si>
  <si>
    <t>Subtotal - p234.c</t>
  </si>
  <si>
    <t xml:space="preserve">5.  Deferred income taxes arise when items are included in taxable income in different periods than they are included in rates, therefore if the item giving rise to the ADIT is not included in the formula, the associated ADIT amount shall be excluded.  This includes but is not limited to SFAS 109  &amp; 158 balance sheet items and the related ADIT.  </t>
  </si>
  <si>
    <t xml:space="preserve">Subtotal - p275.k </t>
  </si>
  <si>
    <t xml:space="preserve">Subtotal - p277.k  </t>
  </si>
  <si>
    <t>Attachment 6e - Accumulated Deferred Income Taxes (ADIT) Average Worksheet (True-Up)</t>
  </si>
  <si>
    <t>Total Plant &amp; Labor Related</t>
  </si>
  <si>
    <t>Line 16</t>
  </si>
  <si>
    <t>Line 24</t>
  </si>
  <si>
    <t>Line 32</t>
  </si>
  <si>
    <t>Wages &amp; Salary Allocator</t>
  </si>
  <si>
    <t>ADIT Total</t>
  </si>
  <si>
    <t>Prorated EOY Balance (Attach 6f, Line 14)</t>
  </si>
  <si>
    <t>Prorated EOY Balance (Attach 6f, Line 28)</t>
  </si>
  <si>
    <t>Prorated EOY Balance (Attach 6f, Line 42)</t>
  </si>
  <si>
    <t>Attachment 6f - Accumulated Deferred Income Taxes (ADIT) Proration Worksheet (True-up)</t>
  </si>
  <si>
    <t xml:space="preserve">Monthly Increment </t>
  </si>
  <si>
    <t>Proration
(d) x (e)</t>
  </si>
  <si>
    <t>Prorated Projected Balance (Cumulative Sum of f)</t>
  </si>
  <si>
    <t>Actual Monthly Activity</t>
  </si>
  <si>
    <t>Difference between projected and actual activity</t>
  </si>
  <si>
    <t>Partially prorate actual activity above Monthly projection</t>
  </si>
  <si>
    <t>Partially prorate actual activity below Monthly projection but increases ADIT</t>
  </si>
  <si>
    <t>Partially prorate actual activity below Monthly projection and is a reduction to ADIT</t>
  </si>
  <si>
    <t>Partially prorated actual balance</t>
  </si>
  <si>
    <r>
      <t>ADIT-282-Proration-</t>
    </r>
    <r>
      <rPr>
        <b/>
        <sz val="10"/>
        <color rgb="FFFF0000"/>
        <rFont val="Times New Roman"/>
        <family val="1"/>
      </rPr>
      <t>Note A</t>
    </r>
  </si>
  <si>
    <r>
      <t xml:space="preserve">Balance (Attach 6c, Line 30) </t>
    </r>
    <r>
      <rPr>
        <b/>
        <sz val="10"/>
        <color rgb="FFFF0000"/>
        <rFont val="Times New Roman"/>
        <family val="1"/>
      </rPr>
      <t>Note D</t>
    </r>
  </si>
  <si>
    <r>
      <t>ADIT-283-Proration-</t>
    </r>
    <r>
      <rPr>
        <b/>
        <sz val="10"/>
        <color rgb="FFFF0000"/>
        <rFont val="Times New Roman"/>
        <family val="1"/>
      </rPr>
      <t>Note B</t>
    </r>
  </si>
  <si>
    <r>
      <t xml:space="preserve">Balance (Attach 6c, Line 44) </t>
    </r>
    <r>
      <rPr>
        <b/>
        <sz val="10"/>
        <color rgb="FFFF0000"/>
        <rFont val="Times New Roman"/>
        <family val="1"/>
      </rPr>
      <t>Note D</t>
    </r>
  </si>
  <si>
    <r>
      <t>ADIT-190-Proration-</t>
    </r>
    <r>
      <rPr>
        <b/>
        <sz val="10"/>
        <color rgb="FFFF0000"/>
        <rFont val="Times New Roman"/>
        <family val="1"/>
      </rPr>
      <t>Note C</t>
    </r>
  </si>
  <si>
    <r>
      <t xml:space="preserve">Balance (Attach 6c, Line 18) </t>
    </r>
    <r>
      <rPr>
        <b/>
        <sz val="10"/>
        <color rgb="FFFF0000"/>
        <rFont val="Times New Roman"/>
        <family val="1"/>
      </rPr>
      <t>Note D</t>
    </r>
  </si>
  <si>
    <t>Beginning balances in column (g) are referenced to the original projection tab 6b-ADIT Projection Proration as the original projection proration amounts are necessary to properly calculate columns ( e) through (g).</t>
  </si>
  <si>
    <t>Attachment 7 - Depreciation and Amortization Rates</t>
  </si>
  <si>
    <r>
      <t xml:space="preserve"> </t>
    </r>
    <r>
      <rPr>
        <sz val="12"/>
        <color indexed="8"/>
        <rFont val="Arial Narrow"/>
        <family val="2"/>
      </rPr>
      <t>Account Number</t>
    </r>
    <r>
      <rPr>
        <sz val="12"/>
        <rFont val="Arial Narrow"/>
        <family val="2"/>
      </rPr>
      <t xml:space="preserve"> </t>
    </r>
  </si>
  <si>
    <r>
      <t xml:space="preserve"> </t>
    </r>
    <r>
      <rPr>
        <sz val="12"/>
        <color indexed="8"/>
        <rFont val="Arial Narrow"/>
        <family val="2"/>
      </rPr>
      <t>FERC Account</t>
    </r>
    <r>
      <rPr>
        <sz val="12"/>
        <rFont val="Arial Narrow"/>
        <family val="2"/>
      </rPr>
      <t xml:space="preserve"> </t>
    </r>
  </si>
  <si>
    <r>
      <t xml:space="preserve"> </t>
    </r>
    <r>
      <rPr>
        <sz val="12"/>
        <color indexed="8"/>
        <rFont val="Arial Narrow"/>
        <family val="2"/>
      </rPr>
      <t>Rate (Annual)Percent</t>
    </r>
    <r>
      <rPr>
        <sz val="12"/>
        <rFont val="Arial Narrow"/>
        <family val="2"/>
      </rPr>
      <t xml:space="preserve"> </t>
    </r>
  </si>
  <si>
    <r>
      <t xml:space="preserve"> </t>
    </r>
    <r>
      <rPr>
        <b/>
        <sz val="12"/>
        <color indexed="8"/>
        <rFont val="Arial Narrow"/>
        <family val="2"/>
      </rPr>
      <t>TRANSMISSION PLANT</t>
    </r>
    <r>
      <rPr>
        <b/>
        <sz val="12"/>
        <rFont val="Arial Narrow"/>
        <family val="2"/>
      </rPr>
      <t xml:space="preserve"> </t>
    </r>
  </si>
  <si>
    <t>350.1</t>
  </si>
  <si>
    <t>Fee Land</t>
  </si>
  <si>
    <t>350.2</t>
  </si>
  <si>
    <r>
      <rPr>
        <sz val="12"/>
        <color indexed="8"/>
        <rFont val="Arial Narrow"/>
        <family val="2"/>
      </rPr>
      <t>Land Rights</t>
    </r>
    <r>
      <rPr>
        <sz val="12"/>
        <rFont val="Arial Narrow"/>
        <family val="2"/>
      </rPr>
      <t xml:space="preserve"> </t>
    </r>
  </si>
  <si>
    <t>352</t>
  </si>
  <si>
    <r>
      <rPr>
        <sz val="12"/>
        <color indexed="8"/>
        <rFont val="Arial Narrow"/>
        <family val="2"/>
      </rPr>
      <t>Structures and Improvements</t>
    </r>
    <r>
      <rPr>
        <sz val="12"/>
        <rFont val="Arial Narrow"/>
        <family val="2"/>
      </rPr>
      <t xml:space="preserve"> </t>
    </r>
  </si>
  <si>
    <t>353</t>
  </si>
  <si>
    <r>
      <rPr>
        <sz val="12"/>
        <color indexed="8"/>
        <rFont val="Arial Narrow"/>
        <family val="2"/>
      </rPr>
      <t>Station Equipment</t>
    </r>
    <r>
      <rPr>
        <sz val="12"/>
        <rFont val="Arial Narrow"/>
        <family val="2"/>
      </rPr>
      <t xml:space="preserve"> </t>
    </r>
  </si>
  <si>
    <r>
      <rPr>
        <sz val="12"/>
        <color indexed="8"/>
        <rFont val="Arial Narrow"/>
        <family val="2"/>
      </rPr>
      <t>354</t>
    </r>
    <r>
      <rPr>
        <sz val="12"/>
        <rFont val="Arial Narrow"/>
        <family val="2"/>
      </rPr>
      <t xml:space="preserve"> </t>
    </r>
  </si>
  <si>
    <r>
      <rPr>
        <sz val="12"/>
        <color indexed="8"/>
        <rFont val="Arial Narrow"/>
        <family val="2"/>
      </rPr>
      <t>Towers and Fixtures</t>
    </r>
    <r>
      <rPr>
        <sz val="12"/>
        <rFont val="Arial Narrow"/>
        <family val="2"/>
      </rPr>
      <t xml:space="preserve"> </t>
    </r>
  </si>
  <si>
    <r>
      <rPr>
        <sz val="12"/>
        <color indexed="8"/>
        <rFont val="Arial Narrow"/>
        <family val="2"/>
      </rPr>
      <t>355</t>
    </r>
    <r>
      <rPr>
        <sz val="12"/>
        <rFont val="Arial Narrow"/>
        <family val="2"/>
      </rPr>
      <t xml:space="preserve"> </t>
    </r>
  </si>
  <si>
    <t>Poles and Fixtures</t>
  </si>
  <si>
    <r>
      <rPr>
        <sz val="12"/>
        <color indexed="8"/>
        <rFont val="Arial Narrow"/>
        <family val="2"/>
      </rPr>
      <t>356</t>
    </r>
    <r>
      <rPr>
        <sz val="12"/>
        <rFont val="Arial Narrow"/>
        <family val="2"/>
      </rPr>
      <t xml:space="preserve"> </t>
    </r>
  </si>
  <si>
    <r>
      <rPr>
        <sz val="12"/>
        <color indexed="8"/>
        <rFont val="Arial Narrow"/>
        <family val="2"/>
      </rPr>
      <t>Overhead Conductor and Devices</t>
    </r>
    <r>
      <rPr>
        <sz val="12"/>
        <rFont val="Arial Narrow"/>
        <family val="2"/>
      </rPr>
      <t xml:space="preserve"> </t>
    </r>
  </si>
  <si>
    <r>
      <rPr>
        <sz val="12"/>
        <color indexed="8"/>
        <rFont val="Arial Narrow"/>
        <family val="2"/>
      </rPr>
      <t>357</t>
    </r>
    <r>
      <rPr>
        <sz val="12"/>
        <rFont val="Arial Narrow"/>
        <family val="2"/>
      </rPr>
      <t xml:space="preserve"> </t>
    </r>
  </si>
  <si>
    <r>
      <rPr>
        <sz val="12"/>
        <color indexed="8"/>
        <rFont val="Arial Narrow"/>
        <family val="2"/>
      </rPr>
      <t>Underground Conduit</t>
    </r>
    <r>
      <rPr>
        <sz val="12"/>
        <rFont val="Arial Narrow"/>
        <family val="2"/>
      </rPr>
      <t xml:space="preserve"> </t>
    </r>
  </si>
  <si>
    <r>
      <rPr>
        <sz val="12"/>
        <color indexed="8"/>
        <rFont val="Arial Narrow"/>
        <family val="2"/>
      </rPr>
      <t>358</t>
    </r>
    <r>
      <rPr>
        <sz val="12"/>
        <rFont val="Arial Narrow"/>
        <family val="2"/>
      </rPr>
      <t xml:space="preserve"> </t>
    </r>
  </si>
  <si>
    <r>
      <rPr>
        <sz val="12"/>
        <color indexed="8"/>
        <rFont val="Arial Narrow"/>
        <family val="2"/>
      </rPr>
      <t>Underground Conductor and Devices</t>
    </r>
    <r>
      <rPr>
        <sz val="12"/>
        <rFont val="Arial Narrow"/>
        <family val="2"/>
      </rPr>
      <t xml:space="preserve"> </t>
    </r>
  </si>
  <si>
    <r>
      <rPr>
        <sz val="12"/>
        <color indexed="8"/>
        <rFont val="Arial Narrow"/>
        <family val="2"/>
      </rPr>
      <t>359</t>
    </r>
    <r>
      <rPr>
        <sz val="12"/>
        <rFont val="Arial Narrow"/>
        <family val="2"/>
      </rPr>
      <t xml:space="preserve"> </t>
    </r>
  </si>
  <si>
    <r>
      <rPr>
        <sz val="12"/>
        <color indexed="8"/>
        <rFont val="Arial Narrow"/>
        <family val="2"/>
      </rPr>
      <t>Roads and Trails</t>
    </r>
    <r>
      <rPr>
        <sz val="12"/>
        <rFont val="Arial Narrow"/>
        <family val="2"/>
      </rPr>
      <t xml:space="preserve"> </t>
    </r>
  </si>
  <si>
    <r>
      <t xml:space="preserve"> </t>
    </r>
    <r>
      <rPr>
        <b/>
        <sz val="12"/>
        <color indexed="8"/>
        <rFont val="Arial Narrow"/>
        <family val="2"/>
      </rPr>
      <t>GENERAL PLANT</t>
    </r>
    <r>
      <rPr>
        <sz val="12"/>
        <rFont val="Arial Narrow"/>
        <family val="2"/>
      </rPr>
      <t xml:space="preserve"> </t>
    </r>
  </si>
  <si>
    <r>
      <rPr>
        <sz val="12"/>
        <color indexed="8"/>
        <rFont val="Arial Narrow"/>
        <family val="2"/>
      </rPr>
      <t>390</t>
    </r>
    <r>
      <rPr>
        <sz val="12"/>
        <rFont val="Arial Narrow"/>
        <family val="2"/>
      </rPr>
      <t xml:space="preserve"> </t>
    </r>
  </si>
  <si>
    <r>
      <rPr>
        <sz val="12"/>
        <color indexed="8"/>
        <rFont val="Arial Narrow"/>
        <family val="2"/>
      </rPr>
      <t>Structures &amp; Improvements</t>
    </r>
    <r>
      <rPr>
        <sz val="12"/>
        <rFont val="Arial Narrow"/>
        <family val="2"/>
      </rPr>
      <t xml:space="preserve"> </t>
    </r>
  </si>
  <si>
    <r>
      <rPr>
        <sz val="12"/>
        <color indexed="8"/>
        <rFont val="Arial Narrow"/>
        <family val="2"/>
      </rPr>
      <t>391</t>
    </r>
    <r>
      <rPr>
        <sz val="12"/>
        <rFont val="Arial Narrow"/>
        <family val="2"/>
      </rPr>
      <t xml:space="preserve"> </t>
    </r>
  </si>
  <si>
    <r>
      <rPr>
        <sz val="12"/>
        <color indexed="8"/>
        <rFont val="Arial Narrow"/>
        <family val="2"/>
      </rPr>
      <t>Office Furniture &amp; Equipment</t>
    </r>
    <r>
      <rPr>
        <sz val="12"/>
        <rFont val="Arial Narrow"/>
        <family val="2"/>
      </rPr>
      <t xml:space="preserve"> </t>
    </r>
  </si>
  <si>
    <t>392.10</t>
  </si>
  <si>
    <t>Automobiles</t>
  </si>
  <si>
    <t>392.20</t>
  </si>
  <si>
    <t>Light Trucks</t>
  </si>
  <si>
    <t>392.30</t>
  </si>
  <si>
    <t>Heavy Trucks</t>
  </si>
  <si>
    <t>392.40</t>
  </si>
  <si>
    <t>Tractor Trailers</t>
  </si>
  <si>
    <t>392.90</t>
  </si>
  <si>
    <t>Trailers</t>
  </si>
  <si>
    <t xml:space="preserve">393 </t>
  </si>
  <si>
    <t xml:space="preserve">Stores Equipment </t>
  </si>
  <si>
    <r>
      <rPr>
        <sz val="12"/>
        <color indexed="8"/>
        <rFont val="Arial Narrow"/>
        <family val="2"/>
      </rPr>
      <t>394</t>
    </r>
    <r>
      <rPr>
        <sz val="12"/>
        <rFont val="Arial Narrow"/>
        <family val="2"/>
      </rPr>
      <t xml:space="preserve"> </t>
    </r>
  </si>
  <si>
    <r>
      <rPr>
        <sz val="12"/>
        <color indexed="8"/>
        <rFont val="Arial Narrow"/>
        <family val="2"/>
      </rPr>
      <t>Tools, Shop &amp; Garage Equipment</t>
    </r>
    <r>
      <rPr>
        <sz val="12"/>
        <rFont val="Arial Narrow"/>
        <family val="2"/>
      </rPr>
      <t xml:space="preserve"> </t>
    </r>
  </si>
  <si>
    <r>
      <rPr>
        <sz val="12"/>
        <color indexed="8"/>
        <rFont val="Arial Narrow"/>
        <family val="2"/>
      </rPr>
      <t>395</t>
    </r>
    <r>
      <rPr>
        <sz val="12"/>
        <rFont val="Arial Narrow"/>
        <family val="2"/>
      </rPr>
      <t xml:space="preserve"> </t>
    </r>
  </si>
  <si>
    <r>
      <rPr>
        <sz val="12"/>
        <color indexed="8"/>
        <rFont val="Arial Narrow"/>
        <family val="2"/>
      </rPr>
      <t>Laboratory Equipment</t>
    </r>
    <r>
      <rPr>
        <sz val="12"/>
        <rFont val="Arial Narrow"/>
        <family val="2"/>
      </rPr>
      <t xml:space="preserve"> </t>
    </r>
  </si>
  <si>
    <t>397</t>
  </si>
  <si>
    <r>
      <rPr>
        <sz val="12"/>
        <color indexed="8"/>
        <rFont val="Arial Narrow"/>
        <family val="2"/>
      </rPr>
      <t>Communication Equipment</t>
    </r>
    <r>
      <rPr>
        <sz val="12"/>
        <rFont val="Arial Narrow"/>
        <family val="2"/>
      </rPr>
      <t xml:space="preserve"> </t>
    </r>
  </si>
  <si>
    <r>
      <t xml:space="preserve"> </t>
    </r>
    <r>
      <rPr>
        <sz val="12"/>
        <color indexed="8"/>
        <rFont val="Arial Narrow"/>
        <family val="2"/>
      </rPr>
      <t>398</t>
    </r>
    <r>
      <rPr>
        <sz val="12"/>
        <rFont val="Arial Narrow"/>
        <family val="2"/>
      </rPr>
      <t xml:space="preserve"> </t>
    </r>
  </si>
  <si>
    <r>
      <rPr>
        <sz val="12"/>
        <color indexed="8"/>
        <rFont val="Arial Narrow"/>
        <family val="2"/>
      </rPr>
      <t>Miscellaneous Equipment</t>
    </r>
    <r>
      <rPr>
        <sz val="12"/>
        <rFont val="Arial Narrow"/>
        <family val="2"/>
      </rPr>
      <t xml:space="preserve"> </t>
    </r>
  </si>
  <si>
    <r>
      <t xml:space="preserve"> </t>
    </r>
    <r>
      <rPr>
        <b/>
        <sz val="12"/>
        <color indexed="8"/>
        <rFont val="Arial Narrow"/>
        <family val="2"/>
      </rPr>
      <t>INTANGIBLE PLANT</t>
    </r>
    <r>
      <rPr>
        <sz val="12"/>
        <rFont val="Arial Narrow"/>
        <family val="2"/>
      </rPr>
      <t xml:space="preserve"> </t>
    </r>
  </si>
  <si>
    <t>301</t>
  </si>
  <si>
    <t>Organization</t>
  </si>
  <si>
    <t>Intangible</t>
  </si>
  <si>
    <r>
      <rPr>
        <sz val="12"/>
        <color indexed="8"/>
        <rFont val="Arial Narrow"/>
        <family val="2"/>
      </rPr>
      <t>303</t>
    </r>
    <r>
      <rPr>
        <sz val="12"/>
        <rFont val="Arial Narrow"/>
        <family val="2"/>
      </rPr>
      <t xml:space="preserve"> </t>
    </r>
  </si>
  <si>
    <r>
      <rPr>
        <sz val="12"/>
        <color indexed="8"/>
        <rFont val="Arial Narrow"/>
        <family val="2"/>
      </rPr>
      <t>Miscellaneous Intangible Plant</t>
    </r>
    <r>
      <rPr>
        <sz val="12"/>
        <rFont val="Arial Narrow"/>
        <family val="2"/>
      </rPr>
      <t xml:space="preserve"> </t>
    </r>
  </si>
  <si>
    <t>5 Year Property</t>
  </si>
  <si>
    <t>7 Year Property</t>
  </si>
  <si>
    <t>10 Year Property</t>
  </si>
  <si>
    <t>Interconnection Equipment</t>
  </si>
  <si>
    <r>
      <rPr>
        <sz val="12"/>
        <color indexed="8"/>
        <rFont val="Arial Narrow"/>
        <family val="2"/>
      </rPr>
      <t>Transmission facility Contributions in Aid of Construction</t>
    </r>
    <r>
      <rPr>
        <sz val="12"/>
        <rFont val="Arial Narrow"/>
        <family val="2"/>
      </rPr>
      <t xml:space="preserve"> </t>
    </r>
  </si>
  <si>
    <r>
      <t xml:space="preserve"> </t>
    </r>
    <r>
      <rPr>
        <sz val="12"/>
        <color indexed="8"/>
        <rFont val="Arial Narrow"/>
        <family val="2"/>
      </rPr>
      <t>Note 1</t>
    </r>
    <r>
      <rPr>
        <sz val="12"/>
        <rFont val="Arial Narrow"/>
        <family val="2"/>
      </rPr>
      <t xml:space="preserve"> </t>
    </r>
  </si>
  <si>
    <r>
      <t xml:space="preserve"> </t>
    </r>
    <r>
      <rPr>
        <sz val="12"/>
        <color indexed="8"/>
        <rFont val="Arial Narrow"/>
        <family val="2"/>
      </rPr>
      <t xml:space="preserve">Note 1: In the event a Contribution in Aid of Construction (CIAC) is made for a transmission facility, the transmission </t>
    </r>
    <r>
      <rPr>
        <sz val="12"/>
        <rFont val="Arial Narrow"/>
        <family val="2"/>
      </rPr>
      <t xml:space="preserve"> </t>
    </r>
  </si>
  <si>
    <r>
      <t xml:space="preserve"> </t>
    </r>
    <r>
      <rPr>
        <sz val="12"/>
        <color indexed="8"/>
        <rFont val="Arial Narrow"/>
        <family val="2"/>
      </rPr>
      <t>depreciation rates above will be weighted based on the relative amount of underlying plant booked to the accounts</t>
    </r>
    <r>
      <rPr>
        <sz val="12"/>
        <rFont val="Arial Narrow"/>
        <family val="2"/>
      </rPr>
      <t xml:space="preserve"> </t>
    </r>
  </si>
  <si>
    <r>
      <t xml:space="preserve"> </t>
    </r>
    <r>
      <rPr>
        <sz val="12"/>
        <color indexed="8"/>
        <rFont val="Arial Narrow"/>
        <family val="2"/>
      </rPr>
      <t>shown in lines 1-9 above and the weighted average depreciation rate will be used to amortize the CIAC.</t>
    </r>
    <r>
      <rPr>
        <sz val="12"/>
        <rFont val="Arial Narrow"/>
        <family val="2"/>
      </rPr>
      <t xml:space="preserve"> The life of a</t>
    </r>
  </si>
  <si>
    <t xml:space="preserve"> facility subject to a CIAC will be equivalent to the depreciation rate calculated above, i.e., 100% ÷ deprecation rate = life</t>
  </si>
  <si>
    <t xml:space="preserve"> in years. The estimated life of the facility or rights associated with the facility will not change  over the life of a CIAC</t>
  </si>
  <si>
    <t xml:space="preserve"> without prior FERC approval.</t>
  </si>
  <si>
    <r>
      <t xml:space="preserve"> </t>
    </r>
    <r>
      <rPr>
        <sz val="12"/>
        <color indexed="8"/>
        <rFont val="Arial Narrow"/>
        <family val="2"/>
      </rPr>
      <t>These depreciation rates will not change absent the appropriate filing at FERC.</t>
    </r>
    <r>
      <rPr>
        <sz val="12"/>
        <rFont val="Arial Narrow"/>
        <family val="2"/>
      </rPr>
      <t xml:space="preserve"> </t>
    </r>
  </si>
  <si>
    <t>Attachment 8- Workpapers</t>
  </si>
  <si>
    <t xml:space="preserve">Regulatory Assets </t>
  </si>
  <si>
    <t>(r)</t>
  </si>
  <si>
    <t>(s)</t>
  </si>
  <si>
    <t>(t)</t>
  </si>
  <si>
    <t>(u)</t>
  </si>
  <si>
    <t>(v)</t>
  </si>
  <si>
    <t>(w)</t>
  </si>
  <si>
    <t>(x)</t>
  </si>
  <si>
    <t>(y)</t>
  </si>
  <si>
    <t>(z)</t>
  </si>
  <si>
    <t>(aa)</t>
  </si>
  <si>
    <t>Dec. 31</t>
  </si>
  <si>
    <t>Jan. 31</t>
  </si>
  <si>
    <t>Feb. 28/29</t>
  </si>
  <si>
    <t>Mar. 31</t>
  </si>
  <si>
    <t>Apr. 30</t>
  </si>
  <si>
    <t>May 31</t>
  </si>
  <si>
    <t>Jun. 30</t>
  </si>
  <si>
    <t>Jul. 31</t>
  </si>
  <si>
    <t>Aug. 31</t>
  </si>
  <si>
    <t>Sept. 30</t>
  </si>
  <si>
    <t>Oct. 31</t>
  </si>
  <si>
    <t>Nov. 30</t>
  </si>
  <si>
    <t>Recovery Amnt Approved *</t>
  </si>
  <si>
    <t>Recovery Period Months *</t>
  </si>
  <si>
    <t>Monthly Amort Exp (b) / (c)</t>
  </si>
  <si>
    <t>Amort Periods this year</t>
  </si>
  <si>
    <t>Current Amort Expense     (d) x (e)</t>
  </si>
  <si>
    <t>% Allocated to Formula Rate *</t>
  </si>
  <si>
    <t>Amort Exp in Formula Rate**            (f) x (g)</t>
  </si>
  <si>
    <t>2015</t>
  </si>
  <si>
    <t>2016</t>
  </si>
  <si>
    <t>Avg Unamortized Balance         Sum (i) through (u) / 13</t>
  </si>
  <si>
    <t>% Approved for Rate Base *</t>
  </si>
  <si>
    <t>Allocated to Formula Rate     (from (g))</t>
  </si>
  <si>
    <t>Rate Base Balance      (v) x (w) x (x)</t>
  </si>
  <si>
    <t>Project Code</t>
  </si>
  <si>
    <t>Docket No</t>
  </si>
  <si>
    <t>1b</t>
  </si>
  <si>
    <t>1c</t>
  </si>
  <si>
    <t>Total Regulatory Asset in Rate Base (sum lines 1a-1x):</t>
  </si>
  <si>
    <t>* Non-zero values in these columns may only be established per FERC order</t>
  </si>
  <si>
    <t xml:space="preserve">**All amortizations of the Regulatory Asset are to be booked to Account 566 </t>
  </si>
  <si>
    <t>Abandoned Plant</t>
  </si>
  <si>
    <t>Amort Exp in Formula Rate            (f) x (g)</t>
  </si>
  <si>
    <t>2014</t>
  </si>
  <si>
    <t>3a</t>
  </si>
  <si>
    <t>3b</t>
  </si>
  <si>
    <t>3c</t>
  </si>
  <si>
    <t>3x</t>
  </si>
  <si>
    <t>Total Abandoned Plant in Rate Base (sum lines 3a-3x):</t>
  </si>
  <si>
    <t>Land Held for Future Use (LHFU)</t>
  </si>
  <si>
    <t xml:space="preserve">(c) </t>
  </si>
  <si>
    <t xml:space="preserve">(e) </t>
  </si>
  <si>
    <t>Subaccount No.</t>
  </si>
  <si>
    <t>Item Name</t>
  </si>
  <si>
    <t>Land Held for Future Use and Estimated Date</t>
  </si>
  <si>
    <t>Average of Columns (d) Through (p)</t>
  </si>
  <si>
    <t>5a</t>
  </si>
  <si>
    <t>5b</t>
  </si>
  <si>
    <t>5c</t>
  </si>
  <si>
    <t>5x</t>
  </si>
  <si>
    <t>Total LHFU in rate base (sum lines 5a-5x):</t>
  </si>
  <si>
    <t>job ID</t>
  </si>
  <si>
    <t>Construction Start Date</t>
  </si>
  <si>
    <t>Estimated in-service date</t>
  </si>
  <si>
    <t>Approval Doc. No.</t>
  </si>
  <si>
    <t>Avg (f) through (r)</t>
  </si>
  <si>
    <t>% approved for recovery</t>
  </si>
  <si>
    <t>Rate Base Amnt (s) x (t)</t>
  </si>
  <si>
    <t>2106</t>
  </si>
  <si>
    <t>7a</t>
  </si>
  <si>
    <t>7b</t>
  </si>
  <si>
    <t>7c</t>
  </si>
  <si>
    <t>7x</t>
  </si>
  <si>
    <t>Total  (sum lines 7a-7x)</t>
  </si>
  <si>
    <t>Total CWIP in Rate Base</t>
  </si>
  <si>
    <t>Change to recovery percent in Column (t) requires FERC order</t>
  </si>
  <si>
    <t>Actual Additions by FERC Account</t>
  </si>
  <si>
    <t>The total of these additions should total the additions reported in the FERC Form No.1 on page 206, lines 48 to 56</t>
  </si>
  <si>
    <t xml:space="preserve"> Land Rights </t>
  </si>
  <si>
    <t xml:space="preserve"> Structures and Improvements </t>
  </si>
  <si>
    <t xml:space="preserve"> Structures and Improvements - Equipment</t>
  </si>
  <si>
    <t xml:space="preserve"> Station Equipment </t>
  </si>
  <si>
    <t xml:space="preserve"> Towers and Fixtures </t>
  </si>
  <si>
    <t xml:space="preserve"> Poles and Fixtures </t>
  </si>
  <si>
    <t xml:space="preserve"> Overhead Conductor and Devices </t>
  </si>
  <si>
    <t xml:space="preserve"> Underground Conduit </t>
  </si>
  <si>
    <t xml:space="preserve"> Underground Conductor and Devices </t>
  </si>
  <si>
    <t xml:space="preserve"> Roads and Trails </t>
  </si>
  <si>
    <t>Total  (sum lines 9a-9x)</t>
  </si>
  <si>
    <t>Intangible Plant Detail</t>
  </si>
  <si>
    <t xml:space="preserve">Source </t>
  </si>
  <si>
    <t>Service Life</t>
  </si>
  <si>
    <t>11a</t>
  </si>
  <si>
    <t>11b</t>
  </si>
  <si>
    <t>11c</t>
  </si>
  <si>
    <t>11x</t>
  </si>
  <si>
    <t>Total  (sum lines 11a-11x) ties to p207.5.g</t>
  </si>
  <si>
    <t>Workpaper 1 - Support to "4 - Incentives"</t>
  </si>
  <si>
    <t>NextEra Energy Transmission New York, Inc. Formula Rate Template</t>
  </si>
  <si>
    <t>From Tab 2</t>
  </si>
  <si>
    <t>Calculated</t>
  </si>
  <si>
    <t>Per Docket Nos. ER16-2719, ER18-125</t>
  </si>
  <si>
    <t>13M Average Gross</t>
  </si>
  <si>
    <t>13M Average Net of AD</t>
  </si>
  <si>
    <t>Transmission Plant in Servce</t>
  </si>
  <si>
    <t>General Plant in Service</t>
  </si>
  <si>
    <t>Intangible Plant in Service</t>
  </si>
  <si>
    <t>Total Gross Plant in Service (PIS)</t>
  </si>
  <si>
    <t>Empire State Line Project - 100 BP ROE Adder and Cost Cap (Gross PIS)</t>
  </si>
  <si>
    <t>Empire State Line Project - Cost Containment Mechanism (Gross PIS)</t>
  </si>
  <si>
    <t>Empire State Line Project - Unforeseeable Costs (Gross PIS)</t>
  </si>
  <si>
    <t>13M Avg</t>
  </si>
  <si>
    <t>80% (gets 9.65% ROE)</t>
  </si>
  <si>
    <t>20% (gets 0.00% ROE)</t>
  </si>
  <si>
    <t>General Accumulated Depreciation</t>
  </si>
  <si>
    <t>Intangible Accumulated Depreciation</t>
  </si>
  <si>
    <t>Total Accumulated Depreciation (AD)</t>
  </si>
  <si>
    <t>Empire State Line Project - 100 BP ROE Adder and Cost Cap (AD)</t>
  </si>
  <si>
    <t>Empire State Line Project - Cost Containment Mechanism (AD)</t>
  </si>
  <si>
    <t>Empire State Line Project - Unforeseeable Costs (AD)</t>
  </si>
  <si>
    <t>Base Return &amp; Taxes (from tab 4, row 66b, col k)</t>
  </si>
  <si>
    <t>Weighted for containment</t>
  </si>
  <si>
    <t>Workpaper 2 - Support to "3 - Cost Support"</t>
  </si>
  <si>
    <t>Income Tax Adjustments</t>
  </si>
  <si>
    <r>
      <t xml:space="preserve">Total Tax adjustment for Permanent Differences </t>
    </r>
    <r>
      <rPr>
        <vertAlign val="subscript"/>
        <sz val="12"/>
        <rFont val="Arial"/>
        <family val="2"/>
      </rPr>
      <t>1</t>
    </r>
  </si>
  <si>
    <t>Tax Adjustment for AFUDC - Equity Depreciation</t>
  </si>
  <si>
    <t>Tax Adjustment for Meals &amp; Entertainment</t>
  </si>
  <si>
    <t>Notes</t>
  </si>
  <si>
    <t>1) Includes the annual income tax cost or benefits due to permanent differences or differences between the amounts of expenses or revenues recognized in one period for ratemaking purposes and the amounts recognized for income tax purposes which do not reverse in one or more other periods, including the cost of income taxes on (1) the Equity portion of Allowance for Other Funds Used During Construction  (AFUDC) included in the current book depreciation expense and (2) meals and entertainment expenses. Permanent differences arising from lobbying and/or political contributions, or fines and penalties from government agencies will not be recovered through this mechanism.  The income tax impacts of these permanent differences are determined in Appendix A,  Line 67, Column 3.</t>
  </si>
  <si>
    <t>Depreciation</t>
  </si>
  <si>
    <t>Revenue</t>
  </si>
  <si>
    <t>For the 12 months ended 12/31/2025</t>
  </si>
  <si>
    <t>2022 Prior Period adjustment</t>
  </si>
  <si>
    <t>*Consolidations Group</t>
  </si>
  <si>
    <t>NEE Infrastructure Consolidated</t>
  </si>
  <si>
    <t>*Audit ID</t>
  </si>
  <si>
    <t>Consolidated</t>
  </si>
  <si>
    <t>Actual</t>
  </si>
  <si>
    <t>Jun 2024 Reforecast</t>
  </si>
  <si>
    <t>Periodic
Jun 2024 Reforecast</t>
  </si>
  <si>
    <t>*Account</t>
  </si>
  <si>
    <t>*Company</t>
  </si>
  <si>
    <t>*Time</t>
  </si>
  <si>
    <t>2024.001</t>
  </si>
  <si>
    <t>2024.002</t>
  </si>
  <si>
    <t>2024.003</t>
  </si>
  <si>
    <t>2024.004</t>
  </si>
  <si>
    <t>2024.005</t>
  </si>
  <si>
    <t>2024.006</t>
  </si>
  <si>
    <t>2024.007</t>
  </si>
  <si>
    <t>2024.008</t>
  </si>
  <si>
    <t>2024.009</t>
  </si>
  <si>
    <t>2024.010</t>
  </si>
  <si>
    <t>2024.011</t>
  </si>
  <si>
    <t>2024.012</t>
  </si>
  <si>
    <t>CASH AND CASH EQUIVALENTS</t>
  </si>
  <si>
    <t>1282</t>
  </si>
  <si>
    <t>NEE Trans New York</t>
  </si>
  <si>
    <t>TOTAL RECEIVABLES-NET</t>
  </si>
  <si>
    <t>TOTAL CURRENT REGULATORY ASSETS</t>
  </si>
  <si>
    <t>TOTAL OTHER CURRENT ASSETS</t>
  </si>
  <si>
    <t>TOTAL CURRENT ASSETS</t>
  </si>
  <si>
    <t>PLANT IN SERVICE</t>
  </si>
  <si>
    <t>UTILITY PLANT IN REVIEW</t>
  </si>
  <si>
    <t>ELECTRIC PLANT AND EQUIPMENT</t>
  </si>
  <si>
    <t>TOTAL PLANT IN SERVICE AND OTHER PROPERT</t>
  </si>
  <si>
    <t>CONSTRUCTION WORK IN PROGRESS-NET</t>
  </si>
  <si>
    <t>TOTAL PROPERTY, PLANT AND EQUIPMENT-GROS</t>
  </si>
  <si>
    <t>ACC. DEPRECIATION: FAS 143 Cost of Removal - O/Set</t>
  </si>
  <si>
    <t>ACC. AMORTIZATION</t>
  </si>
  <si>
    <t>ACC. DEPRECIATION: Machinery &amp; Equipment</t>
  </si>
  <si>
    <t>ACC. DEPRECIATION: Plant In Svc - Power Plant</t>
  </si>
  <si>
    <t>ACCUM DEPR AND AMORT-PLANT IN SERVICE</t>
  </si>
  <si>
    <t>TOTAL ACCUM DEPRECIATION &amp; AMORTIZATION</t>
  </si>
  <si>
    <t>TOTAL PROPERTY, PLANT AND EQUIPMENT-NET</t>
  </si>
  <si>
    <t>TOTAL REGULATORY ASSETS</t>
  </si>
  <si>
    <t>TOTAL DEFERRED DEBITS AND OTHER ASSETS</t>
  </si>
  <si>
    <t>TOTAL NON-CURRENT ASSETS</t>
  </si>
  <si>
    <t>TOTAL ASSETS</t>
  </si>
  <si>
    <t>TOTAL PROPRIETARY CAPITAL</t>
  </si>
  <si>
    <t>TOTAL LONG-TERM DEBT</t>
  </si>
  <si>
    <t>TOTAL CAPITALIZATION</t>
  </si>
  <si>
    <t>CURRENT MATURITIES OF LTD AND PREFERRED</t>
  </si>
  <si>
    <t>ACCOUNTS PAYABLE</t>
  </si>
  <si>
    <t>PAYABLES TO RELATED PARTY</t>
  </si>
  <si>
    <t>TAX COLLECTIONS PAYABLE</t>
  </si>
  <si>
    <t>TOTAL ACCOUNTS PAYABLE</t>
  </si>
  <si>
    <t>ACCRUED INTEREST AND TAXES</t>
  </si>
  <si>
    <t>ACCRUED CONSTRUCTION-RELATED EXPENSES</t>
  </si>
  <si>
    <t>TOTAL OTHER CURRENT LIABILITIES</t>
  </si>
  <si>
    <t>TOTAL CURRENT LIABILITIES</t>
  </si>
  <si>
    <t>ACCUM DEFERRED INCOME TAXES-LIABILITY</t>
  </si>
  <si>
    <t>TOTAL REGULATORY LIABILITIES</t>
  </si>
  <si>
    <t>OTHER NON-CURRENT LIABILITIES</t>
  </si>
  <si>
    <t>TOTAL DEFERRED CREDITS AND OTHER LIABILI</t>
  </si>
  <si>
    <t>TOTAL CAPITALIZATION AND LIABILITIES</t>
  </si>
  <si>
    <t>Overall Result</t>
  </si>
  <si>
    <t>2025.000</t>
  </si>
  <si>
    <t>2025.001</t>
  </si>
  <si>
    <t>2025.002</t>
  </si>
  <si>
    <t>2025.003</t>
  </si>
  <si>
    <t>2025.004</t>
  </si>
  <si>
    <t>2025.005</t>
  </si>
  <si>
    <t>2025.006</t>
  </si>
  <si>
    <t>2025.007</t>
  </si>
  <si>
    <t>2025.008</t>
  </si>
  <si>
    <t>2025.009</t>
  </si>
  <si>
    <t>2025.010</t>
  </si>
  <si>
    <t>2025.011</t>
  </si>
  <si>
    <t>2025.012</t>
  </si>
  <si>
    <t>a-Jan - 2024</t>
  </si>
  <si>
    <t>a-Feb - 2024</t>
  </si>
  <si>
    <t>a-Mar - 2024</t>
  </si>
  <si>
    <t>a-Apr - 2024</t>
  </si>
  <si>
    <t>a-May - 2024</t>
  </si>
  <si>
    <t>a-Jun - 2024</t>
  </si>
  <si>
    <t>Sep - 2024</t>
  </si>
  <si>
    <t>Oct - 2024</t>
  </si>
  <si>
    <t>Nov - 2024</t>
  </si>
  <si>
    <t>Dec - 2024</t>
  </si>
  <si>
    <t>2024</t>
  </si>
  <si>
    <t>Jan - 2025</t>
  </si>
  <si>
    <t>Feb - 2025</t>
  </si>
  <si>
    <t>Mar - 2025</t>
  </si>
  <si>
    <t>Apr - 2025</t>
  </si>
  <si>
    <t>May - 2025</t>
  </si>
  <si>
    <t>Jun - 2025</t>
  </si>
  <si>
    <t>Jul - 2025</t>
  </si>
  <si>
    <t>Aug - 2025</t>
  </si>
  <si>
    <t>Sep - 2025</t>
  </si>
  <si>
    <t>Oct - 2025</t>
  </si>
  <si>
    <t>Nov - 2025</t>
  </si>
  <si>
    <t>Dec - 2025</t>
  </si>
  <si>
    <t>2025</t>
  </si>
  <si>
    <t>View: NEET New York</t>
  </si>
  <si>
    <t>Income Statement - NEET NY</t>
  </si>
  <si>
    <t>Revenues</t>
  </si>
  <si>
    <t>B4.005033.20.R001: Transmission Revenue - FERC</t>
  </si>
  <si>
    <t>Expense</t>
  </si>
  <si>
    <t>B4.005033.01.E001: 560-Ops-Operation superv &amp; Eng-FERC</t>
  </si>
  <si>
    <t>B4.005033.01.E002: 561.2-Load Disp-Mon&amp;Oper Trans Sys-FERC</t>
  </si>
  <si>
    <t>B4.005033.01.E003: 561.4-Sched-Syst Ctrl &amp; Disp Svcs-FERC</t>
  </si>
  <si>
    <t>B4.005033.01.E004: 561.5-Affiliate-Reliab-Plan&amp;StrdDev-FERC</t>
  </si>
  <si>
    <t>B4.005033.01.E007: 567-O&amp;M Rents-FERC</t>
  </si>
  <si>
    <t>B4.005033.01.E008: 568-NY EE Maint. Supervision &amp; Eng-FERC</t>
  </si>
  <si>
    <t>B4.005033.01.E013: 560 - NY EE - Ops Superv &amp; Eng-FERC</t>
  </si>
  <si>
    <t>B4.005033.01.E014: 561.2  - NY EE - Ops Load Disp-FERC</t>
  </si>
  <si>
    <t>B4.005033.01.E015: 561.5 - NY EE - LIPA Planning &amp; Dev-FERC</t>
  </si>
  <si>
    <t>B4.005033.01.E016: 561.5-Affiliate-LIPA Planning &amp; Dev-FERC</t>
  </si>
  <si>
    <t>B4.005033.01.E017: 561.5 NYC OSW Development Affiliate</t>
  </si>
  <si>
    <t>B4.005033.01.E021: 561.8 - Reliab Planning &amp; Standards Deve</t>
  </si>
  <si>
    <t>B4.005033.10.E009: New York - Shared Reciever</t>
  </si>
  <si>
    <t>B4.005033.10.E010: Alle Catt II Wind</t>
  </si>
  <si>
    <t>B4.005033.20.E007: 407.4-NEET NY Under Collection</t>
  </si>
  <si>
    <t>B4.005033.20.E013: 407.3-NEET NY Under Collection</t>
  </si>
  <si>
    <t>C8.001133.40.E001: US General Liability-Policy Renewal</t>
  </si>
  <si>
    <t>C8.001133.41.E001: Umbrella Liability-Policy Renewal</t>
  </si>
  <si>
    <t>C8.001133.43.E001: Workers Compensation-Policy Renewal</t>
  </si>
  <si>
    <t>C8.001133.44.E001: US Auto-Policy Renewal</t>
  </si>
  <si>
    <t>C8.001133.48.E001: Excess Liability - Policy Renewal</t>
  </si>
  <si>
    <t>G&amp;A</t>
  </si>
  <si>
    <t>B4.005033.01.E005: 562-Ops-Station Expense Major only-FERC</t>
  </si>
  <si>
    <t>B4.005033.01.E010: 570-Maint of Stat equip-Major only-FERC</t>
  </si>
  <si>
    <t>B4.005033.01.E011: 571-Maint. of Overhead lines-FERC</t>
  </si>
  <si>
    <t>B4.005033.10.E001: 920 - NY EE - A&amp;G Salaries-FERC</t>
  </si>
  <si>
    <t>B4.005033.10.E002: 921-Mgmt-Office Supplies &amp; Exp-FERC</t>
  </si>
  <si>
    <t>B4.005033.10.E003: 923-Mgmt-Outside services employed-FERC</t>
  </si>
  <si>
    <t>B4.005033.10.E004: 923-CSC-AMF Charges-FERC</t>
  </si>
  <si>
    <t>B4.005033.20.E004: 426 - Non-recoverable charges BTL</t>
  </si>
  <si>
    <t>B4.005033.20.E009: 426 - Non-recoverable charges BTL</t>
  </si>
  <si>
    <t>B4.008008.01.E001: FPL CSC- NEET NY</t>
  </si>
  <si>
    <t>Taxes Other</t>
  </si>
  <si>
    <t>B4.005033.20.E010: Property Taxes-FERC</t>
  </si>
  <si>
    <t>AFUDC - Equity</t>
  </si>
  <si>
    <t>B4.003754.02.E001: (FERC) CR side (Inc.) of AFUDC Equity</t>
  </si>
  <si>
    <t>B4.003754.02.E007: FERC Equity Carrying Charge</t>
  </si>
  <si>
    <t>EBITDA</t>
  </si>
  <si>
    <t>~N/A~: ~N/A~</t>
  </si>
  <si>
    <t>B4.005033.20.E001: Depreciation-FERC</t>
  </si>
  <si>
    <t>Amortization</t>
  </si>
  <si>
    <t>B4.005033.20.E008: Amortization-FERC</t>
  </si>
  <si>
    <t>EBIT</t>
  </si>
  <si>
    <t>AFUDC - Debt</t>
  </si>
  <si>
    <t>B4.003754.02.E002: (FERC) CR side (Inc.) of AFUDC Debt</t>
  </si>
  <si>
    <t>B4.003754.02.E006: FERC Debt Carrying Charge</t>
  </si>
  <si>
    <t>Interest Exp, Net</t>
  </si>
  <si>
    <t>B4.003754.02.E003: (FERC) Interest expense - above the line</t>
  </si>
  <si>
    <t>B4.005033.20.E003: Deposit Income - 419F - FERC</t>
  </si>
  <si>
    <t>B4.005033.20.E012: Interest on LT Debt- FERC</t>
  </si>
  <si>
    <t>Pre-Tax Earnings</t>
  </si>
  <si>
    <t>Income Taxes</t>
  </si>
  <si>
    <t>B4.003754.01.E001: Income Taxes - Current - Above Line FERC</t>
  </si>
  <si>
    <t>B4.003754.01.E002: Income Taxes - Current - Below Line FERC</t>
  </si>
  <si>
    <t>B4.003754.01.E003: Income Taxes # Def - Debit - Above FERC</t>
  </si>
  <si>
    <t>B4.003754.01.E004: Income Taxes # Def - Debit - Below FERC</t>
  </si>
  <si>
    <t>B4.003754.01.E005: Income Taxes # Def - Credit - Above FERC</t>
  </si>
  <si>
    <t>B4.003754.01.E007: Income Taxes - Current - Above FERC</t>
  </si>
  <si>
    <t>B4.003754.01.E008: Income Taxes - Current - Below FERC</t>
  </si>
  <si>
    <t>B4.003754.01.E009: Income Taxes # Def - Debit - Below FERC</t>
  </si>
  <si>
    <t>B4.003754.01.E010: Income Taxes # Def - Debit - Above FERC</t>
  </si>
  <si>
    <t>B4.003754.01.E012: Income Taxes # Def - Credit - Above FERC</t>
  </si>
  <si>
    <t>Adjusted Earnings</t>
  </si>
  <si>
    <t>Net Inc Subtotal Diff</t>
  </si>
  <si>
    <t>Act/Est
(A)</t>
  </si>
  <si>
    <t>*WBS</t>
  </si>
  <si>
    <t>(FERC) CR side (Inc.) of AFUDC Debt</t>
  </si>
  <si>
    <t>B4.003754.02.E002</t>
  </si>
  <si>
    <t>(FERC) CR side (Inc.) of AFUDC Equity</t>
  </si>
  <si>
    <t>B4.003754.02.E001</t>
  </si>
  <si>
    <t>(FERC) Interest expense - above the line</t>
  </si>
  <si>
    <t>B4.003754.02.E003</t>
  </si>
  <si>
    <t>407.3-NEET NY Under Collection</t>
  </si>
  <si>
    <t>B4.005033.20.E013</t>
  </si>
  <si>
    <t>407.4-NEET NY Under Collection</t>
  </si>
  <si>
    <t>B4.005033.20.E007</t>
  </si>
  <si>
    <t>426 - Non-recoverable charges BTL</t>
  </si>
  <si>
    <t>B4.005033.20.E004</t>
  </si>
  <si>
    <t>B4.005033.20.E009</t>
  </si>
  <si>
    <t>560 - NY EE - Ops Superv &amp; Eng-FERC</t>
  </si>
  <si>
    <t>B4.005033.01.E013</t>
  </si>
  <si>
    <t>560-Ops-Operation superv &amp; Eng-FERC</t>
  </si>
  <si>
    <t>B4.005033.01.E001</t>
  </si>
  <si>
    <t>561.2  - NY EE - Ops Load Disp-FERC</t>
  </si>
  <si>
    <t>B4.005033.01.E014</t>
  </si>
  <si>
    <t>561.2-Load Disp-Mon&amp;Oper Trans Sys-FERC</t>
  </si>
  <si>
    <t>B4.005033.01.E002</t>
  </si>
  <si>
    <t>561.4-Sched-Syst Ctrl &amp; Disp Svcs-FERC</t>
  </si>
  <si>
    <t>B4.005033.01.E003</t>
  </si>
  <si>
    <t>561.5 - NY EE - LIPA Planning &amp; Dev-FERC</t>
  </si>
  <si>
    <t>B4.005033.01.E015</t>
  </si>
  <si>
    <t>561.5 NYC OSW Development Affiliate</t>
  </si>
  <si>
    <t>B4.005033.01.E017</t>
  </si>
  <si>
    <t>561.5-Affiliate-LIPA Planning &amp; Dev-FERC</t>
  </si>
  <si>
    <t>B4.005033.01.E016</t>
  </si>
  <si>
    <t>561.5-Affiliate-Reliab-Plan&amp;StrdDev-FERC</t>
  </si>
  <si>
    <t>B4.005033.01.E004</t>
  </si>
  <si>
    <t>561.8 - Reliab Planning &amp; Standards Deve</t>
  </si>
  <si>
    <t>B4.005033.01.E021</t>
  </si>
  <si>
    <t>562-Ops-Station Expense Major only-FERC</t>
  </si>
  <si>
    <t>B4.005033.01.E005</t>
  </si>
  <si>
    <t>567-O&amp;M Rents-FERC</t>
  </si>
  <si>
    <t>B4.005033.01.E007</t>
  </si>
  <si>
    <t>568-NY EE Maint. Supervision &amp; Eng-FERC</t>
  </si>
  <si>
    <t>B4.005033.01.E008</t>
  </si>
  <si>
    <t>570-Maint of Stat equip-Major only-FERC</t>
  </si>
  <si>
    <t>B4.005033.01.E010</t>
  </si>
  <si>
    <t>571-Maint. of Overhead lines-FERC</t>
  </si>
  <si>
    <t>B4.005033.01.E011</t>
  </si>
  <si>
    <t>920 - NY EE - A&amp;G Salaries-FERC</t>
  </si>
  <si>
    <t>B4.005033.10.E001</t>
  </si>
  <si>
    <t>921-Mgmt-Office Supplies &amp; Exp-FERC</t>
  </si>
  <si>
    <t>B4.005033.10.E002</t>
  </si>
  <si>
    <t>923-CSC-AMF Charges-FERC</t>
  </si>
  <si>
    <t>B4.005033.10.E004</t>
  </si>
  <si>
    <t>923-Mgmt-Outside services employed-FERC</t>
  </si>
  <si>
    <t>B4.005033.10.E003</t>
  </si>
  <si>
    <t>Alle Catt II Wind</t>
  </si>
  <si>
    <t>B4.005033.10.E010</t>
  </si>
  <si>
    <t>Amortization-FERC</t>
  </si>
  <si>
    <t>B4.005033.20.E008</t>
  </si>
  <si>
    <t>CONVERSION ONLY - DO NOT USE</t>
  </si>
  <si>
    <t>Z1.000009.00.5425</t>
  </si>
  <si>
    <t>Z2.236239.00.E000</t>
  </si>
  <si>
    <t>Deposit Income - 419F - FERC</t>
  </si>
  <si>
    <t>B4.005033.20.E003</t>
  </si>
  <si>
    <t>Depreciation-FERC</t>
  </si>
  <si>
    <t>B4.005033.20.E001</t>
  </si>
  <si>
    <t>Excess Liability - Policy Renewal</t>
  </si>
  <si>
    <t>C8.001133.48.E001</t>
  </si>
  <si>
    <t>FERC Debt Carrying Charge</t>
  </si>
  <si>
    <t>B4.003754.02.E006</t>
  </si>
  <si>
    <t>FERC Equity Carrying Charge</t>
  </si>
  <si>
    <t>B4.003754.02.E007</t>
  </si>
  <si>
    <t>FPL CSC- NEET NY</t>
  </si>
  <si>
    <t>B4.008008.01.E001</t>
  </si>
  <si>
    <t>Income Taxes - Current - Above FERC</t>
  </si>
  <si>
    <t>B4.003754.01.E007</t>
  </si>
  <si>
    <t>Income Taxes - Current - Above Line FERC</t>
  </si>
  <si>
    <t>B4.003754.01.E001</t>
  </si>
  <si>
    <t>Income Taxes - Current - Below FERC</t>
  </si>
  <si>
    <t>B4.003754.01.E008</t>
  </si>
  <si>
    <t>Income Taxes - Current - Below Line FERC</t>
  </si>
  <si>
    <t>B4.003754.01.E002</t>
  </si>
  <si>
    <t>Income Taxes # Def - Credit - Above FERC</t>
  </si>
  <si>
    <t>B4.003754.01.E005</t>
  </si>
  <si>
    <t>B4.003754.01.E012</t>
  </si>
  <si>
    <t>Income Taxes # Def - Debit - Above FERC</t>
  </si>
  <si>
    <t>B4.003754.01.E003</t>
  </si>
  <si>
    <t>B4.003754.01.E010</t>
  </si>
  <si>
    <t>Income Taxes # Def - Debit - Below FERC</t>
  </si>
  <si>
    <t>B4.003754.01.E004</t>
  </si>
  <si>
    <t>B4.003754.01.E009</t>
  </si>
  <si>
    <t>Interest on LT Debt- FERC</t>
  </si>
  <si>
    <t>B4.005033.20.E012</t>
  </si>
  <si>
    <t>New York - Shared Reciever</t>
  </si>
  <si>
    <t>B4.005033.10.E009</t>
  </si>
  <si>
    <t>Property Taxes-FERC</t>
  </si>
  <si>
    <t>B4.005033.20.E010</t>
  </si>
  <si>
    <t>Transmission Revenue - FERC</t>
  </si>
  <si>
    <t>B4.005033.20.R001</t>
  </si>
  <si>
    <t>Umbrella Liability-Policy Renewal</t>
  </si>
  <si>
    <t>C8.001133.41.E001</t>
  </si>
  <si>
    <t>US Auto-Policy Renewal</t>
  </si>
  <si>
    <t>C8.001133.44.E001</t>
  </si>
  <si>
    <t>US General Liability-Policy Renewal</t>
  </si>
  <si>
    <t>C8.001133.40.E001</t>
  </si>
  <si>
    <t>Workers Compensation-Policy Renewal</t>
  </si>
  <si>
    <t>C8.001133.43.E001</t>
  </si>
  <si>
    <t>Time-Year</t>
  </si>
  <si>
    <t>2025 Gross Plant</t>
  </si>
  <si>
    <t>PREPAID EXPENSES</t>
  </si>
  <si>
    <t>OTHER CURRENT ASSETS</t>
  </si>
  <si>
    <t>a-2023</t>
  </si>
  <si>
    <t>a-Jul - 2024</t>
  </si>
  <si>
    <t>B4.005033.01.E012: 561.5-NY EE-Ops reliability plan-FERC</t>
  </si>
  <si>
    <t>B4.005033.01.E019: 561.2  - NY EE - Ops Load Disp-FERC</t>
  </si>
  <si>
    <t>B4.005033.01.E020: 561.5 Upstate New York Affiliate</t>
  </si>
  <si>
    <t>B4.005990.01.D001: NNY External Financing Long-Term Debt</t>
  </si>
  <si>
    <t>P-5033-001-15: 561.5 - NY EE - LIPA Planning &amp; Dev-FERC</t>
  </si>
  <si>
    <t>B4.005033.10.E006: 925-Ops-Injuries and damages-FERC</t>
  </si>
  <si>
    <t>P-3808-001-05: Proj Mgmt ESL - NY Empl.</t>
  </si>
  <si>
    <t>P-5033-100-01: 920 - NY EE - A&amp;G Salaries-FERC</t>
  </si>
  <si>
    <t>P-5033-200-16: Amortization-FERC</t>
  </si>
  <si>
    <t>B4.003754.01.E011: Income Taxes # Def - Credit - Below FERC</t>
  </si>
  <si>
    <t>excludes non-recoverable</t>
  </si>
  <si>
    <t>check sb 0</t>
  </si>
  <si>
    <t>69d</t>
  </si>
  <si>
    <t>a-Aug - 2024</t>
  </si>
  <si>
    <t>B4.005033.01.E024: 566.1 - Ops-Misc. Excelsior Interconnect</t>
  </si>
  <si>
    <t>GL Rent Expense Facility</t>
  </si>
  <si>
    <t>2025 Development Spend</t>
  </si>
  <si>
    <t>2023 actuals / true-up</t>
  </si>
  <si>
    <t>3% inflation increase</t>
  </si>
  <si>
    <t>2024 estimate</t>
  </si>
  <si>
    <t>projected 2025</t>
  </si>
  <si>
    <t>2024 forecast</t>
  </si>
  <si>
    <t>2025 projection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</si>
</sst>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4">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quot;$&quot;#,##0.00"/>
    <numFmt numFmtId="165" formatCode="_(* #,##0_);_(* \(#,##0\);_(* &quot;-&quot;??_);_(@_)"/>
    <numFmt numFmtId="166" formatCode="_(* #,##0.0000_);_(* \(#,##0.0000\);_(* &quot;-&quot;??_);_(@_)"/>
    <numFmt numFmtId="167" formatCode="0.00000"/>
    <numFmt numFmtId="168" formatCode="#,##0.000"/>
    <numFmt numFmtId="169" formatCode="&quot;$&quot;#,##0.000"/>
    <numFmt numFmtId="170" formatCode="0.0000"/>
    <numFmt numFmtId="171" formatCode="0.000%"/>
    <numFmt numFmtId="172" formatCode="#,##0.0"/>
    <numFmt numFmtId="173" formatCode="#,##0.0000"/>
    <numFmt numFmtId="174" formatCode="#,##0.00000"/>
    <numFmt numFmtId="175" formatCode="_(* #,##0.000_);_(* \(#,##0.000\);_(* &quot;-&quot;??_);_(@_)"/>
    <numFmt numFmtId="176" formatCode="&quot;$&quot;#,##0"/>
    <numFmt numFmtId="177" formatCode="0.00000%"/>
    <numFmt numFmtId="178" formatCode="0.0%"/>
    <numFmt numFmtId="179" formatCode="0.000000%"/>
    <numFmt numFmtId="180" formatCode="_(* #,##0.00000_);_(* \(#,##0.00000\);_(* &quot;-&quot;??_);_(@_)"/>
    <numFmt numFmtId="181" formatCode="_(&quot;$&quot;* #,##0_);_(&quot;$&quot;* \(#,##0\);_(&quot;$&quot;* &quot;-&quot;??_);_(@_)"/>
    <numFmt numFmtId="182" formatCode="0.000000"/>
    <numFmt numFmtId="183" formatCode="mm/dd/yy;@"/>
    <numFmt numFmtId="184" formatCode="_(* #,##0.0_);_(* \(#,##0.0\);_(* &quot;-&quot;??_);_(@_)"/>
    <numFmt numFmtId="185" formatCode="_(* #,##0.0_);_(* \(#,##0.0\);_(* &quot;-&quot;?_);_(@_)"/>
    <numFmt numFmtId="186" formatCode="[$-409]mmm\-yy;@"/>
    <numFmt numFmtId="187" formatCode="###,000"/>
    <numFmt numFmtId="188" formatCode="&quot;[+] &quot;@"/>
    <numFmt numFmtId="189" formatCode="&quot;    [+] &quot;@"/>
    <numFmt numFmtId="190" formatCode="#,##0;\(#,##0\);#,##0"/>
    <numFmt numFmtId="191" formatCode="&quot;  [-] &quot;@"/>
    <numFmt numFmtId="192" formatCode="&quot;                 &quot;@"/>
    <numFmt numFmtId="193" formatCode="&quot;          [-] &quot;@"/>
    <numFmt numFmtId="194" formatCode="&quot;        [-] &quot;@"/>
    <numFmt numFmtId="195" formatCode="&quot;        [+] &quot;@"/>
    <numFmt numFmtId="196" formatCode="&quot;      [-] &quot;@"/>
    <numFmt numFmtId="197" formatCode="&quot;               &quot;@"/>
    <numFmt numFmtId="198" formatCode="&quot;    [-] &quot;@"/>
    <numFmt numFmtId="199" formatCode="&quot;[-] &quot;@"/>
    <numFmt numFmtId="200" formatCode="&quot;      [+] &quot;@"/>
    <numFmt numFmtId="201" formatCode="&quot;     &quot;@"/>
    <numFmt numFmtId="202" formatCode="#,##0_);[Red]\(#,##0\);&quot; &quot;"/>
    <numFmt numFmtId="203" formatCode="[&gt;=0]#,##0;[&lt;0]\(#,##0\)"/>
  </numFmts>
  <fonts count="105">
    <font>
      <sz val="12"/>
      <name val="Arial MT"/>
    </font>
    <font>
      <sz val="11"/>
      <color theme="1"/>
      <name val="Calibri"/>
      <family val="2"/>
      <scheme val="minor"/>
    </font>
    <font>
      <sz val="11"/>
      <color theme="1"/>
      <name val="Calibri"/>
      <family val="2"/>
      <scheme val="minor"/>
    </font>
    <font>
      <sz val="11"/>
      <color theme="1"/>
      <name val="Calibri"/>
      <family val="2"/>
      <scheme val="minor"/>
    </font>
    <font>
      <sz val="12"/>
      <name val="Arial MT"/>
    </font>
    <font>
      <sz val="12"/>
      <name val="Arial"/>
      <family val="2"/>
    </font>
    <font>
      <strike/>
      <sz val="12"/>
      <color indexed="10"/>
      <name val="Arial"/>
      <family val="2"/>
    </font>
    <font>
      <b/>
      <sz val="12"/>
      <name val="Calibri"/>
      <family val="2"/>
    </font>
    <font>
      <sz val="10"/>
      <name val="Arial"/>
      <family val="2"/>
    </font>
    <font>
      <strike/>
      <sz val="12"/>
      <color indexed="10"/>
      <name val="Arial MT"/>
    </font>
    <font>
      <sz val="12"/>
      <color indexed="12"/>
      <name val="Arial MT"/>
    </font>
    <font>
      <sz val="12"/>
      <color indexed="12"/>
      <name val="Arial"/>
      <family val="2"/>
    </font>
    <font>
      <b/>
      <sz val="12"/>
      <name val="Arial"/>
      <family val="2"/>
    </font>
    <font>
      <sz val="11"/>
      <name val="Arial"/>
      <family val="2"/>
    </font>
    <font>
      <b/>
      <sz val="12"/>
      <color rgb="FF7030A0"/>
      <name val="Arial"/>
      <family val="2"/>
    </font>
    <font>
      <sz val="12"/>
      <name val="Arial Narrow"/>
      <family val="2"/>
    </font>
    <font>
      <b/>
      <u/>
      <sz val="12"/>
      <name val="Arial"/>
      <family val="2"/>
    </font>
    <font>
      <sz val="12"/>
      <color indexed="10"/>
      <name val="Arial"/>
      <family val="2"/>
    </font>
    <font>
      <sz val="10"/>
      <name val="Arial MT"/>
    </font>
    <font>
      <sz val="12"/>
      <name val="Times New Roman"/>
      <family val="1"/>
    </font>
    <font>
      <sz val="14"/>
      <name val="Arial MT"/>
    </font>
    <font>
      <sz val="14"/>
      <name val="Arial"/>
      <family val="2"/>
    </font>
    <font>
      <sz val="14"/>
      <name val="Times New Roman"/>
      <family val="1"/>
    </font>
    <font>
      <sz val="14"/>
      <name val="Arial Narrow"/>
      <family val="2"/>
    </font>
    <font>
      <sz val="14"/>
      <color rgb="FFFF0000"/>
      <name val="Arial Narrow"/>
      <family val="2"/>
    </font>
    <font>
      <b/>
      <sz val="14"/>
      <color rgb="FF7030A0"/>
      <name val="Arial Narrow"/>
      <family val="2"/>
    </font>
    <font>
      <b/>
      <sz val="14"/>
      <color rgb="FFFF0000"/>
      <name val="Arial Narrow"/>
      <family val="2"/>
    </font>
    <font>
      <sz val="14"/>
      <name val="Helv"/>
    </font>
    <font>
      <b/>
      <sz val="12"/>
      <name val="Arial Narrow"/>
      <family val="2"/>
    </font>
    <font>
      <sz val="12"/>
      <color indexed="10"/>
      <name val="Arial Narrow"/>
      <family val="2"/>
    </font>
    <font>
      <sz val="10"/>
      <color indexed="10"/>
      <name val="Arial"/>
      <family val="2"/>
    </font>
    <font>
      <u/>
      <sz val="12"/>
      <name val="Arial Narrow"/>
      <family val="2"/>
    </font>
    <font>
      <b/>
      <sz val="14"/>
      <name val="Arial"/>
      <family val="2"/>
    </font>
    <font>
      <b/>
      <sz val="14"/>
      <color rgb="FF7030A0"/>
      <name val="Arial"/>
      <family val="2"/>
    </font>
    <font>
      <b/>
      <sz val="12"/>
      <color indexed="10"/>
      <name val="Arial Narrow"/>
      <family val="2"/>
    </font>
    <font>
      <sz val="10"/>
      <color rgb="FF7030A0"/>
      <name val="Arial"/>
      <family val="2"/>
    </font>
    <font>
      <b/>
      <u/>
      <sz val="12"/>
      <name val="Arial Narrow"/>
      <family val="2"/>
    </font>
    <font>
      <b/>
      <sz val="10"/>
      <color indexed="10"/>
      <name val="Arial"/>
      <family val="2"/>
    </font>
    <font>
      <sz val="12"/>
      <color indexed="12"/>
      <name val="Arial Narrow"/>
      <family val="2"/>
    </font>
    <font>
      <i/>
      <sz val="10"/>
      <color rgb="FF7030A0"/>
      <name val="Arial"/>
      <family val="2"/>
    </font>
    <font>
      <b/>
      <sz val="10"/>
      <name val="Arial"/>
      <family val="2"/>
    </font>
    <font>
      <sz val="10"/>
      <color indexed="12"/>
      <name val="Arial"/>
      <family val="2"/>
    </font>
    <font>
      <b/>
      <sz val="12"/>
      <color rgb="FFFF0000"/>
      <name val="Arial MT"/>
    </font>
    <font>
      <sz val="10"/>
      <name val="Times New Roman"/>
      <family val="1"/>
    </font>
    <font>
      <sz val="10"/>
      <color indexed="40"/>
      <name val="Times New Roman"/>
      <family val="1"/>
    </font>
    <font>
      <sz val="12"/>
      <color theme="1"/>
      <name val="Times New Roman"/>
      <family val="1"/>
    </font>
    <font>
      <sz val="8"/>
      <color theme="1"/>
      <name val="Arial"/>
      <family val="2"/>
    </font>
    <font>
      <b/>
      <sz val="10"/>
      <color rgb="FFFF0000"/>
      <name val="Arial"/>
      <family val="2"/>
    </font>
    <font>
      <sz val="11"/>
      <name val="Calibri"/>
      <family val="2"/>
      <scheme val="minor"/>
    </font>
    <font>
      <sz val="11"/>
      <color rgb="FF1F497D"/>
      <name val="Calibri"/>
      <family val="2"/>
    </font>
    <font>
      <b/>
      <sz val="10"/>
      <color indexed="8"/>
      <name val="Arial"/>
      <family val="2"/>
    </font>
    <font>
      <b/>
      <sz val="10"/>
      <name val="Arial Narrow"/>
      <family val="2"/>
    </font>
    <font>
      <sz val="10"/>
      <name val="Arial Narrow"/>
      <family val="2"/>
    </font>
    <font>
      <sz val="13"/>
      <name val="Times New Roman"/>
      <family val="1"/>
    </font>
    <font>
      <b/>
      <u/>
      <sz val="10"/>
      <name val="Arial"/>
      <family val="2"/>
    </font>
    <font>
      <sz val="11"/>
      <name val="Times New Roman"/>
      <family val="1"/>
    </font>
    <font>
      <b/>
      <sz val="10"/>
      <name val="Times New Roman"/>
      <family val="1"/>
    </font>
    <font>
      <b/>
      <sz val="12"/>
      <color rgb="FFFF0000"/>
      <name val="Arial Narrow"/>
      <family val="2"/>
    </font>
    <font>
      <sz val="12"/>
      <color rgb="FF7030A0"/>
      <name val="Times New Roman"/>
      <family val="1"/>
    </font>
    <font>
      <b/>
      <sz val="12"/>
      <name val="Times New Roman"/>
      <family val="1"/>
    </font>
    <font>
      <u/>
      <sz val="12"/>
      <name val="Times New Roman"/>
      <family val="1"/>
    </font>
    <font>
      <b/>
      <sz val="12"/>
      <name val="Arial MT"/>
    </font>
    <font>
      <vertAlign val="superscript"/>
      <sz val="12"/>
      <color theme="1"/>
      <name val="Times New Roman"/>
      <family val="1"/>
    </font>
    <font>
      <sz val="11"/>
      <color indexed="8"/>
      <name val="Arial Narrow"/>
      <family val="2"/>
    </font>
    <font>
      <sz val="10"/>
      <color rgb="FF0000FF"/>
      <name val="Arial"/>
      <family val="2"/>
    </font>
    <font>
      <sz val="12"/>
      <color theme="1"/>
      <name val="Calibri"/>
      <family val="2"/>
      <scheme val="minor"/>
    </font>
    <font>
      <sz val="12"/>
      <color theme="1"/>
      <name val="Arial Narrow"/>
      <family val="2"/>
    </font>
    <font>
      <strike/>
      <sz val="10"/>
      <color rgb="FFFF0000"/>
      <name val="Times New Roman"/>
      <family val="1"/>
    </font>
    <font>
      <b/>
      <sz val="10"/>
      <color rgb="FFFF0000"/>
      <name val="Times New Roman"/>
      <family val="1"/>
    </font>
    <font>
      <sz val="12"/>
      <color rgb="FFFF0000"/>
      <name val="Arial MT"/>
    </font>
    <font>
      <b/>
      <sz val="12"/>
      <color rgb="FFFF0000"/>
      <name val="Arial"/>
      <family val="2"/>
    </font>
    <font>
      <sz val="12"/>
      <color indexed="8"/>
      <name val="Arial Narrow"/>
      <family val="2"/>
    </font>
    <font>
      <b/>
      <sz val="12"/>
      <color indexed="8"/>
      <name val="Arial Narrow"/>
      <family val="2"/>
    </font>
    <font>
      <sz val="11"/>
      <color theme="1"/>
      <name val="Garamond"/>
      <family val="1"/>
    </font>
    <font>
      <sz val="11"/>
      <name val="Garamond"/>
      <family val="1"/>
    </font>
    <font>
      <sz val="11"/>
      <color rgb="FFFF0000"/>
      <name val="Garamond"/>
      <family val="1"/>
    </font>
    <font>
      <sz val="10"/>
      <color theme="1"/>
      <name val="Arial"/>
      <family val="2"/>
    </font>
    <font>
      <sz val="10"/>
      <color rgb="FFFF0000"/>
      <name val="Arial"/>
      <family val="2"/>
    </font>
    <font>
      <sz val="12"/>
      <color rgb="FFFF0000"/>
      <name val="Arial Narrow"/>
      <family val="2"/>
    </font>
    <font>
      <sz val="11"/>
      <name val="Arial Narrow"/>
      <family val="2"/>
    </font>
    <font>
      <b/>
      <sz val="9"/>
      <name val="Arial"/>
      <family val="2"/>
    </font>
    <font>
      <sz val="9"/>
      <color theme="1"/>
      <name val="Arial"/>
      <family val="2"/>
    </font>
    <font>
      <b/>
      <sz val="9"/>
      <color theme="1"/>
      <name val="Arial"/>
      <family val="2"/>
    </font>
    <font>
      <sz val="9"/>
      <name val="Arial"/>
      <family val="2"/>
    </font>
    <font>
      <vertAlign val="subscript"/>
      <sz val="12"/>
      <name val="Arial"/>
      <family val="2"/>
    </font>
    <font>
      <b/>
      <sz val="16"/>
      <color rgb="FFFF0000"/>
      <name val="Times New Roman"/>
      <family val="1"/>
    </font>
    <font>
      <b/>
      <sz val="8"/>
      <color rgb="FF1F497D"/>
      <name val="Verdana"/>
      <family val="2"/>
    </font>
    <font>
      <sz val="8"/>
      <color rgb="FF1F497D"/>
      <name val="Verdana"/>
      <family val="2"/>
    </font>
    <font>
      <sz val="8"/>
      <color rgb="FF000000"/>
      <name val="Verdana"/>
      <family val="2"/>
    </font>
    <font>
      <b/>
      <sz val="8"/>
      <color rgb="FF00CC00"/>
      <name val="Verdana"/>
      <family val="2"/>
    </font>
    <font>
      <b/>
      <sz val="8"/>
      <color rgb="FF33CC33"/>
      <name val="Verdana"/>
      <family val="2"/>
    </font>
    <font>
      <b/>
      <sz val="8"/>
      <color rgb="FFFF9900"/>
      <name val="Verdana"/>
      <family val="2"/>
    </font>
    <font>
      <b/>
      <sz val="8"/>
      <color rgb="FFFF0000"/>
      <name val="Verdana"/>
      <family val="2"/>
    </font>
    <font>
      <sz val="8"/>
      <color rgb="FF000000"/>
      <name val="Arial"/>
      <family val="2"/>
    </font>
    <font>
      <sz val="8"/>
      <color rgb="FFDBE5F1"/>
      <name val="Verdana"/>
      <family val="2"/>
    </font>
    <font>
      <i/>
      <sz val="8"/>
      <color rgb="FF000000"/>
      <name val="Verdana"/>
      <family val="2"/>
    </font>
    <font>
      <b/>
      <i/>
      <sz val="8"/>
      <color rgb="FF000000"/>
      <name val="Verdana"/>
      <family val="2"/>
    </font>
    <font>
      <b/>
      <i/>
      <sz val="8"/>
      <color rgb="FF1F497D"/>
      <name val="Verdana"/>
      <family val="2"/>
    </font>
    <font>
      <i/>
      <sz val="8"/>
      <color rgb="FF1F497D"/>
      <name val="Verdana"/>
      <family val="2"/>
    </font>
    <font>
      <sz val="11"/>
      <color indexed="8"/>
      <name val="Calibri"/>
      <family val="2"/>
      <scheme val="minor"/>
    </font>
    <font>
      <b/>
      <sz val="9"/>
      <name val="Calibri"/>
      <family val="2"/>
    </font>
    <font>
      <sz val="9"/>
      <name val="Calibri"/>
      <family val="2"/>
    </font>
    <font>
      <b/>
      <sz val="9"/>
      <color rgb="FF0066FF"/>
      <name val="Calibri"/>
      <family val="2"/>
    </font>
    <font>
      <b/>
      <sz val="11"/>
      <name val="Arial MT"/>
    </font>
    <font>
      <sz val="11"/>
      <name val="Arial MT"/>
    </font>
  </fonts>
  <fills count="34">
    <fill>
      <patternFill patternType="none"/>
    </fill>
    <fill>
      <patternFill patternType="gray125"/>
    </fill>
    <fill>
      <patternFill patternType="solid">
        <fgColor rgb="FFFFFF99"/>
        <bgColor indexed="64"/>
      </patternFill>
    </fill>
    <fill>
      <patternFill patternType="solid">
        <fgColor indexed="43"/>
        <bgColor indexed="64"/>
      </patternFill>
    </fill>
    <fill>
      <patternFill patternType="solid">
        <fgColor rgb="FFFFFF00"/>
        <bgColor indexed="64"/>
      </patternFill>
    </fill>
    <fill>
      <patternFill patternType="solid">
        <fgColor rgb="FFFFFFCC"/>
        <bgColor indexed="64"/>
      </patternFill>
    </fill>
    <fill>
      <patternFill patternType="solid">
        <fgColor indexed="10"/>
        <bgColor indexed="64"/>
      </patternFill>
    </fill>
    <fill>
      <patternFill patternType="solid">
        <fgColor indexed="13"/>
        <bgColor indexed="64"/>
      </patternFill>
    </fill>
    <fill>
      <patternFill patternType="solid">
        <fgColor rgb="FF66CCFF"/>
        <bgColor indexed="64"/>
      </patternFill>
    </fill>
    <fill>
      <patternFill patternType="solid">
        <fgColor rgb="FFFFC000"/>
        <bgColor indexed="64"/>
      </patternFill>
    </fill>
    <fill>
      <patternFill patternType="solid">
        <fgColor theme="0"/>
        <bgColor indexed="64"/>
      </patternFill>
    </fill>
    <fill>
      <patternFill patternType="solid">
        <fgColor theme="9" tint="0.79998168889431442"/>
        <bgColor indexed="64"/>
      </patternFill>
    </fill>
    <fill>
      <patternFill patternType="solid">
        <fgColor rgb="FFDBE5F1"/>
        <bgColor rgb="FF000000"/>
      </patternFill>
    </fill>
    <fill>
      <patternFill patternType="solid">
        <fgColor rgb="FFDBE5F1"/>
        <bgColor rgb="FFFFFFFF"/>
      </patternFill>
    </fill>
    <fill>
      <patternFill patternType="solid">
        <fgColor rgb="FFFFFFFF"/>
        <bgColor rgb="FF000000"/>
      </patternFill>
    </fill>
    <fill>
      <patternFill patternType="solid">
        <fgColor rgb="FFF1F5FB"/>
        <bgColor rgb="FF000000"/>
      </patternFill>
    </fill>
    <fill>
      <patternFill patternType="solid">
        <fgColor rgb="FFE9EFF7"/>
        <bgColor rgb="FF000000"/>
      </patternFill>
    </fill>
    <fill>
      <patternFill patternType="solid">
        <fgColor rgb="FFC6F9C1"/>
        <bgColor rgb="FF000000"/>
      </patternFill>
    </fill>
    <fill>
      <patternFill patternType="solid">
        <fgColor rgb="FFABEDA5"/>
        <bgColor rgb="FF000000"/>
      </patternFill>
    </fill>
    <fill>
      <patternFill patternType="solid">
        <fgColor rgb="FF94D88F"/>
        <bgColor rgb="FF000000"/>
      </patternFill>
    </fill>
    <fill>
      <patternFill patternType="solid">
        <fgColor rgb="FFFFFDBF"/>
        <bgColor rgb="FF000000"/>
      </patternFill>
    </fill>
    <fill>
      <patternFill patternType="solid">
        <fgColor rgb="FFFFFB8C"/>
        <bgColor rgb="FF000000"/>
      </patternFill>
    </fill>
    <fill>
      <patternFill patternType="solid">
        <fgColor rgb="FFFFF843"/>
        <bgColor rgb="FF000000"/>
      </patternFill>
    </fill>
    <fill>
      <patternFill patternType="solid">
        <fgColor rgb="FFFFC7CE"/>
        <bgColor rgb="FF000000"/>
      </patternFill>
    </fill>
    <fill>
      <patternFill patternType="solid">
        <fgColor rgb="FFFF988C"/>
        <bgColor rgb="FF000000"/>
      </patternFill>
    </fill>
    <fill>
      <patternFill patternType="solid">
        <fgColor rgb="FFFF6758"/>
        <bgColor rgb="FF000000"/>
      </patternFill>
    </fill>
    <fill>
      <patternFill patternType="solid">
        <fgColor rgb="FFB7CFE8"/>
        <bgColor rgb="FF000000"/>
      </patternFill>
    </fill>
    <fill>
      <patternFill patternType="solid">
        <fgColor rgb="FFC3D6EB"/>
        <bgColor rgb="FF000000"/>
      </patternFill>
    </fill>
    <fill>
      <patternFill patternType="solid">
        <fgColor rgb="FFDBE5F2"/>
        <bgColor rgb="FF000000"/>
      </patternFill>
    </fill>
    <fill>
      <patternFill patternType="solid">
        <fgColor rgb="FFFFFF00"/>
        <bgColor rgb="FF000000"/>
      </patternFill>
    </fill>
    <fill>
      <patternFill patternType="solid">
        <fgColor rgb="FFFFFF00"/>
        <bgColor rgb="FFFFFFFF"/>
      </patternFill>
    </fill>
    <fill>
      <patternFill patternType="solid">
        <fgColor theme="7" tint="0.79998168889431442"/>
        <bgColor indexed="64"/>
      </patternFill>
    </fill>
    <fill>
      <patternFill patternType="solid">
        <fgColor theme="5" tint="0.79998168889431442"/>
        <bgColor indexed="64"/>
      </patternFill>
    </fill>
    <fill>
      <patternFill patternType="solid">
        <fgColor theme="8" tint="0.79998168889431442"/>
        <bgColor indexed="64"/>
      </patternFill>
    </fill>
  </fills>
  <borders count="74">
    <border>
      <left/>
      <right/>
      <top/>
      <bottom/>
      <diagonal/>
    </border>
    <border>
      <left/>
      <right/>
      <top/>
      <bottom style="medium">
        <color indexed="64"/>
      </bottom>
      <diagonal/>
    </border>
    <border>
      <left/>
      <right/>
      <top/>
      <bottom style="double">
        <color indexed="64"/>
      </bottom>
      <diagonal/>
    </border>
    <border>
      <left/>
      <right/>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style="thin">
        <color indexed="22"/>
      </left>
      <right style="thin">
        <color indexed="22"/>
      </right>
      <top style="thin">
        <color indexed="22"/>
      </top>
      <bottom style="thin">
        <color indexed="22"/>
      </bottom>
      <diagonal/>
    </border>
    <border>
      <left style="thin">
        <color indexed="22"/>
      </left>
      <right style="thin">
        <color indexed="22"/>
      </right>
      <top style="thin">
        <color indexed="22"/>
      </top>
      <bottom/>
      <diagonal/>
    </border>
    <border>
      <left style="thin">
        <color indexed="22"/>
      </left>
      <right style="medium">
        <color indexed="64"/>
      </right>
      <top/>
      <bottom/>
      <diagonal/>
    </border>
    <border>
      <left style="thin">
        <color indexed="22"/>
      </left>
      <right/>
      <top style="thin">
        <color indexed="22"/>
      </top>
      <bottom style="thin">
        <color indexed="22"/>
      </bottom>
      <diagonal/>
    </border>
    <border>
      <left style="medium">
        <color indexed="64"/>
      </left>
      <right style="medium">
        <color indexed="64"/>
      </right>
      <top style="medium">
        <color indexed="64"/>
      </top>
      <bottom style="medium">
        <color indexed="64"/>
      </bottom>
      <diagonal/>
    </border>
    <border>
      <left style="thin">
        <color indexed="22"/>
      </left>
      <right/>
      <top style="thin">
        <color indexed="22"/>
      </top>
      <bottom style="thin">
        <color indexed="64"/>
      </bottom>
      <diagonal/>
    </border>
    <border>
      <left style="thin">
        <color indexed="22"/>
      </left>
      <right/>
      <top/>
      <bottom style="thin">
        <color indexed="22"/>
      </bottom>
      <diagonal/>
    </border>
    <border>
      <left/>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diagonal/>
    </border>
    <border>
      <left style="medium">
        <color indexed="64"/>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style="thin">
        <color indexed="64"/>
      </top>
      <bottom/>
      <diagonal/>
    </border>
    <border>
      <left style="medium">
        <color indexed="64"/>
      </left>
      <right/>
      <top style="thin">
        <color indexed="64"/>
      </top>
      <bottom/>
      <diagonal/>
    </border>
    <border>
      <left/>
      <right/>
      <top/>
      <bottom style="thin">
        <color auto="1"/>
      </bottom>
      <diagonal/>
    </border>
    <border>
      <left style="thin">
        <color theme="3" tint="-0.24994659260841701"/>
      </left>
      <right style="thin">
        <color theme="3" tint="-0.24994659260841701"/>
      </right>
      <top style="thin">
        <color theme="3" tint="-0.24994659260841701"/>
      </top>
      <bottom style="thin">
        <color theme="3" tint="-0.24994659260841701"/>
      </bottom>
      <diagonal/>
    </border>
    <border>
      <left style="thin">
        <color theme="3" tint="0.59996337778862885"/>
      </left>
      <right style="thin">
        <color theme="3" tint="0.59996337778862885"/>
      </right>
      <top style="thin">
        <color theme="3" tint="0.59996337778862885"/>
      </top>
      <bottom style="thin">
        <color theme="3" tint="0.59996337778862885"/>
      </bottom>
      <diagonal/>
    </border>
    <border>
      <left style="thin">
        <color rgb="FF808080"/>
      </left>
      <right style="thin">
        <color rgb="FF808080"/>
      </right>
      <top style="thin">
        <color rgb="FF808080"/>
      </top>
      <bottom style="thin">
        <color rgb="FF808080"/>
      </bottom>
      <diagonal/>
    </border>
    <border>
      <left style="hair">
        <color rgb="FFC0C0C0"/>
      </left>
      <right style="hair">
        <color rgb="FFC0C0C0"/>
      </right>
      <top style="thin">
        <color rgb="FF808080"/>
      </top>
      <bottom style="thin">
        <color rgb="FF808080"/>
      </bottom>
      <diagonal/>
    </border>
    <border>
      <left style="medium">
        <color rgb="FFFF0000"/>
      </left>
      <right style="medium">
        <color rgb="FFFF0000"/>
      </right>
      <top style="medium">
        <color rgb="FFFF0000"/>
      </top>
      <bottom style="medium">
        <color rgb="FFFF0000"/>
      </bottom>
      <diagonal/>
    </border>
    <border>
      <left style="thin">
        <color rgb="FF000000"/>
      </left>
      <right style="thin">
        <color rgb="FF000000"/>
      </right>
      <top style="thin">
        <color rgb="FF000000"/>
      </top>
      <bottom style="thin">
        <color rgb="FF000000"/>
      </bottom>
      <diagonal/>
    </border>
    <border>
      <left style="thin">
        <color rgb="FF808080"/>
      </left>
      <right style="thin">
        <color rgb="FF808080"/>
      </right>
      <top style="thin">
        <color rgb="FF808080"/>
      </top>
      <bottom style="thin">
        <color theme="3" tint="-0.24994659260841701"/>
      </bottom>
      <diagonal/>
    </border>
    <border>
      <left style="thin">
        <color theme="3" tint="-0.24994659260841701"/>
      </left>
      <right style="thin">
        <color rgb="FF808080"/>
      </right>
      <top style="thin">
        <color rgb="FF808080"/>
      </top>
      <bottom style="thin">
        <color rgb="FF808080"/>
      </bottom>
      <diagonal/>
    </border>
    <border>
      <left style="thin">
        <color theme="3" tint="-0.24994659260841701"/>
      </left>
      <right style="thin">
        <color rgb="FF808080"/>
      </right>
      <top style="thin">
        <color rgb="FF808080"/>
      </top>
      <bottom style="thin">
        <color theme="3" tint="-0.24994659260841701"/>
      </bottom>
      <diagonal/>
    </border>
    <border>
      <left style="thin">
        <color theme="3" tint="0.59996337778862885"/>
      </left>
      <right style="thin">
        <color theme="3" tint="-0.24994659260841701"/>
      </right>
      <top style="thin">
        <color theme="3" tint="0.59996337778862885"/>
      </top>
      <bottom style="thin">
        <color theme="3" tint="0.59996337778862885"/>
      </bottom>
      <diagonal/>
    </border>
    <border>
      <left style="thin">
        <color rgb="FF808080"/>
      </left>
      <right style="thin">
        <color theme="3" tint="-0.24994659260841701"/>
      </right>
      <top style="thin">
        <color rgb="FF808080"/>
      </top>
      <bottom style="thin">
        <color theme="3" tint="-0.24994659260841701"/>
      </bottom>
      <diagonal/>
    </border>
    <border>
      <left/>
      <right/>
      <top style="medium">
        <color indexed="8"/>
      </top>
      <bottom/>
      <diagonal/>
    </border>
    <border>
      <left style="medium">
        <color indexed="8"/>
      </left>
      <right style="medium">
        <color indexed="8"/>
      </right>
      <top style="medium">
        <color indexed="8"/>
      </top>
      <bottom style="medium">
        <color indexed="8"/>
      </bottom>
      <diagonal/>
    </border>
    <border>
      <left/>
      <right/>
      <top style="medium">
        <color indexed="8"/>
      </top>
      <bottom style="double">
        <color indexed="8"/>
      </bottom>
      <diagonal/>
    </border>
    <border>
      <left style="thin">
        <color theme="3" tint="0.59996337778862885"/>
      </left>
      <right style="thin">
        <color theme="3" tint="0.59996337778862885"/>
      </right>
      <top style="thin">
        <color theme="3" tint="0.59996337778862885"/>
      </top>
      <bottom style="thin">
        <color theme="3" tint="-0.24994659260841701"/>
      </bottom>
      <diagonal/>
    </border>
    <border>
      <left style="thin">
        <color rgb="FF808080"/>
      </left>
      <right style="thin">
        <color theme="3" tint="-0.24994659260841701"/>
      </right>
      <top style="thin">
        <color rgb="FF808080"/>
      </top>
      <bottom style="thin">
        <color rgb="FF808080"/>
      </bottom>
      <diagonal/>
    </border>
    <border>
      <left/>
      <right/>
      <top style="thin">
        <color auto="1"/>
      </top>
      <bottom style="double">
        <color auto="1"/>
      </bottom>
      <diagonal/>
    </border>
    <border>
      <left/>
      <right/>
      <top style="thin">
        <color auto="1"/>
      </top>
      <bottom style="thin">
        <color auto="1"/>
      </bottom>
      <diagonal/>
    </border>
    <border>
      <left/>
      <right/>
      <top style="thin">
        <color auto="1"/>
      </top>
      <bottom style="medium">
        <color auto="1"/>
      </bottom>
      <diagonal/>
    </border>
  </borders>
  <cellStyleXfs count="107">
    <xf numFmtId="164" fontId="0" fillId="0" borderId="0" applyProtection="0"/>
    <xf numFmtId="43" fontId="8" fillId="0" borderId="0" applyFont="0" applyFill="0" applyBorder="0" applyAlignment="0" applyProtection="0"/>
    <xf numFmtId="41" fontId="8" fillId="0" borderId="0" applyFont="0" applyFill="0" applyBorder="0" applyAlignment="0" applyProtection="0"/>
    <xf numFmtId="44" fontId="8" fillId="0" borderId="0" applyFont="0" applyFill="0" applyBorder="0" applyAlignment="0" applyProtection="0"/>
    <xf numFmtId="9" fontId="8" fillId="0" borderId="0" applyFont="0" applyFill="0" applyBorder="0" applyAlignment="0" applyProtection="0"/>
    <xf numFmtId="0" fontId="4" fillId="0" borderId="0" applyProtection="0"/>
    <xf numFmtId="164" fontId="4" fillId="0" borderId="0" applyProtection="0"/>
    <xf numFmtId="0" fontId="3" fillId="0" borderId="0"/>
    <xf numFmtId="0" fontId="8" fillId="0" borderId="0"/>
    <xf numFmtId="43" fontId="8" fillId="0" borderId="0" applyFont="0" applyFill="0" applyBorder="0" applyAlignment="0" applyProtection="0"/>
    <xf numFmtId="0" fontId="3" fillId="0" borderId="0"/>
    <xf numFmtId="9" fontId="8" fillId="0" borderId="0" applyFont="0" applyFill="0" applyBorder="0" applyAlignment="0" applyProtection="0"/>
    <xf numFmtId="0" fontId="55" fillId="0" borderId="0"/>
    <xf numFmtId="164" fontId="4" fillId="0" borderId="0" applyProtection="0"/>
    <xf numFmtId="0" fontId="3" fillId="0" borderId="0"/>
    <xf numFmtId="0" fontId="8" fillId="0" borderId="0"/>
    <xf numFmtId="164" fontId="4" fillId="0" borderId="0" applyProtection="0"/>
    <xf numFmtId="0" fontId="8" fillId="0" borderId="0"/>
    <xf numFmtId="0" fontId="63" fillId="0" borderId="0"/>
    <xf numFmtId="0" fontId="3" fillId="0" borderId="0"/>
    <xf numFmtId="0" fontId="8" fillId="0" borderId="0"/>
    <xf numFmtId="164" fontId="4" fillId="0" borderId="0" applyProtection="0"/>
    <xf numFmtId="0" fontId="4" fillId="0" borderId="0" applyProtection="0"/>
    <xf numFmtId="9" fontId="76" fillId="0" borderId="0" applyFont="0" applyFill="0" applyBorder="0" applyAlignment="0" applyProtection="0"/>
    <xf numFmtId="43" fontId="76" fillId="0" borderId="0" applyFont="0" applyFill="0" applyBorder="0" applyAlignment="0" applyProtection="0"/>
    <xf numFmtId="0" fontId="8" fillId="0" borderId="0"/>
    <xf numFmtId="43" fontId="3" fillId="0" borderId="0" applyFont="0" applyFill="0" applyBorder="0" applyAlignment="0" applyProtection="0"/>
    <xf numFmtId="9" fontId="8" fillId="0" borderId="0" applyFont="0" applyFill="0" applyBorder="0" applyAlignment="0" applyProtection="0"/>
    <xf numFmtId="0" fontId="8" fillId="0" borderId="0"/>
    <xf numFmtId="164" fontId="4" fillId="0" borderId="0" applyProtection="0"/>
    <xf numFmtId="0" fontId="3" fillId="0" borderId="0"/>
    <xf numFmtId="164" fontId="4" fillId="0" borderId="0" applyProtection="0"/>
    <xf numFmtId="43" fontId="3"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86" fillId="12" borderId="55" applyNumberFormat="0" applyAlignment="0" applyProtection="0">
      <alignment horizontal="left" vertical="center" indent="1"/>
    </xf>
    <xf numFmtId="187" fontId="87" fillId="0" borderId="56" applyNumberFormat="0" applyProtection="0">
      <alignment horizontal="right" vertical="center"/>
    </xf>
    <xf numFmtId="187" fontId="86" fillId="0" borderId="57" applyNumberFormat="0" applyProtection="0">
      <alignment horizontal="right" vertical="center"/>
    </xf>
    <xf numFmtId="187" fontId="87" fillId="13" borderId="55" applyNumberFormat="0" applyAlignment="0" applyProtection="0">
      <alignment horizontal="left" vertical="center" indent="1"/>
    </xf>
    <xf numFmtId="0" fontId="88" fillId="14" borderId="57" applyNumberFormat="0" applyAlignment="0">
      <alignment horizontal="left" vertical="center" indent="1"/>
      <protection locked="0"/>
    </xf>
    <xf numFmtId="0" fontId="88" fillId="15" borderId="57" applyNumberFormat="0" applyAlignment="0" applyProtection="0">
      <alignment horizontal="left" vertical="center" indent="1"/>
    </xf>
    <xf numFmtId="187" fontId="87" fillId="16" borderId="56" applyNumberFormat="0" applyBorder="0">
      <alignment horizontal="right" vertical="center"/>
      <protection locked="0"/>
    </xf>
    <xf numFmtId="0" fontId="88" fillId="14" borderId="57" applyNumberFormat="0" applyAlignment="0">
      <alignment horizontal="left" vertical="center" indent="1"/>
      <protection locked="0"/>
    </xf>
    <xf numFmtId="187" fontId="86" fillId="15" borderId="57" applyNumberFormat="0" applyProtection="0">
      <alignment horizontal="right" vertical="center"/>
    </xf>
    <xf numFmtId="187" fontId="86" fillId="16" borderId="57" applyNumberFormat="0" applyBorder="0">
      <alignment horizontal="right" vertical="center"/>
      <protection locked="0"/>
    </xf>
    <xf numFmtId="187" fontId="89" fillId="17" borderId="58" applyNumberFormat="0" applyBorder="0" applyAlignment="0" applyProtection="0">
      <alignment horizontal="right" vertical="center" indent="1"/>
    </xf>
    <xf numFmtId="187" fontId="90" fillId="18" borderId="58" applyNumberFormat="0" applyBorder="0" applyAlignment="0" applyProtection="0">
      <alignment horizontal="right" vertical="center" indent="1"/>
    </xf>
    <xf numFmtId="187" fontId="90" fillId="19" borderId="58" applyNumberFormat="0" applyBorder="0" applyAlignment="0" applyProtection="0">
      <alignment horizontal="right" vertical="center" indent="1"/>
    </xf>
    <xf numFmtId="187" fontId="91" fillId="20" borderId="58" applyNumberFormat="0" applyBorder="0" applyAlignment="0" applyProtection="0">
      <alignment horizontal="right" vertical="center" indent="1"/>
    </xf>
    <xf numFmtId="187" fontId="91" fillId="21" borderId="58" applyNumberFormat="0" applyBorder="0" applyAlignment="0" applyProtection="0">
      <alignment horizontal="right" vertical="center" indent="1"/>
    </xf>
    <xf numFmtId="187" fontId="91" fillId="22" borderId="58" applyNumberFormat="0" applyBorder="0" applyAlignment="0" applyProtection="0">
      <alignment horizontal="right" vertical="center" indent="1"/>
    </xf>
    <xf numFmtId="187" fontId="92" fillId="23" borderId="58" applyNumberFormat="0" applyBorder="0" applyAlignment="0" applyProtection="0">
      <alignment horizontal="right" vertical="center" indent="1"/>
    </xf>
    <xf numFmtId="187" fontId="92" fillId="24" borderId="58" applyNumberFormat="0" applyBorder="0" applyAlignment="0" applyProtection="0">
      <alignment horizontal="right" vertical="center" indent="1"/>
    </xf>
    <xf numFmtId="187" fontId="92" fillId="25" borderId="58" applyNumberFormat="0" applyBorder="0" applyAlignment="0" applyProtection="0">
      <alignment horizontal="right" vertical="center" indent="1"/>
    </xf>
    <xf numFmtId="0" fontId="93" fillId="0" borderId="55" applyNumberFormat="0" applyFont="0" applyFill="0" applyAlignment="0" applyProtection="0"/>
    <xf numFmtId="187" fontId="94" fillId="13" borderId="0" applyNumberFormat="0" applyAlignment="0" applyProtection="0">
      <alignment horizontal="left" vertical="center" indent="1"/>
    </xf>
    <xf numFmtId="0" fontId="93" fillId="0" borderId="59" applyNumberFormat="0" applyFont="0" applyFill="0" applyAlignment="0" applyProtection="0"/>
    <xf numFmtId="187" fontId="87" fillId="0" borderId="56" applyNumberFormat="0" applyFill="0" applyBorder="0" applyAlignment="0" applyProtection="0">
      <alignment horizontal="right" vertical="center"/>
    </xf>
    <xf numFmtId="187" fontId="87" fillId="13" borderId="55" applyNumberFormat="0" applyAlignment="0" applyProtection="0">
      <alignment horizontal="left" vertical="center" indent="1"/>
    </xf>
    <xf numFmtId="0" fontId="86" fillId="12" borderId="57" applyNumberFormat="0" applyAlignment="0" applyProtection="0">
      <alignment horizontal="left" vertical="center" indent="1"/>
    </xf>
    <xf numFmtId="0" fontId="88" fillId="26" borderId="55" applyNumberFormat="0" applyAlignment="0" applyProtection="0">
      <alignment horizontal="left" vertical="center" indent="1"/>
    </xf>
    <xf numFmtId="0" fontId="88" fillId="27" borderId="55" applyNumberFormat="0" applyAlignment="0" applyProtection="0">
      <alignment horizontal="left" vertical="center" indent="1"/>
    </xf>
    <xf numFmtId="0" fontId="88" fillId="28" borderId="55" applyNumberFormat="0" applyAlignment="0" applyProtection="0">
      <alignment horizontal="left" vertical="center" indent="1"/>
    </xf>
    <xf numFmtId="0" fontId="88" fillId="16" borderId="55" applyNumberFormat="0" applyAlignment="0" applyProtection="0">
      <alignment horizontal="left" vertical="center" indent="1"/>
    </xf>
    <xf numFmtId="0" fontId="88" fillId="15" borderId="57" applyNumberFormat="0" applyAlignment="0" applyProtection="0">
      <alignment horizontal="left" vertical="center" indent="1"/>
    </xf>
    <xf numFmtId="0" fontId="95" fillId="0" borderId="60" applyNumberFormat="0" applyFill="0" applyBorder="0" applyAlignment="0" applyProtection="0"/>
    <xf numFmtId="0" fontId="96" fillId="0" borderId="60" applyNumberFormat="0" applyBorder="0" applyAlignment="0" applyProtection="0"/>
    <xf numFmtId="0" fontId="95" fillId="14" borderId="57" applyNumberFormat="0" applyAlignment="0">
      <alignment horizontal="left" vertical="center" indent="1"/>
      <protection locked="0"/>
    </xf>
    <xf numFmtId="0" fontId="95" fillId="14" borderId="57" applyNumberFormat="0" applyAlignment="0">
      <alignment horizontal="left" vertical="center" indent="1"/>
      <protection locked="0"/>
    </xf>
    <xf numFmtId="0" fontId="95" fillId="15" borderId="57" applyNumberFormat="0" applyAlignment="0" applyProtection="0">
      <alignment horizontal="left" vertical="center" indent="1"/>
    </xf>
    <xf numFmtId="187" fontId="97" fillId="15" borderId="57" applyNumberFormat="0" applyProtection="0">
      <alignment horizontal="right" vertical="center"/>
    </xf>
    <xf numFmtId="187" fontId="98" fillId="16" borderId="56" applyNumberFormat="0" applyBorder="0">
      <alignment horizontal="right" vertical="center"/>
      <protection locked="0"/>
    </xf>
    <xf numFmtId="187" fontId="97" fillId="16" borderId="57" applyNumberFormat="0" applyBorder="0">
      <alignment horizontal="right" vertical="center"/>
      <protection locked="0"/>
    </xf>
    <xf numFmtId="187" fontId="87" fillId="0" borderId="56" applyNumberFormat="0" applyFill="0" applyBorder="0" applyAlignment="0" applyProtection="0">
      <alignment horizontal="right" vertical="center"/>
    </xf>
    <xf numFmtId="0" fontId="99" fillId="0" borderId="0"/>
    <xf numFmtId="43" fontId="99" fillId="0" borderId="0" applyFont="0" applyFill="0" applyBorder="0" applyAlignment="0" applyProtection="0"/>
    <xf numFmtId="164" fontId="4" fillId="0" borderId="0" applyProtection="0"/>
    <xf numFmtId="43" fontId="8" fillId="0" borderId="0" applyFont="0" applyFill="0" applyBorder="0" applyAlignment="0" applyProtection="0"/>
    <xf numFmtId="41" fontId="8" fillId="0" borderId="0" applyFont="0" applyFill="0" applyBorder="0" applyAlignment="0" applyProtection="0"/>
    <xf numFmtId="44" fontId="8" fillId="0" borderId="0" applyFont="0" applyFill="0" applyBorder="0" applyAlignment="0" applyProtection="0"/>
    <xf numFmtId="9" fontId="8" fillId="0" borderId="0" applyFont="0" applyFill="0" applyBorder="0" applyAlignment="0" applyProtection="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99" fillId="0" borderId="0" applyFont="0" applyFill="0" applyBorder="0" applyAlignment="0" applyProtection="0"/>
    <xf numFmtId="0" fontId="32" fillId="0" borderId="0" applyFill="0" applyBorder="0" applyAlignment="0" applyProtection="0"/>
    <xf numFmtId="0" fontId="5" fillId="0" borderId="0" applyFill="0" applyBorder="0" applyAlignment="0" applyProtection="0"/>
    <xf numFmtId="0" fontId="40" fillId="0" borderId="54" applyFill="0" applyProtection="0">
      <alignment horizontal="center" wrapText="1"/>
    </xf>
    <xf numFmtId="0" fontId="8" fillId="0" borderId="0" applyFont="0" applyFill="0" applyBorder="0" applyProtection="0">
      <alignment horizontal="left" indent="1"/>
    </xf>
    <xf numFmtId="203" fontId="8" fillId="0" borderId="0" applyFont="0" applyFill="0" applyBorder="0" applyAlignment="0" applyProtection="0"/>
    <xf numFmtId="203" fontId="8" fillId="0" borderId="54" applyFont="0" applyFill="0" applyAlignment="0" applyProtection="0"/>
    <xf numFmtId="0" fontId="40" fillId="0" borderId="0" applyFill="0" applyBorder="0" applyProtection="0">
      <alignment horizontal="center" wrapText="1"/>
    </xf>
    <xf numFmtId="0" fontId="40" fillId="0" borderId="0" applyFill="0" applyBorder="0" applyAlignment="0" applyProtection="0"/>
    <xf numFmtId="203" fontId="8" fillId="0" borderId="71" applyFont="0" applyFill="0" applyAlignment="0" applyProtection="0"/>
    <xf numFmtId="203" fontId="8" fillId="0" borderId="72" applyFont="0" applyFill="0" applyAlignment="0" applyProtection="0"/>
    <xf numFmtId="10" fontId="8" fillId="0" borderId="0" applyFont="0" applyFill="0" applyBorder="0" applyAlignment="0" applyProtection="0"/>
    <xf numFmtId="203" fontId="8" fillId="0" borderId="73" applyFont="0" applyFill="0" applyAlignment="0" applyProtection="0"/>
    <xf numFmtId="203" fontId="8" fillId="0" borderId="1" applyFont="0" applyFill="0" applyAlignment="0" applyProtection="0"/>
    <xf numFmtId="0" fontId="99" fillId="0" borderId="0"/>
  </cellStyleXfs>
  <cellXfs count="1300">
    <xf numFmtId="164" fontId="0" fillId="0" borderId="0" xfId="0"/>
    <xf numFmtId="0" fontId="5" fillId="0" borderId="0" xfId="5" quotePrefix="1" applyFont="1" applyAlignment="1" applyProtection="1">
      <alignment horizontal="left"/>
      <protection locked="0"/>
    </xf>
    <xf numFmtId="0" fontId="5" fillId="0" borderId="0" xfId="5" applyFont="1" applyProtection="1">
      <protection locked="0"/>
    </xf>
    <xf numFmtId="0" fontId="5" fillId="0" borderId="0" xfId="5" applyFont="1" applyAlignment="1" applyProtection="1">
      <alignment horizontal="left"/>
      <protection locked="0"/>
    </xf>
    <xf numFmtId="0" fontId="5" fillId="0" borderId="0" xfId="5" applyFont="1" applyAlignment="1" applyProtection="1">
      <alignment horizontal="right"/>
      <protection locked="0"/>
    </xf>
    <xf numFmtId="0" fontId="4" fillId="0" borderId="0" xfId="5"/>
    <xf numFmtId="0" fontId="4" fillId="0" borderId="0" xfId="5" applyAlignment="1">
      <alignment horizontal="right"/>
    </xf>
    <xf numFmtId="0" fontId="5" fillId="0" borderId="0" xfId="5" applyFont="1" applyAlignment="1">
      <alignment horizontal="right"/>
    </xf>
    <xf numFmtId="0" fontId="5" fillId="0" borderId="0" xfId="5" quotePrefix="1" applyFont="1" applyAlignment="1" applyProtection="1">
      <alignment horizontal="center"/>
      <protection locked="0"/>
    </xf>
    <xf numFmtId="3" fontId="5" fillId="0" borderId="0" xfId="5" applyNumberFormat="1" applyFont="1"/>
    <xf numFmtId="3" fontId="5" fillId="0" borderId="0" xfId="5" applyNumberFormat="1" applyFont="1" applyAlignment="1">
      <alignment horizontal="center"/>
    </xf>
    <xf numFmtId="0" fontId="5" fillId="2" borderId="0" xfId="5" applyFont="1" applyFill="1" applyProtection="1">
      <protection locked="0"/>
    </xf>
    <xf numFmtId="0" fontId="4" fillId="2" borderId="0" xfId="5" applyFill="1"/>
    <xf numFmtId="0" fontId="5" fillId="2" borderId="0" xfId="5" applyFont="1" applyFill="1"/>
    <xf numFmtId="0" fontId="5" fillId="2" borderId="0" xfId="5" applyFont="1" applyFill="1" applyAlignment="1">
      <alignment horizontal="right"/>
    </xf>
    <xf numFmtId="0" fontId="5" fillId="0" borderId="0" xfId="5" applyFont="1"/>
    <xf numFmtId="0" fontId="5" fillId="3" borderId="0" xfId="5" applyFont="1" applyFill="1" applyAlignment="1">
      <alignment horizontal="left"/>
    </xf>
    <xf numFmtId="0" fontId="4" fillId="3" borderId="0" xfId="5" applyFill="1"/>
    <xf numFmtId="0" fontId="5" fillId="3" borderId="0" xfId="5" quotePrefix="1" applyFont="1" applyFill="1" applyAlignment="1" applyProtection="1">
      <alignment horizontal="right"/>
      <protection locked="0"/>
    </xf>
    <xf numFmtId="164" fontId="0" fillId="0" borderId="0" xfId="0" applyAlignment="1">
      <alignment horizontal="center"/>
    </xf>
    <xf numFmtId="0" fontId="4" fillId="0" borderId="0" xfId="5" applyAlignment="1" applyProtection="1">
      <alignment horizontal="center"/>
      <protection locked="0"/>
    </xf>
    <xf numFmtId="164" fontId="7" fillId="0" borderId="0" xfId="0" applyFont="1" applyAlignment="1">
      <alignment horizontal="center"/>
    </xf>
    <xf numFmtId="49" fontId="5" fillId="0" borderId="0" xfId="5" applyNumberFormat="1" applyFont="1"/>
    <xf numFmtId="49" fontId="5" fillId="0" borderId="0" xfId="5" quotePrefix="1" applyNumberFormat="1" applyFont="1" applyAlignment="1">
      <alignment horizontal="center"/>
    </xf>
    <xf numFmtId="0" fontId="5" fillId="0" borderId="0" xfId="5" applyFont="1" applyAlignment="1" applyProtection="1">
      <alignment horizontal="center"/>
      <protection locked="0"/>
    </xf>
    <xf numFmtId="0" fontId="4" fillId="0" borderId="1" xfId="5" applyBorder="1" applyAlignment="1" applyProtection="1">
      <alignment horizontal="center"/>
      <protection locked="0"/>
    </xf>
    <xf numFmtId="0" fontId="5" fillId="0" borderId="1" xfId="5" applyFont="1" applyBorder="1" applyAlignment="1" applyProtection="1">
      <alignment horizontal="center"/>
      <protection locked="0"/>
    </xf>
    <xf numFmtId="42" fontId="5" fillId="0" borderId="0" xfId="5" applyNumberFormat="1" applyFont="1"/>
    <xf numFmtId="165" fontId="5" fillId="0" borderId="0" xfId="1" applyNumberFormat="1" applyFont="1" applyFill="1"/>
    <xf numFmtId="165" fontId="5" fillId="0" borderId="0" xfId="1" applyNumberFormat="1" applyFont="1"/>
    <xf numFmtId="0" fontId="5" fillId="0" borderId="1" xfId="5" applyFont="1" applyBorder="1" applyAlignment="1" applyProtection="1">
      <alignment horizontal="centerContinuous"/>
      <protection locked="0"/>
    </xf>
    <xf numFmtId="43" fontId="5" fillId="0" borderId="0" xfId="1" applyFont="1" applyFill="1" applyAlignment="1"/>
    <xf numFmtId="166" fontId="5" fillId="0" borderId="0" xfId="1" applyNumberFormat="1" applyFont="1" applyAlignment="1"/>
    <xf numFmtId="165" fontId="5" fillId="0" borderId="0" xfId="1" applyNumberFormat="1" applyFont="1" applyAlignment="1"/>
    <xf numFmtId="3" fontId="6" fillId="0" borderId="0" xfId="5" applyNumberFormat="1" applyFont="1" applyAlignment="1">
      <alignment horizontal="right"/>
    </xf>
    <xf numFmtId="3" fontId="9" fillId="0" borderId="0" xfId="5" applyNumberFormat="1" applyFont="1" applyAlignment="1">
      <alignment horizontal="right"/>
    </xf>
    <xf numFmtId="0" fontId="10" fillId="0" borderId="0" xfId="5" applyFont="1" applyAlignment="1">
      <alignment horizontal="left"/>
    </xf>
    <xf numFmtId="0" fontId="5" fillId="0" borderId="0" xfId="5" applyFont="1" applyAlignment="1">
      <alignment horizontal="left"/>
    </xf>
    <xf numFmtId="165" fontId="5" fillId="0" borderId="0" xfId="1" applyNumberFormat="1" applyFont="1" applyFill="1" applyAlignment="1"/>
    <xf numFmtId="167" fontId="5" fillId="0" borderId="0" xfId="5" applyNumberFormat="1" applyFont="1"/>
    <xf numFmtId="165" fontId="4" fillId="0" borderId="0" xfId="1" applyNumberFormat="1" applyFont="1" applyAlignment="1"/>
    <xf numFmtId="42" fontId="5" fillId="0" borderId="2" xfId="5" applyNumberFormat="1" applyFont="1" applyBorder="1" applyAlignment="1" applyProtection="1">
      <alignment horizontal="right"/>
      <protection locked="0"/>
    </xf>
    <xf numFmtId="42" fontId="5" fillId="0" borderId="0" xfId="5" applyNumberFormat="1" applyFont="1" applyAlignment="1" applyProtection="1">
      <alignment horizontal="right"/>
      <protection locked="0"/>
    </xf>
    <xf numFmtId="3" fontId="5" fillId="0" borderId="0" xfId="5" applyNumberFormat="1" applyFont="1" applyAlignment="1">
      <alignment horizontal="fill"/>
    </xf>
    <xf numFmtId="0" fontId="5" fillId="0" borderId="0" xfId="5" applyFont="1" applyAlignment="1">
      <alignment horizontal="center"/>
    </xf>
    <xf numFmtId="49" fontId="5" fillId="0" borderId="0" xfId="5" applyNumberFormat="1" applyFont="1" applyAlignment="1">
      <alignment horizontal="center"/>
    </xf>
    <xf numFmtId="3" fontId="4" fillId="0" borderId="0" xfId="5" applyNumberFormat="1"/>
    <xf numFmtId="3" fontId="5" fillId="0" borderId="0" xfId="5" applyNumberFormat="1" applyFont="1" applyAlignment="1">
      <alignment horizontal="center" wrapText="1"/>
    </xf>
    <xf numFmtId="0" fontId="0" fillId="0" borderId="0" xfId="5" applyFont="1" applyAlignment="1">
      <alignment horizontal="center"/>
    </xf>
    <xf numFmtId="0" fontId="4" fillId="0" borderId="0" xfId="5" applyAlignment="1">
      <alignment horizontal="center"/>
    </xf>
    <xf numFmtId="0" fontId="0" fillId="0" borderId="0" xfId="5" applyFont="1"/>
    <xf numFmtId="165" fontId="5" fillId="0" borderId="0" xfId="5" applyNumberFormat="1" applyFont="1"/>
    <xf numFmtId="43" fontId="5" fillId="0" borderId="0" xfId="1" applyFont="1" applyFill="1" applyBorder="1"/>
    <xf numFmtId="165" fontId="5" fillId="0" borderId="0" xfId="1" applyNumberFormat="1" applyFont="1" applyFill="1" applyBorder="1"/>
    <xf numFmtId="3" fontId="11" fillId="0" borderId="0" xfId="5" applyNumberFormat="1" applyFont="1" applyAlignment="1">
      <alignment horizontal="right"/>
    </xf>
    <xf numFmtId="43" fontId="4" fillId="0" borderId="0" xfId="1" applyFont="1" applyFill="1" applyBorder="1" applyAlignment="1"/>
    <xf numFmtId="42" fontId="5" fillId="0" borderId="0" xfId="5" applyNumberFormat="1" applyFont="1" applyProtection="1">
      <protection locked="0"/>
    </xf>
    <xf numFmtId="42" fontId="4" fillId="0" borderId="0" xfId="5" applyNumberFormat="1"/>
    <xf numFmtId="168" fontId="5" fillId="0" borderId="0" xfId="5" applyNumberFormat="1" applyFont="1"/>
    <xf numFmtId="168" fontId="5" fillId="0" borderId="0" xfId="5" applyNumberFormat="1" applyFont="1" applyAlignment="1">
      <alignment horizontal="center"/>
    </xf>
    <xf numFmtId="169" fontId="5" fillId="0" borderId="0" xfId="5" applyNumberFormat="1" applyFont="1"/>
    <xf numFmtId="3" fontId="5" fillId="0" borderId="0" xfId="5" applyNumberFormat="1" applyFont="1" applyAlignment="1">
      <alignment horizontal="left"/>
    </xf>
    <xf numFmtId="165" fontId="5" fillId="0" borderId="0" xfId="1" quotePrefix="1" applyNumberFormat="1" applyFont="1" applyFill="1" applyBorder="1" applyAlignment="1"/>
    <xf numFmtId="165" fontId="5" fillId="0" borderId="0" xfId="1" quotePrefix="1" applyNumberFormat="1" applyFont="1" applyFill="1" applyBorder="1" applyAlignment="1" applyProtection="1">
      <protection locked="0"/>
    </xf>
    <xf numFmtId="169" fontId="5" fillId="0" borderId="0" xfId="5" applyNumberFormat="1" applyFont="1" applyProtection="1">
      <protection locked="0"/>
    </xf>
    <xf numFmtId="165" fontId="5" fillId="0" borderId="0" xfId="1" quotePrefix="1" applyNumberFormat="1" applyFont="1" applyFill="1" applyBorder="1" applyProtection="1">
      <protection locked="0"/>
    </xf>
    <xf numFmtId="165" fontId="4" fillId="0" borderId="0" xfId="5" applyNumberFormat="1"/>
    <xf numFmtId="169" fontId="4" fillId="0" borderId="0" xfId="5" applyNumberFormat="1"/>
    <xf numFmtId="0" fontId="11" fillId="0" borderId="0" xfId="5" quotePrefix="1" applyFont="1" applyAlignment="1">
      <alignment horizontal="left"/>
    </xf>
    <xf numFmtId="0" fontId="10" fillId="0" borderId="0" xfId="5" quotePrefix="1" applyFont="1" applyAlignment="1">
      <alignment horizontal="left" indent="1"/>
    </xf>
    <xf numFmtId="170" fontId="5" fillId="0" borderId="0" xfId="5" applyNumberFormat="1" applyFont="1"/>
    <xf numFmtId="0" fontId="5" fillId="3" borderId="0" xfId="5" applyFont="1" applyFill="1"/>
    <xf numFmtId="164" fontId="12" fillId="0" borderId="0" xfId="0" applyFont="1" applyAlignment="1">
      <alignment horizontal="center"/>
    </xf>
    <xf numFmtId="3" fontId="0" fillId="0" borderId="0" xfId="5" applyNumberFormat="1" applyFont="1" applyAlignment="1">
      <alignment horizontal="right"/>
    </xf>
    <xf numFmtId="49" fontId="5" fillId="0" borderId="0" xfId="5" applyNumberFormat="1" applyFont="1" applyAlignment="1">
      <alignment horizontal="left"/>
    </xf>
    <xf numFmtId="3" fontId="12" fillId="0" borderId="0" xfId="5" applyNumberFormat="1" applyFont="1" applyAlignment="1">
      <alignment horizontal="center"/>
    </xf>
    <xf numFmtId="0" fontId="12" fillId="0" borderId="0" xfId="5" applyFont="1" applyAlignment="1" applyProtection="1">
      <alignment horizontal="center"/>
      <protection locked="0"/>
    </xf>
    <xf numFmtId="0" fontId="12" fillId="0" borderId="0" xfId="5" applyFont="1" applyAlignment="1">
      <alignment horizontal="center"/>
    </xf>
    <xf numFmtId="3" fontId="12" fillId="0" borderId="0" xfId="5" applyNumberFormat="1" applyFont="1"/>
    <xf numFmtId="0" fontId="13" fillId="0" borderId="0" xfId="5" applyFont="1" applyAlignment="1" applyProtection="1">
      <alignment horizontal="center"/>
      <protection locked="0"/>
    </xf>
    <xf numFmtId="0" fontId="12" fillId="0" borderId="0" xfId="5" applyFont="1"/>
    <xf numFmtId="3" fontId="14" fillId="0" borderId="0" xfId="5" applyNumberFormat="1" applyFont="1"/>
    <xf numFmtId="3" fontId="6" fillId="0" borderId="0" xfId="5" quotePrefix="1" applyNumberFormat="1" applyFont="1" applyAlignment="1">
      <alignment horizontal="right"/>
    </xf>
    <xf numFmtId="166" fontId="5" fillId="0" borderId="0" xfId="1" applyNumberFormat="1" applyFont="1" applyFill="1" applyAlignment="1">
      <alignment horizontal="center"/>
    </xf>
    <xf numFmtId="3" fontId="5" fillId="0" borderId="0" xfId="5" applyNumberFormat="1" applyFont="1" applyAlignment="1">
      <alignment horizontal="right"/>
    </xf>
    <xf numFmtId="166" fontId="5" fillId="0" borderId="0" xfId="1" applyNumberFormat="1" applyFont="1" applyAlignment="1">
      <alignment horizontal="center"/>
    </xf>
    <xf numFmtId="171" fontId="5" fillId="0" borderId="0" xfId="5" applyNumberFormat="1" applyFont="1" applyAlignment="1">
      <alignment horizontal="center"/>
    </xf>
    <xf numFmtId="165" fontId="4" fillId="0" borderId="0" xfId="1" applyNumberFormat="1" applyFont="1" applyFill="1" applyAlignment="1"/>
    <xf numFmtId="166" fontId="4" fillId="0" borderId="0" xfId="1" applyNumberFormat="1" applyFont="1" applyFill="1" applyAlignment="1"/>
    <xf numFmtId="166" fontId="5" fillId="0" borderId="0" xfId="1" applyNumberFormat="1" applyFont="1" applyFill="1" applyAlignment="1"/>
    <xf numFmtId="165" fontId="5" fillId="0" borderId="0" xfId="1" applyNumberFormat="1" applyFont="1" applyFill="1" applyBorder="1" applyAlignment="1"/>
    <xf numFmtId="166" fontId="5" fillId="0" borderId="0" xfId="1" applyNumberFormat="1" applyFont="1" applyFill="1" applyBorder="1" applyAlignment="1"/>
    <xf numFmtId="0" fontId="0" fillId="0" borderId="3" xfId="5" applyFont="1" applyBorder="1"/>
    <xf numFmtId="3" fontId="5" fillId="0" borderId="3" xfId="5" applyNumberFormat="1" applyFont="1" applyBorder="1"/>
    <xf numFmtId="165" fontId="5" fillId="0" borderId="3" xfId="1" applyNumberFormat="1" applyFont="1" applyFill="1" applyBorder="1" applyAlignment="1"/>
    <xf numFmtId="166" fontId="5" fillId="0" borderId="3" xfId="1" applyNumberFormat="1" applyFont="1" applyBorder="1" applyAlignment="1"/>
    <xf numFmtId="165" fontId="5" fillId="0" borderId="3" xfId="1" applyNumberFormat="1" applyFont="1" applyBorder="1" applyAlignment="1"/>
    <xf numFmtId="0" fontId="5" fillId="0" borderId="0" xfId="5" quotePrefix="1" applyFont="1" applyAlignment="1">
      <alignment horizontal="left"/>
    </xf>
    <xf numFmtId="0" fontId="5" fillId="0" borderId="3" xfId="5" applyFont="1" applyBorder="1"/>
    <xf numFmtId="166" fontId="5" fillId="0" borderId="3" xfId="1" applyNumberFormat="1" applyFont="1" applyFill="1" applyBorder="1" applyAlignment="1"/>
    <xf numFmtId="165" fontId="4" fillId="0" borderId="1" xfId="1" applyNumberFormat="1" applyFont="1" applyBorder="1" applyAlignment="1"/>
    <xf numFmtId="165" fontId="5" fillId="0" borderId="2" xfId="1" applyNumberFormat="1" applyFont="1" applyBorder="1" applyAlignment="1"/>
    <xf numFmtId="0" fontId="6" fillId="0" borderId="0" xfId="5" quotePrefix="1" applyFont="1" applyAlignment="1">
      <alignment horizontal="left"/>
    </xf>
    <xf numFmtId="0" fontId="6" fillId="0" borderId="0" xfId="5" applyFont="1" applyAlignment="1">
      <alignment horizontal="left"/>
    </xf>
    <xf numFmtId="165" fontId="5" fillId="0" borderId="0" xfId="1" applyNumberFormat="1" applyFont="1" applyAlignment="1" applyProtection="1">
      <protection locked="0"/>
    </xf>
    <xf numFmtId="165" fontId="5" fillId="0" borderId="0" xfId="1" applyNumberFormat="1" applyFont="1" applyAlignment="1" applyProtection="1">
      <alignment horizontal="right"/>
      <protection locked="0"/>
    </xf>
    <xf numFmtId="165" fontId="5" fillId="0" borderId="0" xfId="1" applyNumberFormat="1" applyFont="1" applyAlignment="1">
      <alignment horizontal="right"/>
    </xf>
    <xf numFmtId="165" fontId="5" fillId="0" borderId="0" xfId="1" applyNumberFormat="1" applyFont="1" applyProtection="1">
      <protection locked="0"/>
    </xf>
    <xf numFmtId="165" fontId="5" fillId="0" borderId="0" xfId="1" applyNumberFormat="1" applyFont="1" applyAlignment="1">
      <alignment horizontal="center"/>
    </xf>
    <xf numFmtId="0" fontId="4" fillId="0" borderId="0" xfId="5" applyProtection="1">
      <protection locked="0"/>
    </xf>
    <xf numFmtId="165" fontId="4" fillId="0" borderId="0" xfId="1" applyNumberFormat="1" applyFont="1" applyProtection="1">
      <protection locked="0"/>
    </xf>
    <xf numFmtId="165" fontId="12" fillId="0" borderId="0" xfId="1" applyNumberFormat="1" applyFont="1" applyAlignment="1" applyProtection="1">
      <alignment horizontal="center"/>
      <protection locked="0"/>
    </xf>
    <xf numFmtId="165" fontId="13" fillId="0" borderId="0" xfId="1" applyNumberFormat="1" applyFont="1" applyAlignment="1" applyProtection="1">
      <alignment horizontal="center"/>
      <protection locked="0"/>
    </xf>
    <xf numFmtId="0" fontId="16" fillId="0" borderId="0" xfId="5" applyFont="1" applyAlignment="1">
      <alignment horizontal="center"/>
    </xf>
    <xf numFmtId="3" fontId="16" fillId="0" borderId="0" xfId="5" applyNumberFormat="1" applyFont="1"/>
    <xf numFmtId="165" fontId="5" fillId="3" borderId="0" xfId="1" applyNumberFormat="1" applyFont="1" applyFill="1" applyAlignment="1"/>
    <xf numFmtId="172" fontId="5" fillId="0" borderId="0" xfId="5" applyNumberFormat="1" applyFont="1" applyAlignment="1">
      <alignment horizontal="left"/>
    </xf>
    <xf numFmtId="0" fontId="0" fillId="0" borderId="0" xfId="5" applyFont="1" applyAlignment="1" applyProtection="1">
      <alignment horizontal="center"/>
      <protection locked="0"/>
    </xf>
    <xf numFmtId="165" fontId="5" fillId="2" borderId="0" xfId="1" applyNumberFormat="1" applyFont="1" applyFill="1" applyAlignment="1"/>
    <xf numFmtId="165" fontId="4" fillId="0" borderId="3" xfId="1" applyNumberFormat="1" applyFont="1" applyBorder="1" applyAlignment="1"/>
    <xf numFmtId="166" fontId="5" fillId="0" borderId="0" xfId="1" applyNumberFormat="1" applyFont="1" applyFill="1" applyAlignment="1">
      <alignment horizontal="right"/>
    </xf>
    <xf numFmtId="171" fontId="5" fillId="0" borderId="0" xfId="5" applyNumberFormat="1" applyFont="1" applyAlignment="1">
      <alignment horizontal="left"/>
    </xf>
    <xf numFmtId="167" fontId="5" fillId="0" borderId="0" xfId="5" applyNumberFormat="1" applyFont="1" applyAlignment="1">
      <alignment horizontal="center"/>
    </xf>
    <xf numFmtId="4" fontId="5" fillId="0" borderId="0" xfId="5" applyNumberFormat="1" applyFont="1"/>
    <xf numFmtId="43" fontId="4" fillId="0" borderId="0" xfId="5" applyNumberFormat="1"/>
    <xf numFmtId="164" fontId="5" fillId="0" borderId="0" xfId="6" applyFont="1"/>
    <xf numFmtId="43" fontId="5" fillId="0" borderId="0" xfId="1" applyFont="1" applyAlignment="1">
      <alignment horizontal="center"/>
    </xf>
    <xf numFmtId="10" fontId="5" fillId="0" borderId="0" xfId="5" applyNumberFormat="1" applyFont="1" applyAlignment="1">
      <alignment horizontal="left"/>
    </xf>
    <xf numFmtId="43" fontId="5" fillId="0" borderId="0" xfId="1" applyFont="1" applyAlignment="1"/>
    <xf numFmtId="0" fontId="4" fillId="0" borderId="3" xfId="5" applyBorder="1"/>
    <xf numFmtId="10" fontId="5" fillId="0" borderId="3" xfId="5" applyNumberFormat="1" applyFont="1" applyBorder="1" applyAlignment="1">
      <alignment horizontal="left"/>
    </xf>
    <xf numFmtId="171" fontId="5" fillId="0" borderId="0" xfId="5" applyNumberFormat="1" applyFont="1" applyAlignment="1" applyProtection="1">
      <alignment horizontal="left"/>
      <protection locked="0"/>
    </xf>
    <xf numFmtId="165" fontId="5" fillId="0" borderId="0" xfId="1" applyNumberFormat="1" applyFont="1" applyFill="1" applyAlignment="1">
      <alignment horizontal="right"/>
    </xf>
    <xf numFmtId="173" fontId="5" fillId="0" borderId="0" xfId="5" applyNumberFormat="1" applyFont="1"/>
    <xf numFmtId="165" fontId="5" fillId="0" borderId="0" xfId="1" applyNumberFormat="1" applyFont="1" applyBorder="1" applyAlignment="1"/>
    <xf numFmtId="165" fontId="5" fillId="0" borderId="0" xfId="5" applyNumberFormat="1" applyFont="1" applyAlignment="1">
      <alignment horizontal="center"/>
    </xf>
    <xf numFmtId="43" fontId="5" fillId="0" borderId="0" xfId="1" applyFont="1" applyBorder="1" applyAlignment="1"/>
    <xf numFmtId="10" fontId="5" fillId="0" borderId="0" xfId="4" applyNumberFormat="1" applyFont="1" applyBorder="1" applyAlignment="1"/>
    <xf numFmtId="0" fontId="18" fillId="0" borderId="0" xfId="5" applyFont="1"/>
    <xf numFmtId="3" fontId="4" fillId="0" borderId="0" xfId="5" applyNumberFormat="1" applyAlignment="1">
      <alignment horizontal="right"/>
    </xf>
    <xf numFmtId="0" fontId="5" fillId="0" borderId="1" xfId="5" applyFont="1" applyBorder="1" applyProtection="1">
      <protection locked="0"/>
    </xf>
    <xf numFmtId="0" fontId="5" fillId="0" borderId="1" xfId="5" applyFont="1" applyBorder="1"/>
    <xf numFmtId="43" fontId="5" fillId="0" borderId="0" xfId="1" applyFont="1" applyFill="1" applyAlignment="1">
      <alignment horizontal="right"/>
    </xf>
    <xf numFmtId="174" fontId="5" fillId="0" borderId="0" xfId="5" applyNumberFormat="1" applyFont="1" applyAlignment="1">
      <alignment horizontal="right"/>
    </xf>
    <xf numFmtId="3" fontId="5" fillId="0" borderId="1" xfId="5" applyNumberFormat="1" applyFont="1" applyBorder="1"/>
    <xf numFmtId="3" fontId="5" fillId="0" borderId="1" xfId="5" applyNumberFormat="1" applyFont="1" applyBorder="1" applyAlignment="1">
      <alignment horizontal="center"/>
    </xf>
    <xf numFmtId="43" fontId="5" fillId="3" borderId="0" xfId="1" applyFont="1" applyFill="1" applyAlignment="1"/>
    <xf numFmtId="43" fontId="5" fillId="3" borderId="1" xfId="1" applyFont="1" applyFill="1" applyBorder="1" applyAlignment="1"/>
    <xf numFmtId="43" fontId="5" fillId="0" borderId="1" xfId="1" applyFont="1" applyBorder="1" applyAlignment="1"/>
    <xf numFmtId="3" fontId="6" fillId="0" borderId="0" xfId="5" applyNumberFormat="1" applyFont="1"/>
    <xf numFmtId="3" fontId="9" fillId="0" borderId="0" xfId="5" applyNumberFormat="1" applyFont="1"/>
    <xf numFmtId="165" fontId="5" fillId="0" borderId="0" xfId="1" quotePrefix="1" applyNumberFormat="1" applyFont="1" applyFill="1" applyAlignment="1">
      <alignment horizontal="right"/>
    </xf>
    <xf numFmtId="3" fontId="5" fillId="0" borderId="0" xfId="5" quotePrefix="1" applyNumberFormat="1" applyFont="1"/>
    <xf numFmtId="43" fontId="5" fillId="2" borderId="0" xfId="1" applyFont="1" applyFill="1" applyAlignment="1"/>
    <xf numFmtId="165" fontId="5" fillId="0" borderId="1" xfId="1" quotePrefix="1" applyNumberFormat="1" applyFont="1" applyBorder="1" applyAlignment="1">
      <alignment horizontal="right"/>
    </xf>
    <xf numFmtId="9" fontId="4" fillId="0" borderId="0" xfId="5" applyNumberFormat="1"/>
    <xf numFmtId="164" fontId="19" fillId="0" borderId="0" xfId="0" applyFont="1"/>
    <xf numFmtId="42" fontId="0" fillId="0" borderId="0" xfId="5" applyNumberFormat="1" applyFont="1" applyAlignment="1">
      <alignment horizontal="center" wrapText="1"/>
    </xf>
    <xf numFmtId="165" fontId="4" fillId="2" borderId="0" xfId="5" applyNumberFormat="1" applyFill="1"/>
    <xf numFmtId="0" fontId="0" fillId="0" borderId="0" xfId="5" applyFont="1" applyAlignment="1">
      <alignment horizontal="left"/>
    </xf>
    <xf numFmtId="164" fontId="0" fillId="0" borderId="0" xfId="5" applyNumberFormat="1" applyFont="1"/>
    <xf numFmtId="165" fontId="4" fillId="2" borderId="0" xfId="1" applyNumberFormat="1" applyFont="1" applyFill="1" applyAlignment="1"/>
    <xf numFmtId="0" fontId="0" fillId="0" borderId="0" xfId="5" applyFont="1" applyAlignment="1">
      <alignment wrapText="1"/>
    </xf>
    <xf numFmtId="0" fontId="4" fillId="0" borderId="0" xfId="5" quotePrefix="1"/>
    <xf numFmtId="165" fontId="5" fillId="0" borderId="0" xfId="1" applyNumberFormat="1" applyFont="1" applyFill="1" applyAlignment="1">
      <alignment horizontal="center"/>
    </xf>
    <xf numFmtId="49" fontId="5" fillId="0" borderId="0" xfId="1" applyNumberFormat="1" applyFont="1" applyFill="1" applyAlignment="1">
      <alignment horizontal="center"/>
    </xf>
    <xf numFmtId="0" fontId="20" fillId="0" borderId="0" xfId="5" applyFont="1"/>
    <xf numFmtId="164" fontId="5" fillId="0" borderId="0" xfId="5" applyNumberFormat="1" applyFont="1" applyProtection="1">
      <protection locked="0"/>
    </xf>
    <xf numFmtId="0" fontId="4" fillId="0" borderId="0" xfId="5" applyProtection="1"/>
    <xf numFmtId="3" fontId="4" fillId="0" borderId="0" xfId="5" applyNumberFormat="1" applyProtection="1"/>
    <xf numFmtId="0" fontId="19" fillId="0" borderId="0" xfId="5" applyFont="1" applyAlignment="1" applyProtection="1">
      <alignment horizontal="center"/>
      <protection locked="0"/>
    </xf>
    <xf numFmtId="0" fontId="20" fillId="0" borderId="0" xfId="5" applyFont="1" applyAlignment="1" applyProtection="1">
      <alignment horizontal="center"/>
      <protection locked="0"/>
    </xf>
    <xf numFmtId="0" fontId="20" fillId="0" borderId="0" xfId="5" applyFont="1" applyProtection="1">
      <protection locked="0"/>
    </xf>
    <xf numFmtId="164" fontId="21" fillId="0" borderId="0" xfId="5" applyNumberFormat="1" applyFont="1" applyProtection="1">
      <protection locked="0"/>
    </xf>
    <xf numFmtId="3" fontId="21" fillId="0" borderId="0" xfId="5" applyNumberFormat="1" applyFont="1"/>
    <xf numFmtId="0" fontId="21" fillId="0" borderId="0" xfId="5" applyFont="1" applyProtection="1">
      <protection locked="0"/>
    </xf>
    <xf numFmtId="176" fontId="20" fillId="0" borderId="0" xfId="5" applyNumberFormat="1" applyFont="1" applyProtection="1">
      <protection locked="0"/>
    </xf>
    <xf numFmtId="0" fontId="20" fillId="0" borderId="0" xfId="5" applyFont="1" applyProtection="1"/>
    <xf numFmtId="3" fontId="20" fillId="0" borderId="0" xfId="5" applyNumberFormat="1" applyFont="1" applyProtection="1"/>
    <xf numFmtId="0" fontId="22" fillId="0" borderId="0" xfId="5" applyFont="1" applyAlignment="1" applyProtection="1">
      <alignment horizontal="center"/>
      <protection locked="0"/>
    </xf>
    <xf numFmtId="0" fontId="21" fillId="0" borderId="0" xfId="5" applyFont="1" applyAlignment="1" applyProtection="1">
      <alignment horizontal="center"/>
      <protection locked="0"/>
    </xf>
    <xf numFmtId="3" fontId="20" fillId="0" borderId="0" xfId="5" applyNumberFormat="1" applyFont="1"/>
    <xf numFmtId="0" fontId="20" fillId="0" borderId="1" xfId="5" applyFont="1" applyBorder="1" applyAlignment="1" applyProtection="1">
      <alignment horizontal="center"/>
      <protection locked="0"/>
    </xf>
    <xf numFmtId="0" fontId="23" fillId="0" borderId="0" xfId="5" applyFont="1" applyAlignment="1" applyProtection="1">
      <alignment horizontal="center"/>
      <protection locked="0"/>
    </xf>
    <xf numFmtId="0" fontId="23" fillId="0" borderId="0" xfId="5" applyFont="1" applyProtection="1">
      <protection locked="0"/>
    </xf>
    <xf numFmtId="164" fontId="23" fillId="0" borderId="0" xfId="0" applyFont="1"/>
    <xf numFmtId="0" fontId="23" fillId="0" borderId="0" xfId="5" applyFont="1"/>
    <xf numFmtId="177" fontId="23" fillId="0" borderId="0" xfId="5" applyNumberFormat="1" applyFont="1" applyProtection="1">
      <protection locked="0"/>
    </xf>
    <xf numFmtId="0" fontId="19" fillId="0" borderId="0" xfId="0" applyNumberFormat="1" applyFont="1" applyProtection="1">
      <protection locked="0"/>
    </xf>
    <xf numFmtId="0" fontId="24" fillId="0" borderId="0" xfId="5" applyFont="1" applyProtection="1">
      <protection locked="0"/>
    </xf>
    <xf numFmtId="0" fontId="24" fillId="0" borderId="0" xfId="5" applyFont="1" applyAlignment="1" applyProtection="1">
      <alignment horizontal="center"/>
      <protection locked="0"/>
    </xf>
    <xf numFmtId="178" fontId="23" fillId="3" borderId="0" xfId="4" applyNumberFormat="1" applyFont="1" applyFill="1" applyProtection="1">
      <protection locked="0"/>
    </xf>
    <xf numFmtId="10" fontId="23" fillId="3" borderId="0" xfId="4" applyNumberFormat="1" applyFont="1" applyFill="1" applyProtection="1">
      <protection locked="0"/>
    </xf>
    <xf numFmtId="3" fontId="25" fillId="0" borderId="0" xfId="5" applyNumberFormat="1" applyFont="1"/>
    <xf numFmtId="43" fontId="23" fillId="3" borderId="0" xfId="1" applyFont="1" applyFill="1" applyProtection="1">
      <protection locked="0"/>
    </xf>
    <xf numFmtId="10" fontId="23" fillId="0" borderId="0" xfId="5" applyNumberFormat="1" applyFont="1" applyProtection="1">
      <protection locked="0"/>
    </xf>
    <xf numFmtId="164" fontId="23" fillId="0" borderId="0" xfId="0" applyFont="1" applyAlignment="1">
      <alignment vertical="center"/>
    </xf>
    <xf numFmtId="0" fontId="23" fillId="0" borderId="0" xfId="0" applyNumberFormat="1" applyFont="1"/>
    <xf numFmtId="164" fontId="23" fillId="0" borderId="0" xfId="0" applyFont="1" applyAlignment="1">
      <alignment wrapText="1"/>
    </xf>
    <xf numFmtId="0" fontId="27" fillId="0" borderId="0" xfId="0" applyNumberFormat="1" applyFont="1"/>
    <xf numFmtId="0" fontId="23" fillId="0" borderId="0" xfId="0" applyNumberFormat="1" applyFont="1" applyAlignment="1">
      <alignment horizontal="center" vertical="top"/>
    </xf>
    <xf numFmtId="0" fontId="23" fillId="0" borderId="0" xfId="0" applyNumberFormat="1" applyFont="1" applyAlignment="1">
      <alignment horizontal="center"/>
    </xf>
    <xf numFmtId="0" fontId="23" fillId="0" borderId="0" xfId="5" applyFont="1" applyAlignment="1">
      <alignment horizontal="center"/>
    </xf>
    <xf numFmtId="0" fontId="23" fillId="0" borderId="0" xfId="7" applyFont="1" applyAlignment="1">
      <alignment vertical="center"/>
    </xf>
    <xf numFmtId="0" fontId="23" fillId="0" borderId="0" xfId="0" applyNumberFormat="1" applyFont="1" applyAlignment="1">
      <alignment horizontal="left"/>
    </xf>
    <xf numFmtId="179" fontId="23" fillId="0" borderId="0" xfId="4" applyNumberFormat="1" applyFont="1" applyFill="1"/>
    <xf numFmtId="43" fontId="23" fillId="0" borderId="0" xfId="0" applyNumberFormat="1" applyFont="1"/>
    <xf numFmtId="0" fontId="15" fillId="0" borderId="0" xfId="8" applyFont="1"/>
    <xf numFmtId="0" fontId="28" fillId="0" borderId="0" xfId="8" applyFont="1" applyAlignment="1">
      <alignment horizontal="center"/>
    </xf>
    <xf numFmtId="0" fontId="8" fillId="0" borderId="0" xfId="8"/>
    <xf numFmtId="0" fontId="28" fillId="0" borderId="0" xfId="8" applyFont="1"/>
    <xf numFmtId="165" fontId="15" fillId="0" borderId="0" xfId="9" applyNumberFormat="1" applyFont="1" applyAlignment="1"/>
    <xf numFmtId="165" fontId="15" fillId="3" borderId="0" xfId="9" applyNumberFormat="1" applyFont="1" applyFill="1" applyAlignment="1"/>
    <xf numFmtId="165" fontId="15" fillId="0" borderId="0" xfId="9" applyNumberFormat="1" applyFont="1" applyFill="1" applyBorder="1" applyAlignment="1">
      <alignment wrapText="1"/>
    </xf>
    <xf numFmtId="165" fontId="8" fillId="0" borderId="0" xfId="9" applyNumberFormat="1" applyAlignment="1"/>
    <xf numFmtId="0" fontId="15" fillId="0" borderId="0" xfId="8" applyFont="1" applyAlignment="1">
      <alignment vertical="top"/>
    </xf>
    <xf numFmtId="165" fontId="8" fillId="0" borderId="0" xfId="9" applyNumberFormat="1" applyFill="1" applyAlignment="1"/>
    <xf numFmtId="165" fontId="15" fillId="0" borderId="0" xfId="9" applyNumberFormat="1" applyFont="1" applyFill="1" applyBorder="1" applyAlignment="1"/>
    <xf numFmtId="165" fontId="15" fillId="0" borderId="0" xfId="9" applyNumberFormat="1" applyFont="1" applyFill="1" applyAlignment="1"/>
    <xf numFmtId="165" fontId="15" fillId="0" borderId="0" xfId="9" applyNumberFormat="1" applyFont="1" applyBorder="1" applyAlignment="1"/>
    <xf numFmtId="0" fontId="15" fillId="0" borderId="0" xfId="8" applyFont="1" applyAlignment="1">
      <alignment horizontal="center"/>
    </xf>
    <xf numFmtId="165" fontId="15" fillId="0" borderId="0" xfId="8" applyNumberFormat="1" applyFont="1"/>
    <xf numFmtId="0" fontId="29" fillId="0" borderId="0" xfId="8" applyFont="1"/>
    <xf numFmtId="0" fontId="30" fillId="0" borderId="0" xfId="8" applyFont="1"/>
    <xf numFmtId="164" fontId="15" fillId="0" borderId="0" xfId="0" applyFont="1"/>
    <xf numFmtId="164" fontId="8" fillId="0" borderId="0" xfId="0" applyFont="1"/>
    <xf numFmtId="164" fontId="15" fillId="0" borderId="3" xfId="0" applyFont="1" applyBorder="1"/>
    <xf numFmtId="164" fontId="15" fillId="0" borderId="0" xfId="0" applyFont="1" applyAlignment="1">
      <alignment horizontal="centerContinuous"/>
    </xf>
    <xf numFmtId="164" fontId="8" fillId="0" borderId="0" xfId="0" applyFont="1" applyAlignment="1">
      <alignment horizontal="centerContinuous"/>
    </xf>
    <xf numFmtId="0" fontId="15" fillId="0" borderId="0" xfId="0" applyNumberFormat="1" applyFont="1" applyAlignment="1">
      <alignment horizontal="center"/>
    </xf>
    <xf numFmtId="164" fontId="31" fillId="0" borderId="0" xfId="0" applyFont="1" applyAlignment="1">
      <alignment horizontal="right"/>
    </xf>
    <xf numFmtId="0" fontId="15" fillId="2" borderId="0" xfId="0" applyNumberFormat="1" applyFont="1" applyFill="1" applyAlignment="1">
      <alignment horizontal="center"/>
    </xf>
    <xf numFmtId="176" fontId="15" fillId="2" borderId="0" xfId="0" applyNumberFormat="1" applyFont="1" applyFill="1"/>
    <xf numFmtId="165" fontId="15" fillId="0" borderId="0" xfId="1" applyNumberFormat="1" applyFont="1"/>
    <xf numFmtId="165" fontId="15" fillId="2" borderId="0" xfId="1" applyNumberFormat="1" applyFont="1" applyFill="1"/>
    <xf numFmtId="176" fontId="15" fillId="0" borderId="0" xfId="0" applyNumberFormat="1" applyFont="1"/>
    <xf numFmtId="165" fontId="15" fillId="0" borderId="4" xfId="1" applyNumberFormat="1" applyFont="1" applyBorder="1"/>
    <xf numFmtId="176" fontId="28" fillId="0" borderId="0" xfId="0" applyNumberFormat="1" applyFont="1"/>
    <xf numFmtId="165" fontId="15" fillId="0" borderId="0" xfId="9" applyNumberFormat="1" applyFont="1" applyFill="1" applyAlignment="1">
      <alignment horizontal="right"/>
    </xf>
    <xf numFmtId="0" fontId="15" fillId="2" borderId="0" xfId="8" applyFont="1" applyFill="1"/>
    <xf numFmtId="165" fontId="15" fillId="3" borderId="0" xfId="9" applyNumberFormat="1" applyFont="1" applyFill="1"/>
    <xf numFmtId="165" fontId="15" fillId="6" borderId="0" xfId="9" applyNumberFormat="1" applyFont="1" applyFill="1" applyAlignment="1"/>
    <xf numFmtId="0" fontId="32" fillId="0" borderId="0" xfId="8" applyFont="1"/>
    <xf numFmtId="0" fontId="33" fillId="0" borderId="0" xfId="8" applyFont="1"/>
    <xf numFmtId="0" fontId="34" fillId="0" borderId="0" xfId="8" applyFont="1" applyAlignment="1">
      <alignment horizontal="left"/>
    </xf>
    <xf numFmtId="1" fontId="15" fillId="0" borderId="0" xfId="1" applyNumberFormat="1" applyFont="1"/>
    <xf numFmtId="0" fontId="35" fillId="0" borderId="0" xfId="8" applyFont="1"/>
    <xf numFmtId="0" fontId="15" fillId="0" borderId="8" xfId="8" applyFont="1" applyBorder="1" applyAlignment="1">
      <alignment horizontal="center"/>
    </xf>
    <xf numFmtId="0" fontId="36" fillId="0" borderId="0" xfId="8" applyFont="1" applyAlignment="1">
      <alignment horizontal="left"/>
    </xf>
    <xf numFmtId="1" fontId="15" fillId="0" borderId="0" xfId="1" applyNumberFormat="1" applyFont="1" applyBorder="1" applyAlignment="1">
      <alignment horizontal="center"/>
    </xf>
    <xf numFmtId="0" fontId="15" fillId="0" borderId="9" xfId="8" applyFont="1" applyBorder="1" applyAlignment="1">
      <alignment horizontal="right"/>
    </xf>
    <xf numFmtId="0" fontId="37" fillId="0" borderId="0" xfId="8" applyFont="1"/>
    <xf numFmtId="0" fontId="8" fillId="0" borderId="0" xfId="8" applyAlignment="1">
      <alignment horizontal="center" wrapText="1"/>
    </xf>
    <xf numFmtId="3" fontId="15" fillId="0" borderId="0" xfId="8" applyNumberFormat="1" applyFont="1"/>
    <xf numFmtId="1" fontId="38" fillId="3" borderId="0" xfId="1" applyNumberFormat="1" applyFont="1" applyFill="1" applyBorder="1" applyAlignment="1">
      <alignment horizontal="center"/>
    </xf>
    <xf numFmtId="165" fontId="15" fillId="3" borderId="9" xfId="9" applyNumberFormat="1" applyFont="1" applyFill="1" applyBorder="1" applyAlignment="1">
      <alignment horizontal="right"/>
    </xf>
    <xf numFmtId="3" fontId="8" fillId="0" borderId="0" xfId="8" applyNumberFormat="1" applyAlignment="1">
      <alignment horizontal="right"/>
    </xf>
    <xf numFmtId="0" fontId="35" fillId="0" borderId="0" xfId="8" applyFont="1" applyAlignment="1">
      <alignment horizontal="center"/>
    </xf>
    <xf numFmtId="3" fontId="8" fillId="0" borderId="0" xfId="8" applyNumberFormat="1" applyAlignment="1">
      <alignment horizontal="center"/>
    </xf>
    <xf numFmtId="0" fontId="15" fillId="0" borderId="0" xfId="8" applyFont="1" applyAlignment="1">
      <alignment horizontal="left"/>
    </xf>
    <xf numFmtId="0" fontId="8" fillId="0" borderId="0" xfId="8" applyAlignment="1">
      <alignment horizontal="right"/>
    </xf>
    <xf numFmtId="0" fontId="8" fillId="0" borderId="0" xfId="8" applyAlignment="1">
      <alignment horizontal="center"/>
    </xf>
    <xf numFmtId="0" fontId="15" fillId="0" borderId="3" xfId="8" applyFont="1" applyBorder="1" applyAlignment="1">
      <alignment horizontal="left"/>
    </xf>
    <xf numFmtId="3" fontId="15" fillId="0" borderId="3" xfId="8" applyNumberFormat="1" applyFont="1" applyBorder="1"/>
    <xf numFmtId="1" fontId="38" fillId="3" borderId="3" xfId="1" applyNumberFormat="1" applyFont="1" applyFill="1" applyBorder="1" applyAlignment="1">
      <alignment horizontal="center"/>
    </xf>
    <xf numFmtId="165" fontId="15" fillId="3" borderId="10" xfId="9" applyNumberFormat="1" applyFont="1" applyFill="1" applyBorder="1" applyAlignment="1">
      <alignment horizontal="right"/>
    </xf>
    <xf numFmtId="165" fontId="8" fillId="0" borderId="0" xfId="8" applyNumberFormat="1"/>
    <xf numFmtId="0" fontId="28" fillId="0" borderId="0" xfId="8" applyFont="1" applyAlignment="1">
      <alignment horizontal="left"/>
    </xf>
    <xf numFmtId="1" fontId="38" fillId="0" borderId="0" xfId="1" applyNumberFormat="1" applyFont="1" applyFill="1" applyBorder="1" applyAlignment="1">
      <alignment horizontal="center"/>
    </xf>
    <xf numFmtId="165" fontId="15" fillId="0" borderId="9" xfId="9" applyNumberFormat="1" applyFont="1" applyFill="1" applyBorder="1" applyAlignment="1">
      <alignment horizontal="right"/>
    </xf>
    <xf numFmtId="165" fontId="8" fillId="0" borderId="0" xfId="8" applyNumberFormat="1" applyAlignment="1">
      <alignment horizontal="right"/>
    </xf>
    <xf numFmtId="0" fontId="15" fillId="0" borderId="9" xfId="8" applyFont="1" applyBorder="1" applyAlignment="1">
      <alignment horizontal="left"/>
    </xf>
    <xf numFmtId="0" fontId="15" fillId="0" borderId="9" xfId="8" applyFont="1" applyBorder="1"/>
    <xf numFmtId="165" fontId="8" fillId="0" borderId="0" xfId="9" applyNumberFormat="1" applyFont="1" applyBorder="1" applyAlignment="1"/>
    <xf numFmtId="1" fontId="38" fillId="0" borderId="0" xfId="1" applyNumberFormat="1" applyFont="1" applyBorder="1" applyAlignment="1">
      <alignment horizontal="center"/>
    </xf>
    <xf numFmtId="3" fontId="15" fillId="0" borderId="9" xfId="8" applyNumberFormat="1" applyFont="1" applyBorder="1" applyAlignment="1">
      <alignment horizontal="left"/>
    </xf>
    <xf numFmtId="165" fontId="35" fillId="0" borderId="0" xfId="8" applyNumberFormat="1" applyFont="1"/>
    <xf numFmtId="165" fontId="15" fillId="0" borderId="9" xfId="9" applyNumberFormat="1" applyFont="1" applyBorder="1" applyAlignment="1">
      <alignment horizontal="right"/>
    </xf>
    <xf numFmtId="165" fontId="8" fillId="0" borderId="0" xfId="9" applyNumberFormat="1" applyFont="1" applyFill="1" applyBorder="1" applyAlignment="1">
      <alignment horizontal="right"/>
    </xf>
    <xf numFmtId="165" fontId="35" fillId="0" borderId="0" xfId="9" applyNumberFormat="1" applyFont="1" applyBorder="1" applyAlignment="1"/>
    <xf numFmtId="0" fontId="15" fillId="0" borderId="11" xfId="8" applyFont="1" applyBorder="1" applyAlignment="1">
      <alignment horizontal="center"/>
    </xf>
    <xf numFmtId="0" fontId="15" fillId="0" borderId="1" xfId="8" applyFont="1" applyBorder="1" applyAlignment="1">
      <alignment horizontal="center"/>
    </xf>
    <xf numFmtId="0" fontId="15" fillId="0" borderId="1" xfId="8" applyFont="1" applyBorder="1" applyAlignment="1">
      <alignment horizontal="left"/>
    </xf>
    <xf numFmtId="0" fontId="15" fillId="0" borderId="1" xfId="8" applyFont="1" applyBorder="1"/>
    <xf numFmtId="1" fontId="38" fillId="0" borderId="1" xfId="1" applyNumberFormat="1" applyFont="1" applyFill="1" applyBorder="1" applyAlignment="1">
      <alignment horizontal="center"/>
    </xf>
    <xf numFmtId="0" fontId="15" fillId="0" borderId="12" xfId="8" applyFont="1" applyBorder="1" applyAlignment="1">
      <alignment horizontal="left"/>
    </xf>
    <xf numFmtId="0" fontId="34" fillId="0" borderId="8" xfId="8" applyFont="1" applyBorder="1" applyAlignment="1">
      <alignment horizontal="left"/>
    </xf>
    <xf numFmtId="1" fontId="15" fillId="0" borderId="0" xfId="1" applyNumberFormat="1" applyFont="1" applyBorder="1"/>
    <xf numFmtId="165" fontId="15" fillId="0" borderId="13" xfId="9" applyNumberFormat="1" applyFont="1" applyFill="1" applyBorder="1" applyAlignment="1">
      <alignment horizontal="right"/>
    </xf>
    <xf numFmtId="1" fontId="15" fillId="0" borderId="0" xfId="1" applyNumberFormat="1" applyFont="1" applyBorder="1" applyAlignment="1">
      <alignment horizontal="right"/>
    </xf>
    <xf numFmtId="10" fontId="8" fillId="0" borderId="0" xfId="8" applyNumberFormat="1"/>
    <xf numFmtId="10" fontId="15" fillId="0" borderId="0" xfId="4" applyNumberFormat="1" applyFont="1" applyBorder="1"/>
    <xf numFmtId="1" fontId="15" fillId="0" borderId="0" xfId="1" applyNumberFormat="1" applyFont="1" applyAlignment="1">
      <alignment horizontal="right"/>
    </xf>
    <xf numFmtId="0" fontId="8" fillId="0" borderId="6" xfId="8" applyBorder="1" applyAlignment="1">
      <alignment horizontal="center"/>
    </xf>
    <xf numFmtId="0" fontId="8" fillId="0" borderId="0" xfId="8" applyAlignment="1">
      <alignment horizontal="left"/>
    </xf>
    <xf numFmtId="0" fontId="37" fillId="0" borderId="0" xfId="8" applyFont="1" applyAlignment="1">
      <alignment horizontal="left"/>
    </xf>
    <xf numFmtId="0" fontId="37" fillId="7" borderId="15" xfId="8" applyFont="1" applyFill="1" applyBorder="1" applyAlignment="1">
      <alignment horizontal="center" wrapText="1"/>
    </xf>
    <xf numFmtId="0" fontId="8" fillId="0" borderId="5" xfId="8" applyBorder="1" applyAlignment="1">
      <alignment horizontal="left"/>
    </xf>
    <xf numFmtId="0" fontId="40" fillId="0" borderId="6" xfId="8" applyFont="1" applyBorder="1" applyAlignment="1">
      <alignment horizontal="left"/>
    </xf>
    <xf numFmtId="0" fontId="41" fillId="0" borderId="6" xfId="8" applyFont="1" applyBorder="1"/>
    <xf numFmtId="165" fontId="8" fillId="0" borderId="5" xfId="9" applyNumberFormat="1" applyFont="1" applyFill="1" applyBorder="1"/>
    <xf numFmtId="165" fontId="8" fillId="0" borderId="6" xfId="9" applyNumberFormat="1" applyFont="1" applyFill="1" applyBorder="1" applyAlignment="1">
      <alignment horizontal="center"/>
    </xf>
    <xf numFmtId="165" fontId="40" fillId="0" borderId="6" xfId="9" applyNumberFormat="1" applyFont="1" applyFill="1" applyBorder="1"/>
    <xf numFmtId="0" fontId="37" fillId="0" borderId="6" xfId="8" applyFont="1" applyBorder="1" applyAlignment="1">
      <alignment horizontal="center" wrapText="1"/>
    </xf>
    <xf numFmtId="0" fontId="8" fillId="0" borderId="6" xfId="8" applyBorder="1" applyAlignment="1">
      <alignment horizontal="center" wrapText="1"/>
    </xf>
    <xf numFmtId="0" fontId="8" fillId="0" borderId="7" xfId="8" applyBorder="1" applyAlignment="1">
      <alignment horizontal="center" wrapText="1"/>
    </xf>
    <xf numFmtId="0" fontId="8" fillId="0" borderId="8" xfId="5" applyFont="1" applyBorder="1" applyAlignment="1" applyProtection="1">
      <alignment horizontal="center"/>
      <protection locked="0"/>
    </xf>
    <xf numFmtId="0" fontId="8" fillId="0" borderId="0" xfId="5" applyFont="1"/>
    <xf numFmtId="165" fontId="8" fillId="3" borderId="0" xfId="9" applyNumberFormat="1" applyFont="1" applyFill="1" applyBorder="1" applyAlignment="1">
      <alignment horizontal="right"/>
    </xf>
    <xf numFmtId="165" fontId="8" fillId="0" borderId="8" xfId="1" applyNumberFormat="1" applyFont="1" applyFill="1" applyBorder="1" applyAlignment="1"/>
    <xf numFmtId="174" fontId="8" fillId="0" borderId="0" xfId="5" applyNumberFormat="1" applyFont="1"/>
    <xf numFmtId="3" fontId="8" fillId="0" borderId="0" xfId="5" applyNumberFormat="1" applyFont="1"/>
    <xf numFmtId="3" fontId="8" fillId="0" borderId="0" xfId="5" applyNumberFormat="1" applyFont="1" applyAlignment="1">
      <alignment horizontal="right"/>
    </xf>
    <xf numFmtId="0" fontId="41" fillId="0" borderId="9" xfId="5" applyFont="1" applyBorder="1"/>
    <xf numFmtId="3" fontId="10" fillId="0" borderId="0" xfId="5" applyNumberFormat="1" applyFont="1"/>
    <xf numFmtId="43" fontId="8" fillId="0" borderId="0" xfId="1" applyFont="1" applyFill="1" applyBorder="1" applyAlignment="1">
      <alignment horizontal="right"/>
    </xf>
    <xf numFmtId="43" fontId="5" fillId="0" borderId="8" xfId="1" applyFont="1" applyFill="1" applyBorder="1" applyAlignment="1"/>
    <xf numFmtId="174" fontId="5" fillId="0" borderId="0" xfId="5" applyNumberFormat="1" applyFont="1"/>
    <xf numFmtId="0" fontId="42" fillId="0" borderId="0" xfId="5" applyFont="1" applyAlignment="1">
      <alignment horizontal="left"/>
    </xf>
    <xf numFmtId="165" fontId="5" fillId="0" borderId="8" xfId="1" applyNumberFormat="1" applyFont="1" applyFill="1" applyBorder="1" applyAlignment="1"/>
    <xf numFmtId="0" fontId="4" fillId="0" borderId="8" xfId="5" applyBorder="1"/>
    <xf numFmtId="43" fontId="8" fillId="0" borderId="0" xfId="1" applyFont="1" applyFill="1" applyBorder="1" applyAlignment="1"/>
    <xf numFmtId="165" fontId="8" fillId="0" borderId="0" xfId="9" applyNumberFormat="1" applyFont="1" applyFill="1" applyBorder="1" applyAlignment="1">
      <alignment horizontal="center"/>
    </xf>
    <xf numFmtId="3" fontId="8" fillId="0" borderId="8" xfId="5" applyNumberFormat="1" applyFont="1" applyBorder="1"/>
    <xf numFmtId="0" fontId="8" fillId="0" borderId="8" xfId="8" applyBorder="1" applyAlignment="1">
      <alignment horizontal="center"/>
    </xf>
    <xf numFmtId="0" fontId="41" fillId="3" borderId="0" xfId="1" applyNumberFormat="1" applyFont="1" applyFill="1" applyBorder="1" applyAlignment="1">
      <alignment horizontal="center"/>
    </xf>
    <xf numFmtId="165" fontId="5" fillId="3" borderId="0" xfId="9" applyNumberFormat="1" applyFont="1" applyFill="1" applyBorder="1" applyAlignment="1"/>
    <xf numFmtId="0" fontId="8" fillId="0" borderId="3" xfId="8" applyBorder="1" applyAlignment="1">
      <alignment horizontal="left"/>
    </xf>
    <xf numFmtId="3" fontId="8" fillId="0" borderId="3" xfId="8" applyNumberFormat="1" applyBorder="1"/>
    <xf numFmtId="0" fontId="41" fillId="3" borderId="3" xfId="1" applyNumberFormat="1" applyFont="1" applyFill="1" applyBorder="1" applyAlignment="1">
      <alignment horizontal="center"/>
    </xf>
    <xf numFmtId="0" fontId="40" fillId="0" borderId="0" xfId="8" applyFont="1" applyAlignment="1">
      <alignment horizontal="left"/>
    </xf>
    <xf numFmtId="3" fontId="41" fillId="0" borderId="0" xfId="8" applyNumberFormat="1" applyFont="1" applyAlignment="1">
      <alignment horizontal="center"/>
    </xf>
    <xf numFmtId="3" fontId="8" fillId="0" borderId="11" xfId="5" applyNumberFormat="1" applyFont="1" applyBorder="1"/>
    <xf numFmtId="174" fontId="8" fillId="0" borderId="1" xfId="5" applyNumberFormat="1" applyFont="1" applyBorder="1"/>
    <xf numFmtId="3" fontId="8" fillId="0" borderId="1" xfId="5" applyNumberFormat="1" applyFont="1" applyBorder="1"/>
    <xf numFmtId="3" fontId="8" fillId="0" borderId="1" xfId="5" applyNumberFormat="1" applyFont="1" applyBorder="1" applyAlignment="1">
      <alignment horizontal="right"/>
    </xf>
    <xf numFmtId="0" fontId="41" fillId="0" borderId="12" xfId="5" applyFont="1" applyBorder="1"/>
    <xf numFmtId="0" fontId="8" fillId="0" borderId="11" xfId="8" applyBorder="1" applyAlignment="1">
      <alignment horizontal="center"/>
    </xf>
    <xf numFmtId="0" fontId="8" fillId="0" borderId="1" xfId="8" applyBorder="1" applyAlignment="1">
      <alignment horizontal="center"/>
    </xf>
    <xf numFmtId="0" fontId="37" fillId="0" borderId="1" xfId="8" applyFont="1" applyBorder="1" applyAlignment="1">
      <alignment horizontal="left"/>
    </xf>
    <xf numFmtId="0" fontId="41" fillId="0" borderId="1" xfId="8" applyFont="1" applyBorder="1"/>
    <xf numFmtId="0" fontId="8" fillId="0" borderId="1" xfId="8" applyBorder="1" applyAlignment="1">
      <alignment horizontal="left"/>
    </xf>
    <xf numFmtId="0" fontId="8" fillId="0" borderId="1" xfId="8" applyBorder="1"/>
    <xf numFmtId="165" fontId="8" fillId="0" borderId="11" xfId="9" applyNumberFormat="1" applyFont="1" applyFill="1" applyBorder="1"/>
    <xf numFmtId="165" fontId="8" fillId="0" borderId="1" xfId="9" applyNumberFormat="1" applyFont="1" applyFill="1" applyBorder="1" applyAlignment="1">
      <alignment horizontal="center"/>
    </xf>
    <xf numFmtId="165" fontId="40" fillId="0" borderId="1" xfId="9" applyNumberFormat="1" applyFont="1" applyFill="1" applyBorder="1"/>
    <xf numFmtId="0" fontId="37" fillId="0" borderId="1" xfId="8" applyFont="1" applyBorder="1" applyAlignment="1">
      <alignment horizontal="center" wrapText="1"/>
    </xf>
    <xf numFmtId="0" fontId="8" fillId="0" borderId="1" xfId="8" applyBorder="1" applyAlignment="1">
      <alignment horizontal="center" wrapText="1"/>
    </xf>
    <xf numFmtId="0" fontId="8" fillId="0" borderId="12" xfId="8" applyBorder="1" applyAlignment="1">
      <alignment horizontal="center" wrapText="1"/>
    </xf>
    <xf numFmtId="0" fontId="37" fillId="0" borderId="0" xfId="8" applyFont="1" applyAlignment="1">
      <alignment horizontal="center"/>
    </xf>
    <xf numFmtId="0" fontId="8" fillId="0" borderId="0" xfId="8" applyAlignment="1">
      <alignment horizontal="left" wrapText="1"/>
    </xf>
    <xf numFmtId="165" fontId="8" fillId="0" borderId="0" xfId="9" applyNumberFormat="1" applyFont="1" applyFill="1" applyBorder="1"/>
    <xf numFmtId="165" fontId="40" fillId="0" borderId="0" xfId="9" applyNumberFormat="1" applyFont="1" applyFill="1" applyBorder="1"/>
    <xf numFmtId="0" fontId="37" fillId="0" borderId="0" xfId="8" applyFont="1" applyAlignment="1">
      <alignment horizontal="center" wrapText="1"/>
    </xf>
    <xf numFmtId="0" fontId="41" fillId="0" borderId="0" xfId="8" applyFont="1"/>
    <xf numFmtId="0" fontId="41" fillId="0" borderId="0" xfId="8" applyFont="1" applyAlignment="1">
      <alignment horizontal="center"/>
    </xf>
    <xf numFmtId="0" fontId="37" fillId="7" borderId="6" xfId="8" applyFont="1" applyFill="1" applyBorder="1" applyAlignment="1">
      <alignment horizontal="center" wrapText="1"/>
    </xf>
    <xf numFmtId="0" fontId="40" fillId="0" borderId="0" xfId="8" applyFont="1"/>
    <xf numFmtId="164" fontId="43" fillId="0" borderId="0" xfId="0" applyFont="1" applyAlignment="1">
      <alignment horizontal="center"/>
    </xf>
    <xf numFmtId="0" fontId="43" fillId="0" borderId="0" xfId="8" applyFont="1" applyAlignment="1">
      <alignment horizontal="center"/>
    </xf>
    <xf numFmtId="3" fontId="43" fillId="0" borderId="0" xfId="8" applyNumberFormat="1" applyFont="1" applyAlignment="1">
      <alignment horizontal="center" wrapText="1"/>
    </xf>
    <xf numFmtId="0" fontId="43" fillId="0" borderId="0" xfId="8" applyFont="1" applyAlignment="1">
      <alignment horizontal="center" wrapText="1"/>
    </xf>
    <xf numFmtId="164" fontId="8" fillId="0" borderId="9" xfId="0" applyFont="1" applyBorder="1"/>
    <xf numFmtId="0" fontId="43" fillId="2" borderId="0" xfId="8" applyFont="1" applyFill="1"/>
    <xf numFmtId="165" fontId="43" fillId="2" borderId="0" xfId="1" applyNumberFormat="1" applyFont="1" applyFill="1" applyBorder="1" applyAlignment="1">
      <alignment horizontal="center"/>
    </xf>
    <xf numFmtId="165" fontId="43" fillId="0" borderId="0" xfId="1" applyNumberFormat="1" applyFont="1" applyFill="1" applyBorder="1" applyAlignment="1">
      <alignment horizontal="center" wrapText="1"/>
    </xf>
    <xf numFmtId="165" fontId="43" fillId="2" borderId="0" xfId="1" applyNumberFormat="1" applyFont="1" applyFill="1" applyBorder="1"/>
    <xf numFmtId="0" fontId="43" fillId="2" borderId="3" xfId="8" applyFont="1" applyFill="1" applyBorder="1"/>
    <xf numFmtId="165" fontId="43" fillId="2" borderId="3" xfId="1" applyNumberFormat="1" applyFont="1" applyFill="1" applyBorder="1"/>
    <xf numFmtId="165" fontId="43" fillId="0" borderId="3" xfId="1" applyNumberFormat="1" applyFont="1" applyFill="1" applyBorder="1" applyAlignment="1">
      <alignment horizontal="center" wrapText="1"/>
    </xf>
    <xf numFmtId="0" fontId="43" fillId="0" borderId="0" xfId="8" applyFont="1"/>
    <xf numFmtId="165" fontId="43" fillId="0" borderId="0" xfId="1" applyNumberFormat="1" applyFont="1" applyFill="1" applyBorder="1"/>
    <xf numFmtId="165" fontId="43" fillId="0" borderId="0" xfId="1" applyNumberFormat="1" applyFont="1" applyFill="1" applyBorder="1" applyAlignment="1">
      <alignment horizontal="center"/>
    </xf>
    <xf numFmtId="164" fontId="44" fillId="0" borderId="0" xfId="0" applyFont="1"/>
    <xf numFmtId="43" fontId="8" fillId="0" borderId="0" xfId="8" applyNumberFormat="1" applyAlignment="1">
      <alignment horizontal="center"/>
    </xf>
    <xf numFmtId="0" fontId="37" fillId="0" borderId="5" xfId="8" applyFont="1" applyBorder="1" applyAlignment="1">
      <alignment horizontal="left"/>
    </xf>
    <xf numFmtId="0" fontId="8" fillId="0" borderId="6" xfId="8" applyBorder="1"/>
    <xf numFmtId="0" fontId="8" fillId="0" borderId="7" xfId="8" applyBorder="1"/>
    <xf numFmtId="0" fontId="47" fillId="4" borderId="0" xfId="8" applyFont="1" applyFill="1" applyAlignment="1">
      <alignment horizontal="left"/>
    </xf>
    <xf numFmtId="0" fontId="37" fillId="4" borderId="0" xfId="8" applyFont="1" applyFill="1" applyAlignment="1">
      <alignment horizontal="center" wrapText="1"/>
    </xf>
    <xf numFmtId="0" fontId="37" fillId="7" borderId="0" xfId="8" applyFont="1" applyFill="1" applyAlignment="1">
      <alignment horizontal="center" wrapText="1"/>
    </xf>
    <xf numFmtId="43" fontId="8" fillId="2" borderId="0" xfId="8" applyNumberFormat="1" applyFill="1" applyAlignment="1">
      <alignment horizontal="center"/>
    </xf>
    <xf numFmtId="0" fontId="8" fillId="0" borderId="8" xfId="8" applyBorder="1"/>
    <xf numFmtId="164" fontId="48" fillId="0" borderId="0" xfId="0" applyFont="1"/>
    <xf numFmtId="0" fontId="48" fillId="0" borderId="1" xfId="8" applyFont="1" applyBorder="1"/>
    <xf numFmtId="0" fontId="8" fillId="0" borderId="12" xfId="8" applyBorder="1"/>
    <xf numFmtId="0" fontId="48" fillId="0" borderId="0" xfId="8" applyFont="1"/>
    <xf numFmtId="0" fontId="37" fillId="4" borderId="0" xfId="8" applyFont="1" applyFill="1" applyAlignment="1">
      <alignment horizontal="left"/>
    </xf>
    <xf numFmtId="0" fontId="8" fillId="4" borderId="0" xfId="8" applyFill="1"/>
    <xf numFmtId="0" fontId="8" fillId="8" borderId="0" xfId="8" applyFill="1"/>
    <xf numFmtId="0" fontId="37" fillId="0" borderId="5" xfId="8" applyFont="1" applyBorder="1" applyAlignment="1">
      <alignment horizontal="center" wrapText="1"/>
    </xf>
    <xf numFmtId="0" fontId="40" fillId="0" borderId="8" xfId="8" applyFont="1" applyBorder="1" applyAlignment="1">
      <alignment horizontal="center"/>
    </xf>
    <xf numFmtId="3" fontId="40" fillId="0" borderId="0" xfId="8" applyNumberFormat="1" applyFont="1" applyAlignment="1">
      <alignment horizontal="center"/>
    </xf>
    <xf numFmtId="0" fontId="40" fillId="0" borderId="0" xfId="8" applyFont="1" applyAlignment="1">
      <alignment horizontal="center"/>
    </xf>
    <xf numFmtId="0" fontId="8" fillId="0" borderId="9" xfId="8" applyBorder="1"/>
    <xf numFmtId="164" fontId="49" fillId="0" borderId="0" xfId="0" applyFont="1"/>
    <xf numFmtId="165" fontId="8" fillId="2" borderId="8" xfId="9" applyNumberFormat="1" applyFont="1" applyFill="1" applyBorder="1" applyAlignment="1">
      <alignment horizontal="right"/>
    </xf>
    <xf numFmtId="165" fontId="8" fillId="2" borderId="0" xfId="9" applyNumberFormat="1" applyFont="1" applyFill="1" applyBorder="1" applyAlignment="1">
      <alignment horizontal="right"/>
    </xf>
    <xf numFmtId="0" fontId="8" fillId="0" borderId="11" xfId="8" applyBorder="1"/>
    <xf numFmtId="171" fontId="40" fillId="0" borderId="0" xfId="8" applyNumberFormat="1" applyFont="1" applyAlignment="1">
      <alignment horizontal="left"/>
    </xf>
    <xf numFmtId="3" fontId="8" fillId="0" borderId="9" xfId="8" applyNumberFormat="1" applyBorder="1"/>
    <xf numFmtId="0" fontId="8" fillId="0" borderId="0" xfId="8" applyAlignment="1">
      <alignment horizontal="left" indent="1"/>
    </xf>
    <xf numFmtId="0" fontId="8" fillId="2" borderId="0" xfId="8" applyFill="1" applyAlignment="1">
      <alignment horizontal="center"/>
    </xf>
    <xf numFmtId="0" fontId="8" fillId="3" borderId="0" xfId="8" applyFill="1" applyAlignment="1">
      <alignment horizontal="center"/>
    </xf>
    <xf numFmtId="0" fontId="40" fillId="0" borderId="9" xfId="8" applyFont="1" applyBorder="1" applyAlignment="1">
      <alignment horizontal="center"/>
    </xf>
    <xf numFmtId="10" fontId="8" fillId="2" borderId="0" xfId="4" applyNumberFormat="1" applyFont="1" applyFill="1" applyBorder="1" applyAlignment="1"/>
    <xf numFmtId="171" fontId="8" fillId="3" borderId="0" xfId="11" applyNumberFormat="1" applyFont="1" applyFill="1" applyBorder="1" applyAlignment="1">
      <alignment horizontal="center"/>
    </xf>
    <xf numFmtId="9" fontId="8" fillId="3" borderId="0" xfId="11" applyFont="1" applyFill="1" applyBorder="1" applyAlignment="1">
      <alignment horizontal="center"/>
    </xf>
    <xf numFmtId="166" fontId="8" fillId="0" borderId="0" xfId="1" applyNumberFormat="1" applyFont="1" applyFill="1" applyBorder="1" applyAlignment="1"/>
    <xf numFmtId="171" fontId="8" fillId="0" borderId="0" xfId="11" applyNumberFormat="1" applyFont="1" applyFill="1" applyBorder="1" applyAlignment="1">
      <alignment horizontal="center"/>
    </xf>
    <xf numFmtId="9" fontId="8" fillId="0" borderId="0" xfId="11" applyFont="1" applyFill="1" applyBorder="1" applyAlignment="1">
      <alignment horizontal="center"/>
    </xf>
    <xf numFmtId="43" fontId="8" fillId="0" borderId="9" xfId="1" applyFont="1" applyFill="1" applyBorder="1" applyAlignment="1">
      <alignment horizontal="center"/>
    </xf>
    <xf numFmtId="164" fontId="8" fillId="0" borderId="1" xfId="8" applyNumberFormat="1" applyBorder="1"/>
    <xf numFmtId="0" fontId="41" fillId="0" borderId="1" xfId="8" applyFont="1" applyBorder="1" applyAlignment="1">
      <alignment horizontal="center"/>
    </xf>
    <xf numFmtId="0" fontId="8" fillId="0" borderId="12" xfId="8" applyBorder="1" applyAlignment="1">
      <alignment horizontal="left"/>
    </xf>
    <xf numFmtId="178" fontId="8" fillId="0" borderId="12" xfId="4" applyNumberFormat="1" applyFont="1" applyFill="1" applyBorder="1" applyAlignment="1">
      <alignment horizontal="center"/>
    </xf>
    <xf numFmtId="42" fontId="8" fillId="0" borderId="0" xfId="8" applyNumberFormat="1"/>
    <xf numFmtId="0" fontId="47" fillId="0" borderId="0" xfId="8" applyFont="1" applyAlignment="1">
      <alignment horizontal="left"/>
    </xf>
    <xf numFmtId="0" fontId="47" fillId="4" borderId="5" xfId="8" applyFont="1" applyFill="1" applyBorder="1" applyAlignment="1">
      <alignment horizontal="center" wrapText="1"/>
    </xf>
    <xf numFmtId="0" fontId="47" fillId="4" borderId="6" xfId="8" applyFont="1" applyFill="1" applyBorder="1" applyAlignment="1">
      <alignment horizontal="center" wrapText="1"/>
    </xf>
    <xf numFmtId="165" fontId="8" fillId="0" borderId="0" xfId="8" applyNumberFormat="1" applyAlignment="1">
      <alignment horizontal="center"/>
    </xf>
    <xf numFmtId="0" fontId="37" fillId="7" borderId="5" xfId="8" applyFont="1" applyFill="1" applyBorder="1" applyAlignment="1">
      <alignment horizontal="center" wrapText="1"/>
    </xf>
    <xf numFmtId="0" fontId="47" fillId="4" borderId="6" xfId="8" applyFont="1" applyFill="1" applyBorder="1" applyAlignment="1">
      <alignment wrapText="1"/>
    </xf>
    <xf numFmtId="3" fontId="40" fillId="0" borderId="0" xfId="8" applyNumberFormat="1" applyFont="1"/>
    <xf numFmtId="43" fontId="40" fillId="2" borderId="8" xfId="1" applyFont="1" applyFill="1" applyBorder="1"/>
    <xf numFmtId="43" fontId="8" fillId="2" borderId="0" xfId="1" applyFont="1" applyFill="1" applyBorder="1"/>
    <xf numFmtId="3" fontId="8" fillId="0" borderId="0" xfId="8" applyNumberFormat="1"/>
    <xf numFmtId="0" fontId="37" fillId="0" borderId="1" xfId="8" applyFont="1" applyBorder="1"/>
    <xf numFmtId="0" fontId="37" fillId="7" borderId="5" xfId="8" applyFont="1" applyFill="1" applyBorder="1" applyAlignment="1">
      <alignment horizontal="left"/>
    </xf>
    <xf numFmtId="0" fontId="37" fillId="7" borderId="6" xfId="8" applyFont="1" applyFill="1" applyBorder="1" applyAlignment="1">
      <alignment horizontal="center"/>
    </xf>
    <xf numFmtId="0" fontId="8" fillId="7" borderId="6" xfId="8" applyFill="1" applyBorder="1"/>
    <xf numFmtId="0" fontId="30" fillId="7" borderId="7" xfId="8" applyFont="1" applyFill="1" applyBorder="1" applyAlignment="1">
      <alignment horizontal="center" wrapText="1"/>
    </xf>
    <xf numFmtId="0" fontId="50" fillId="0" borderId="0" xfId="8" applyFont="1" applyAlignment="1">
      <alignment horizontal="center" wrapText="1"/>
    </xf>
    <xf numFmtId="0" fontId="51" fillId="0" borderId="0" xfId="8" applyFont="1"/>
    <xf numFmtId="0" fontId="52" fillId="0" borderId="0" xfId="8" applyFont="1"/>
    <xf numFmtId="0" fontId="15" fillId="0" borderId="0" xfId="8" applyFont="1" applyAlignment="1">
      <alignment horizontal="center" wrapText="1"/>
    </xf>
    <xf numFmtId="0" fontId="8" fillId="0" borderId="9" xfId="8" applyBorder="1" applyAlignment="1">
      <alignment horizontal="center" wrapText="1"/>
    </xf>
    <xf numFmtId="171" fontId="8" fillId="0" borderId="0" xfId="11" applyNumberFormat="1" applyFont="1" applyFill="1" applyBorder="1" applyAlignment="1"/>
    <xf numFmtId="165" fontId="8" fillId="0" borderId="0" xfId="9" applyNumberFormat="1" applyFont="1" applyFill="1" applyBorder="1" applyAlignment="1">
      <alignment horizontal="left"/>
    </xf>
    <xf numFmtId="0" fontId="8" fillId="0" borderId="9" xfId="8" applyBorder="1" applyAlignment="1">
      <alignment horizontal="center"/>
    </xf>
    <xf numFmtId="165" fontId="41" fillId="2" borderId="0" xfId="1" applyNumberFormat="1" applyFont="1" applyFill="1" applyBorder="1" applyAlignment="1">
      <alignment horizontal="center"/>
    </xf>
    <xf numFmtId="165" fontId="5" fillId="2" borderId="0" xfId="9" applyNumberFormat="1" applyFont="1" applyFill="1" applyBorder="1" applyAlignment="1"/>
    <xf numFmtId="165" fontId="41" fillId="3" borderId="0" xfId="1" applyNumberFormat="1" applyFont="1" applyFill="1" applyBorder="1" applyAlignment="1">
      <alignment horizontal="center"/>
    </xf>
    <xf numFmtId="165" fontId="41" fillId="0" borderId="0" xfId="1" applyNumberFormat="1" applyFont="1" applyFill="1" applyBorder="1" applyAlignment="1">
      <alignment horizontal="center"/>
    </xf>
    <xf numFmtId="165" fontId="5" fillId="0" borderId="0" xfId="9" applyNumberFormat="1" applyFont="1" applyFill="1" applyBorder="1" applyAlignment="1"/>
    <xf numFmtId="165" fontId="15" fillId="0" borderId="1" xfId="8" applyNumberFormat="1" applyFont="1" applyBorder="1"/>
    <xf numFmtId="165" fontId="8" fillId="0" borderId="1" xfId="9" applyNumberFormat="1" applyFont="1" applyBorder="1"/>
    <xf numFmtId="165" fontId="40" fillId="0" borderId="1" xfId="9" applyNumberFormat="1" applyFont="1" applyBorder="1" applyAlignment="1"/>
    <xf numFmtId="165" fontId="28" fillId="0" borderId="0" xfId="9" applyNumberFormat="1" applyFont="1" applyBorder="1" applyAlignment="1"/>
    <xf numFmtId="165" fontId="40" fillId="0" borderId="0" xfId="9" applyNumberFormat="1" applyFont="1" applyBorder="1" applyAlignment="1"/>
    <xf numFmtId="165" fontId="8" fillId="0" borderId="0" xfId="9" applyNumberFormat="1" applyFont="1" applyBorder="1"/>
    <xf numFmtId="0" fontId="29" fillId="7" borderId="0" xfId="8" applyFont="1" applyFill="1" applyAlignment="1">
      <alignment horizontal="center" wrapText="1"/>
    </xf>
    <xf numFmtId="0" fontId="8" fillId="0" borderId="5" xfId="8" applyBorder="1" applyAlignment="1">
      <alignment horizontal="center"/>
    </xf>
    <xf numFmtId="0" fontId="54" fillId="0" borderId="6" xfId="8" applyFont="1" applyBorder="1" applyAlignment="1">
      <alignment horizontal="left"/>
    </xf>
    <xf numFmtId="164" fontId="0" fillId="0" borderId="6" xfId="0" applyBorder="1"/>
    <xf numFmtId="0" fontId="29" fillId="0" borderId="6" xfId="8" applyFont="1" applyBorder="1" applyAlignment="1">
      <alignment horizontal="center"/>
    </xf>
    <xf numFmtId="0" fontId="29" fillId="0" borderId="6" xfId="8" applyFont="1" applyBorder="1" applyAlignment="1">
      <alignment horizontal="center" wrapText="1"/>
    </xf>
    <xf numFmtId="0" fontId="15" fillId="0" borderId="6" xfId="8" applyFont="1" applyBorder="1" applyAlignment="1">
      <alignment horizontal="center" wrapText="1"/>
    </xf>
    <xf numFmtId="0" fontId="15" fillId="0" borderId="7" xfId="8" applyFont="1" applyBorder="1" applyAlignment="1">
      <alignment horizontal="center" wrapText="1"/>
    </xf>
    <xf numFmtId="49" fontId="8" fillId="0" borderId="0" xfId="8" applyNumberFormat="1" applyAlignment="1">
      <alignment horizontal="center"/>
    </xf>
    <xf numFmtId="0" fontId="29" fillId="0" borderId="0" xfId="8" applyFont="1" applyAlignment="1">
      <alignment horizontal="center"/>
    </xf>
    <xf numFmtId="0" fontId="29" fillId="0" borderId="0" xfId="8" applyFont="1" applyAlignment="1">
      <alignment horizontal="center" wrapText="1"/>
    </xf>
    <xf numFmtId="0" fontId="15" fillId="0" borderId="9" xfId="8" applyFont="1" applyBorder="1" applyAlignment="1">
      <alignment horizontal="center" wrapText="1"/>
    </xf>
    <xf numFmtId="0" fontId="40" fillId="0" borderId="0" xfId="12" applyFont="1" applyAlignment="1">
      <alignment horizontal="center"/>
    </xf>
    <xf numFmtId="164" fontId="43" fillId="0" borderId="0" xfId="0" applyFont="1"/>
    <xf numFmtId="3" fontId="43" fillId="0" borderId="0" xfId="8" applyNumberFormat="1" applyFont="1"/>
    <xf numFmtId="164" fontId="56" fillId="0" borderId="0" xfId="13" applyFont="1" applyAlignment="1">
      <alignment horizontal="center" wrapText="1"/>
    </xf>
    <xf numFmtId="0" fontId="43" fillId="0" borderId="0" xfId="14" applyFont="1"/>
    <xf numFmtId="164" fontId="43" fillId="0" borderId="0" xfId="1" applyNumberFormat="1" applyFont="1" applyFill="1" applyBorder="1" applyAlignment="1"/>
    <xf numFmtId="166" fontId="43" fillId="0" borderId="0" xfId="1" applyNumberFormat="1" applyFont="1" applyFill="1" applyBorder="1" applyAlignment="1"/>
    <xf numFmtId="43" fontId="43" fillId="3" borderId="0" xfId="1" applyFont="1" applyFill="1" applyBorder="1" applyAlignment="1">
      <alignment horizontal="right"/>
    </xf>
    <xf numFmtId="43" fontId="43" fillId="0" borderId="0" xfId="1" applyFont="1" applyBorder="1" applyAlignment="1"/>
    <xf numFmtId="164" fontId="43" fillId="3" borderId="0" xfId="0" applyFont="1" applyFill="1"/>
    <xf numFmtId="43" fontId="15" fillId="0" borderId="0" xfId="1" applyFont="1" applyBorder="1"/>
    <xf numFmtId="164" fontId="8" fillId="0" borderId="8" xfId="13" applyFont="1" applyBorder="1"/>
    <xf numFmtId="164" fontId="8" fillId="0" borderId="0" xfId="13" applyFont="1"/>
    <xf numFmtId="164" fontId="43" fillId="0" borderId="0" xfId="13" applyFont="1"/>
    <xf numFmtId="164" fontId="8" fillId="0" borderId="0" xfId="13" applyFont="1" applyAlignment="1">
      <alignment horizontal="center" vertical="top"/>
    </xf>
    <xf numFmtId="164" fontId="8" fillId="0" borderId="0" xfId="13" applyFont="1" applyAlignment="1">
      <alignment horizontal="left"/>
    </xf>
    <xf numFmtId="164" fontId="8" fillId="0" borderId="0" xfId="13" applyFont="1" applyAlignment="1">
      <alignment vertical="top"/>
    </xf>
    <xf numFmtId="0" fontId="8" fillId="0" borderId="8" xfId="0" applyNumberFormat="1" applyFont="1" applyBorder="1" applyAlignment="1">
      <alignment horizontal="center" vertical="center"/>
    </xf>
    <xf numFmtId="164" fontId="8" fillId="0" borderId="11" xfId="0" applyFont="1" applyBorder="1"/>
    <xf numFmtId="164" fontId="8" fillId="0" borderId="1" xfId="0" applyFont="1" applyBorder="1"/>
    <xf numFmtId="0" fontId="15" fillId="0" borderId="12" xfId="8" applyFont="1" applyBorder="1"/>
    <xf numFmtId="3" fontId="28" fillId="0" borderId="6" xfId="8" applyNumberFormat="1" applyFont="1" applyBorder="1" applyAlignment="1">
      <alignment horizontal="left"/>
    </xf>
    <xf numFmtId="164" fontId="57" fillId="0" borderId="0" xfId="0" applyFont="1"/>
    <xf numFmtId="165" fontId="34" fillId="7" borderId="0" xfId="1" applyNumberFormat="1" applyFont="1" applyFill="1" applyBorder="1" applyAlignment="1">
      <alignment horizontal="center" wrapText="1"/>
    </xf>
    <xf numFmtId="0" fontId="15" fillId="0" borderId="5" xfId="1" applyNumberFormat="1" applyFont="1" applyFill="1" applyBorder="1" applyAlignment="1">
      <alignment horizontal="center"/>
    </xf>
    <xf numFmtId="0" fontId="15" fillId="0" borderId="6" xfId="8" applyFont="1" applyBorder="1"/>
    <xf numFmtId="165" fontId="15" fillId="0" borderId="6" xfId="1" applyNumberFormat="1" applyFont="1" applyFill="1" applyBorder="1"/>
    <xf numFmtId="165" fontId="15" fillId="0" borderId="6" xfId="1" applyNumberFormat="1" applyFont="1" applyFill="1" applyBorder="1" applyAlignment="1">
      <alignment horizontal="center"/>
    </xf>
    <xf numFmtId="165" fontId="15" fillId="0" borderId="6" xfId="1" applyNumberFormat="1" applyFont="1" applyBorder="1"/>
    <xf numFmtId="165" fontId="15" fillId="0" borderId="7" xfId="1" applyNumberFormat="1" applyFont="1" applyBorder="1"/>
    <xf numFmtId="0" fontId="28" fillId="0" borderId="8" xfId="1" applyNumberFormat="1" applyFont="1" applyBorder="1" applyAlignment="1">
      <alignment horizontal="center"/>
    </xf>
    <xf numFmtId="165" fontId="15" fillId="0" borderId="0" xfId="1" applyNumberFormat="1" applyFont="1" applyBorder="1" applyAlignment="1">
      <alignment horizontal="center"/>
    </xf>
    <xf numFmtId="165" fontId="15" fillId="0" borderId="9" xfId="1" applyNumberFormat="1" applyFont="1" applyBorder="1" applyAlignment="1">
      <alignment horizontal="center"/>
    </xf>
    <xf numFmtId="0" fontId="15" fillId="0" borderId="8" xfId="1" applyNumberFormat="1" applyFont="1" applyBorder="1" applyAlignment="1">
      <alignment horizontal="center"/>
    </xf>
    <xf numFmtId="0" fontId="28" fillId="0" borderId="17" xfId="1" applyNumberFormat="1" applyFont="1" applyBorder="1" applyAlignment="1">
      <alignment horizontal="center"/>
    </xf>
    <xf numFmtId="165" fontId="28" fillId="0" borderId="10" xfId="1" applyNumberFormat="1" applyFont="1" applyFill="1" applyBorder="1" applyAlignment="1">
      <alignment horizontal="center"/>
    </xf>
    <xf numFmtId="165" fontId="15" fillId="0" borderId="0" xfId="1" applyNumberFormat="1" applyFont="1" applyFill="1" applyBorder="1" applyAlignment="1">
      <alignment horizontal="center"/>
    </xf>
    <xf numFmtId="165" fontId="15" fillId="0" borderId="9" xfId="1" applyNumberFormat="1" applyFont="1" applyFill="1" applyBorder="1" applyAlignment="1">
      <alignment horizontal="center"/>
    </xf>
    <xf numFmtId="165" fontId="15" fillId="0" borderId="0" xfId="1" applyNumberFormat="1" applyFont="1" applyBorder="1"/>
    <xf numFmtId="165" fontId="15" fillId="0" borderId="9" xfId="1" applyNumberFormat="1" applyFont="1" applyBorder="1"/>
    <xf numFmtId="165" fontId="15" fillId="3" borderId="18" xfId="1" applyNumberFormat="1" applyFont="1" applyFill="1" applyBorder="1"/>
    <xf numFmtId="165" fontId="15" fillId="3" borderId="19" xfId="1" applyNumberFormat="1" applyFont="1" applyFill="1" applyBorder="1"/>
    <xf numFmtId="165" fontId="15" fillId="0" borderId="20" xfId="1" applyNumberFormat="1" applyFont="1" applyBorder="1"/>
    <xf numFmtId="165" fontId="15" fillId="3" borderId="21" xfId="1" applyNumberFormat="1" applyFont="1" applyFill="1" applyBorder="1"/>
    <xf numFmtId="165" fontId="15" fillId="0" borderId="22" xfId="1" applyNumberFormat="1" applyFont="1" applyBorder="1"/>
    <xf numFmtId="165" fontId="28" fillId="0" borderId="9" xfId="1" applyNumberFormat="1" applyFont="1" applyBorder="1"/>
    <xf numFmtId="177" fontId="15" fillId="0" borderId="0" xfId="4" applyNumberFormat="1" applyFont="1" applyBorder="1" applyAlignment="1">
      <alignment horizontal="center"/>
    </xf>
    <xf numFmtId="165" fontId="15" fillId="3" borderId="23" xfId="1" applyNumberFormat="1" applyFont="1" applyFill="1" applyBorder="1"/>
    <xf numFmtId="165" fontId="15" fillId="3" borderId="24" xfId="1" applyNumberFormat="1" applyFont="1" applyFill="1" applyBorder="1"/>
    <xf numFmtId="10" fontId="15" fillId="3" borderId="22" xfId="4" applyNumberFormat="1" applyFont="1" applyFill="1" applyBorder="1"/>
    <xf numFmtId="0" fontId="15" fillId="0" borderId="11" xfId="1" applyNumberFormat="1" applyFont="1" applyBorder="1" applyAlignment="1">
      <alignment horizontal="center"/>
    </xf>
    <xf numFmtId="164" fontId="15" fillId="0" borderId="1" xfId="0" applyFont="1" applyBorder="1"/>
    <xf numFmtId="165" fontId="15" fillId="0" borderId="1" xfId="1" applyNumberFormat="1" applyFont="1" applyBorder="1"/>
    <xf numFmtId="165" fontId="15" fillId="0" borderId="12" xfId="1" applyNumberFormat="1" applyFont="1" applyBorder="1"/>
    <xf numFmtId="3" fontId="19" fillId="0" borderId="0" xfId="13" applyNumberFormat="1" applyFont="1"/>
    <xf numFmtId="164" fontId="19" fillId="0" borderId="0" xfId="0" applyFont="1" applyAlignment="1">
      <alignment horizontal="right"/>
    </xf>
    <xf numFmtId="0" fontId="19" fillId="0" borderId="0" xfId="13" applyNumberFormat="1" applyFont="1" applyProtection="1">
      <protection locked="0"/>
    </xf>
    <xf numFmtId="0" fontId="19" fillId="0" borderId="0" xfId="13" applyNumberFormat="1" applyFont="1" applyAlignment="1" applyProtection="1">
      <alignment horizontal="center"/>
      <protection locked="0"/>
    </xf>
    <xf numFmtId="165" fontId="19" fillId="0" borderId="0" xfId="1" applyNumberFormat="1" applyFont="1" applyAlignment="1">
      <alignment horizontal="center"/>
    </xf>
    <xf numFmtId="165" fontId="19" fillId="0" borderId="0" xfId="1" applyNumberFormat="1" applyFont="1" applyAlignment="1">
      <alignment horizontal="right"/>
    </xf>
    <xf numFmtId="0" fontId="19" fillId="3" borderId="0" xfId="13" applyNumberFormat="1" applyFont="1" applyFill="1" applyAlignment="1">
      <alignment horizontal="right"/>
    </xf>
    <xf numFmtId="3" fontId="19" fillId="0" borderId="0" xfId="13" applyNumberFormat="1" applyFont="1" applyAlignment="1">
      <alignment horizontal="center"/>
    </xf>
    <xf numFmtId="0" fontId="19" fillId="0" borderId="0" xfId="13" applyNumberFormat="1" applyFont="1"/>
    <xf numFmtId="0" fontId="19" fillId="0" borderId="0" xfId="6" applyNumberFormat="1" applyFont="1" applyAlignment="1">
      <alignment horizontal="center"/>
    </xf>
    <xf numFmtId="165" fontId="59" fillId="0" borderId="0" xfId="1" applyNumberFormat="1" applyFont="1" applyAlignment="1">
      <alignment horizontal="left"/>
    </xf>
    <xf numFmtId="164" fontId="19" fillId="0" borderId="0" xfId="0" applyFont="1" applyAlignment="1">
      <alignment horizontal="center"/>
    </xf>
    <xf numFmtId="176" fontId="19" fillId="0" borderId="0" xfId="0" applyNumberFormat="1" applyFont="1" applyAlignment="1">
      <alignment horizontal="center"/>
    </xf>
    <xf numFmtId="165" fontId="19" fillId="0" borderId="0" xfId="1" applyNumberFormat="1" applyFont="1" applyAlignment="1"/>
    <xf numFmtId="165" fontId="19" fillId="0" borderId="0" xfId="1" applyNumberFormat="1" applyFont="1" applyAlignment="1" applyProtection="1">
      <alignment horizontal="right"/>
      <protection locked="0"/>
    </xf>
    <xf numFmtId="0" fontId="19" fillId="0" borderId="0" xfId="6" applyNumberFormat="1" applyFont="1" applyProtection="1">
      <protection locked="0"/>
    </xf>
    <xf numFmtId="3" fontId="19" fillId="0" borderId="0" xfId="6" applyNumberFormat="1" applyFont="1"/>
    <xf numFmtId="3" fontId="19" fillId="0" borderId="0" xfId="6" applyNumberFormat="1" applyFont="1" applyAlignment="1">
      <alignment horizontal="center"/>
    </xf>
    <xf numFmtId="0" fontId="19" fillId="0" borderId="0" xfId="6" applyNumberFormat="1" applyFont="1"/>
    <xf numFmtId="0" fontId="19" fillId="0" borderId="1" xfId="6" applyNumberFormat="1" applyFont="1" applyBorder="1" applyAlignment="1" applyProtection="1">
      <alignment horizontal="center"/>
      <protection locked="0"/>
    </xf>
    <xf numFmtId="164" fontId="19" fillId="0" borderId="0" xfId="6" applyFont="1"/>
    <xf numFmtId="165" fontId="19" fillId="0" borderId="0" xfId="1" applyNumberFormat="1" applyFont="1" applyFill="1" applyAlignment="1">
      <alignment horizontal="center"/>
    </xf>
    <xf numFmtId="43" fontId="19" fillId="0" borderId="0" xfId="1" applyFont="1" applyAlignment="1"/>
    <xf numFmtId="10" fontId="19" fillId="0" borderId="0" xfId="1" applyNumberFormat="1" applyFont="1" applyFill="1" applyAlignment="1"/>
    <xf numFmtId="43" fontId="19" fillId="0" borderId="0" xfId="1" applyFont="1" applyFill="1" applyAlignment="1"/>
    <xf numFmtId="43" fontId="19" fillId="0" borderId="1" xfId="1" applyFont="1" applyBorder="1" applyAlignment="1"/>
    <xf numFmtId="43" fontId="19" fillId="0" borderId="0" xfId="1" applyFont="1" applyFill="1" applyAlignment="1">
      <alignment horizontal="center"/>
    </xf>
    <xf numFmtId="167" fontId="19" fillId="0" borderId="0" xfId="6" applyNumberFormat="1" applyFont="1" applyAlignment="1">
      <alignment horizontal="center"/>
    </xf>
    <xf numFmtId="171" fontId="19" fillId="0" borderId="0" xfId="5" applyNumberFormat="1" applyFont="1" applyAlignment="1">
      <alignment horizontal="left"/>
    </xf>
    <xf numFmtId="3" fontId="19" fillId="0" borderId="0" xfId="5" applyNumberFormat="1" applyFont="1"/>
    <xf numFmtId="166" fontId="19" fillId="0" borderId="0" xfId="1" applyNumberFormat="1" applyFont="1" applyFill="1" applyAlignment="1">
      <alignment horizontal="right"/>
    </xf>
    <xf numFmtId="0" fontId="19" fillId="0" borderId="0" xfId="5" applyFont="1"/>
    <xf numFmtId="0" fontId="19" fillId="0" borderId="0" xfId="15" applyFont="1"/>
    <xf numFmtId="165" fontId="19" fillId="0" borderId="0" xfId="1" applyNumberFormat="1" applyFont="1" applyBorder="1" applyAlignment="1"/>
    <xf numFmtId="10" fontId="19" fillId="0" borderId="0" xfId="5" applyNumberFormat="1" applyFont="1" applyAlignment="1">
      <alignment horizontal="left"/>
    </xf>
    <xf numFmtId="3" fontId="19" fillId="0" borderId="0" xfId="15" applyNumberFormat="1" applyFont="1"/>
    <xf numFmtId="167" fontId="19" fillId="0" borderId="0" xfId="15" applyNumberFormat="1" applyFont="1"/>
    <xf numFmtId="43" fontId="19" fillId="0" borderId="0" xfId="1" applyFont="1" applyBorder="1" applyAlignment="1"/>
    <xf numFmtId="171" fontId="19" fillId="0" borderId="25" xfId="5" applyNumberFormat="1" applyFont="1" applyBorder="1" applyAlignment="1" applyProtection="1">
      <alignment horizontal="left"/>
      <protection locked="0"/>
    </xf>
    <xf numFmtId="0" fontId="19" fillId="0" borderId="25" xfId="5" applyFont="1" applyBorder="1"/>
    <xf numFmtId="165" fontId="19" fillId="0" borderId="0" xfId="1" applyNumberFormat="1" applyFont="1" applyFill="1" applyAlignment="1">
      <alignment horizontal="right"/>
    </xf>
    <xf numFmtId="10" fontId="19" fillId="0" borderId="0" xfId="6" applyNumberFormat="1" applyFont="1" applyAlignment="1">
      <alignment horizontal="left"/>
    </xf>
    <xf numFmtId="176" fontId="19" fillId="0" borderId="0" xfId="0" applyNumberFormat="1" applyFont="1"/>
    <xf numFmtId="165" fontId="19" fillId="0" borderId="0" xfId="1" applyNumberFormat="1" applyFont="1" applyFill="1" applyAlignment="1" applyProtection="1">
      <alignment horizontal="right"/>
      <protection locked="0"/>
    </xf>
    <xf numFmtId="166" fontId="19" fillId="0" borderId="0" xfId="1" applyNumberFormat="1" applyFont="1" applyAlignment="1"/>
    <xf numFmtId="164" fontId="59" fillId="0" borderId="0" xfId="0" applyFont="1" applyAlignment="1">
      <alignment horizontal="left"/>
    </xf>
    <xf numFmtId="164" fontId="59" fillId="0" borderId="0" xfId="0" applyFont="1" applyAlignment="1">
      <alignment horizontal="right"/>
    </xf>
    <xf numFmtId="175" fontId="19" fillId="0" borderId="0" xfId="1" applyNumberFormat="1" applyFont="1" applyAlignment="1"/>
    <xf numFmtId="165" fontId="19" fillId="0" borderId="3" xfId="1" applyNumberFormat="1" applyFont="1" applyFill="1" applyBorder="1" applyAlignment="1">
      <alignment horizontal="center"/>
    </xf>
    <xf numFmtId="175" fontId="19" fillId="0" borderId="1" xfId="1" applyNumberFormat="1" applyFont="1" applyBorder="1" applyAlignment="1"/>
    <xf numFmtId="10" fontId="58" fillId="0" borderId="0" xfId="1" applyNumberFormat="1" applyFont="1" applyFill="1" applyAlignment="1"/>
    <xf numFmtId="170" fontId="19" fillId="0" borderId="0" xfId="6" applyNumberFormat="1" applyFont="1"/>
    <xf numFmtId="165" fontId="19" fillId="0" borderId="0" xfId="1" applyNumberFormat="1" applyFont="1" applyFill="1" applyAlignment="1"/>
    <xf numFmtId="0" fontId="19" fillId="0" borderId="3" xfId="5" applyFont="1" applyBorder="1"/>
    <xf numFmtId="10" fontId="19" fillId="0" borderId="3" xfId="5" applyNumberFormat="1" applyFont="1" applyBorder="1" applyAlignment="1">
      <alignment horizontal="left"/>
    </xf>
    <xf numFmtId="165" fontId="19" fillId="0" borderId="3" xfId="1" applyNumberFormat="1" applyFont="1" applyBorder="1" applyAlignment="1"/>
    <xf numFmtId="171" fontId="19" fillId="0" borderId="0" xfId="5" applyNumberFormat="1" applyFont="1" applyAlignment="1" applyProtection="1">
      <alignment horizontal="left"/>
      <protection locked="0"/>
    </xf>
    <xf numFmtId="171" fontId="19" fillId="0" borderId="0" xfId="6" applyNumberFormat="1" applyFont="1" applyAlignment="1" applyProtection="1">
      <alignment horizontal="left"/>
      <protection locked="0"/>
    </xf>
    <xf numFmtId="43" fontId="19" fillId="0" borderId="0" xfId="1" applyFont="1" applyFill="1" applyBorder="1" applyAlignment="1">
      <alignment horizontal="right"/>
    </xf>
    <xf numFmtId="165" fontId="19" fillId="0" borderId="0" xfId="13" applyNumberFormat="1" applyFont="1" applyProtection="1">
      <protection locked="0"/>
    </xf>
    <xf numFmtId="165" fontId="19" fillId="0" borderId="0" xfId="13" applyNumberFormat="1" applyFont="1" applyAlignment="1" applyProtection="1">
      <alignment horizontal="center"/>
      <protection locked="0"/>
    </xf>
    <xf numFmtId="0" fontId="19" fillId="0" borderId="0" xfId="6" applyNumberFormat="1" applyFont="1" applyAlignment="1" applyProtection="1">
      <alignment horizontal="center"/>
      <protection locked="0"/>
    </xf>
    <xf numFmtId="43" fontId="19" fillId="0" borderId="0" xfId="1" applyFont="1" applyFill="1" applyBorder="1" applyAlignment="1">
      <alignment horizontal="center"/>
    </xf>
    <xf numFmtId="43" fontId="19" fillId="0" borderId="0" xfId="4" applyNumberFormat="1" applyFont="1" applyAlignment="1"/>
    <xf numFmtId="10" fontId="19" fillId="0" borderId="0" xfId="4" applyNumberFormat="1" applyFont="1" applyFill="1" applyAlignment="1"/>
    <xf numFmtId="10" fontId="19" fillId="0" borderId="0" xfId="4" applyNumberFormat="1" applyFont="1" applyAlignment="1"/>
    <xf numFmtId="43" fontId="19" fillId="0" borderId="0" xfId="1" applyFont="1" applyBorder="1" applyAlignment="1">
      <alignment horizontal="center"/>
    </xf>
    <xf numFmtId="43" fontId="19" fillId="0" borderId="1" xfId="4" applyNumberFormat="1" applyFont="1" applyBorder="1" applyAlignment="1"/>
    <xf numFmtId="10" fontId="19" fillId="0" borderId="1" xfId="4" applyNumberFormat="1" applyFont="1" applyBorder="1" applyAlignment="1"/>
    <xf numFmtId="165" fontId="59" fillId="0" borderId="0" xfId="1" applyNumberFormat="1" applyFont="1" applyFill="1" applyBorder="1" applyAlignment="1" applyProtection="1">
      <alignment horizontal="right"/>
      <protection locked="0"/>
    </xf>
    <xf numFmtId="165" fontId="19" fillId="0" borderId="0" xfId="1" applyNumberFormat="1" applyFont="1" applyFill="1" applyBorder="1" applyAlignment="1" applyProtection="1">
      <alignment horizontal="left"/>
      <protection locked="0"/>
    </xf>
    <xf numFmtId="43" fontId="19" fillId="0" borderId="0" xfId="1" applyFont="1" applyFill="1" applyBorder="1" applyAlignment="1"/>
    <xf numFmtId="166" fontId="19" fillId="0" borderId="0" xfId="1" applyNumberFormat="1" applyFont="1" applyFill="1" applyBorder="1" applyAlignment="1"/>
    <xf numFmtId="165" fontId="19" fillId="0" borderId="0" xfId="1" applyNumberFormat="1" applyFont="1" applyFill="1" applyBorder="1" applyAlignment="1" applyProtection="1">
      <alignment horizontal="right"/>
      <protection locked="0"/>
    </xf>
    <xf numFmtId="164" fontId="19" fillId="0" borderId="0" xfId="0" applyFont="1" applyAlignment="1">
      <alignment horizontal="left"/>
    </xf>
    <xf numFmtId="165" fontId="19" fillId="0" borderId="26" xfId="1" applyNumberFormat="1" applyFont="1" applyFill="1" applyBorder="1" applyAlignment="1" applyProtection="1">
      <alignment horizontal="right" vertical="center"/>
      <protection locked="0"/>
    </xf>
    <xf numFmtId="164" fontId="19" fillId="0" borderId="27" xfId="0" applyFont="1" applyBorder="1" applyAlignment="1">
      <alignment vertical="center"/>
    </xf>
    <xf numFmtId="3" fontId="19" fillId="0" borderId="28" xfId="6" applyNumberFormat="1" applyFont="1" applyBorder="1" applyAlignment="1">
      <alignment horizontal="center" vertical="center" wrapText="1"/>
    </xf>
    <xf numFmtId="164" fontId="19" fillId="0" borderId="28" xfId="0" applyFont="1" applyBorder="1" applyAlignment="1">
      <alignment horizontal="center" vertical="center"/>
    </xf>
    <xf numFmtId="164" fontId="19" fillId="0" borderId="28" xfId="0" applyFont="1" applyBorder="1" applyAlignment="1">
      <alignment horizontal="center" vertical="center" wrapText="1"/>
    </xf>
    <xf numFmtId="176" fontId="19" fillId="0" borderId="28" xfId="0" applyNumberFormat="1" applyFont="1" applyBorder="1" applyAlignment="1">
      <alignment horizontal="center" vertical="center" wrapText="1"/>
    </xf>
    <xf numFmtId="164" fontId="19" fillId="0" borderId="29" xfId="0" applyFont="1" applyBorder="1" applyAlignment="1">
      <alignment horizontal="center" vertical="center" wrapText="1"/>
    </xf>
    <xf numFmtId="164" fontId="19" fillId="0" borderId="30" xfId="0" applyFont="1" applyBorder="1" applyAlignment="1">
      <alignment horizontal="center" vertical="center" wrapText="1"/>
    </xf>
    <xf numFmtId="164" fontId="19" fillId="0" borderId="0" xfId="0" applyFont="1" applyAlignment="1">
      <alignment vertical="center"/>
    </xf>
    <xf numFmtId="164" fontId="0" fillId="0" borderId="0" xfId="0" applyAlignment="1">
      <alignment vertical="center"/>
    </xf>
    <xf numFmtId="165" fontId="19" fillId="2" borderId="5" xfId="1" applyNumberFormat="1" applyFont="1" applyFill="1" applyBorder="1" applyAlignment="1" applyProtection="1">
      <alignment horizontal="right"/>
      <protection locked="0"/>
    </xf>
    <xf numFmtId="165" fontId="19" fillId="2" borderId="0" xfId="1" applyNumberFormat="1" applyFont="1" applyFill="1" applyBorder="1" applyAlignment="1">
      <alignment horizontal="left"/>
    </xf>
    <xf numFmtId="165" fontId="19" fillId="2" borderId="6" xfId="1" applyNumberFormat="1" applyFont="1" applyFill="1" applyBorder="1" applyAlignment="1"/>
    <xf numFmtId="10" fontId="19" fillId="2" borderId="6" xfId="4" applyNumberFormat="1" applyFont="1" applyFill="1" applyBorder="1" applyAlignment="1" applyProtection="1">
      <alignment horizontal="center"/>
      <protection locked="0"/>
    </xf>
    <xf numFmtId="10" fontId="19" fillId="0" borderId="6" xfId="6" applyNumberFormat="1" applyFont="1" applyBorder="1" applyAlignment="1" applyProtection="1">
      <alignment horizontal="right"/>
      <protection locked="0"/>
    </xf>
    <xf numFmtId="166" fontId="19" fillId="0" borderId="6" xfId="1" applyNumberFormat="1" applyFont="1" applyFill="1" applyBorder="1" applyAlignment="1" applyProtection="1">
      <alignment horizontal="center"/>
      <protection locked="0"/>
    </xf>
    <xf numFmtId="180" fontId="19" fillId="0" borderId="6" xfId="1" applyNumberFormat="1" applyFont="1" applyFill="1" applyBorder="1" applyAlignment="1"/>
    <xf numFmtId="165" fontId="19" fillId="0" borderId="6" xfId="1" applyNumberFormat="1" applyFont="1" applyFill="1" applyBorder="1" applyAlignment="1" applyProtection="1">
      <alignment horizontal="center"/>
      <protection locked="0"/>
    </xf>
    <xf numFmtId="165" fontId="19" fillId="0" borderId="6" xfId="1" applyNumberFormat="1" applyFont="1" applyBorder="1" applyAlignment="1"/>
    <xf numFmtId="165" fontId="19" fillId="0" borderId="6" xfId="1" applyNumberFormat="1" applyFont="1" applyFill="1" applyBorder="1" applyAlignment="1"/>
    <xf numFmtId="166" fontId="19" fillId="0" borderId="6" xfId="1" applyNumberFormat="1" applyFont="1" applyBorder="1" applyAlignment="1"/>
    <xf numFmtId="165" fontId="19" fillId="2" borderId="8" xfId="1" applyNumberFormat="1" applyFont="1" applyFill="1" applyBorder="1" applyAlignment="1" applyProtection="1">
      <alignment horizontal="right"/>
      <protection locked="0"/>
    </xf>
    <xf numFmtId="165" fontId="19" fillId="2" borderId="0" xfId="1" applyNumberFormat="1" applyFont="1" applyFill="1" applyBorder="1" applyAlignment="1"/>
    <xf numFmtId="10" fontId="19" fillId="2" borderId="0" xfId="4" applyNumberFormat="1" applyFont="1" applyFill="1" applyBorder="1" applyAlignment="1">
      <alignment horizontal="center"/>
    </xf>
    <xf numFmtId="10" fontId="19" fillId="0" borderId="0" xfId="4" applyNumberFormat="1" applyFont="1" applyFill="1" applyBorder="1" applyAlignment="1">
      <alignment horizontal="right"/>
    </xf>
    <xf numFmtId="180" fontId="19" fillId="0" borderId="0" xfId="1" applyNumberFormat="1" applyFont="1" applyFill="1" applyBorder="1" applyAlignment="1"/>
    <xf numFmtId="165" fontId="19" fillId="0" borderId="0" xfId="1" applyNumberFormat="1" applyFont="1" applyFill="1" applyBorder="1" applyAlignment="1" applyProtection="1">
      <alignment horizontal="center"/>
      <protection locked="0"/>
    </xf>
    <xf numFmtId="165" fontId="19" fillId="0" borderId="0" xfId="1" applyNumberFormat="1" applyFont="1" applyFill="1" applyBorder="1" applyAlignment="1"/>
    <xf numFmtId="166" fontId="19" fillId="0" borderId="0" xfId="1" applyNumberFormat="1" applyFont="1" applyBorder="1" applyAlignment="1"/>
    <xf numFmtId="43" fontId="19" fillId="2" borderId="0" xfId="1" applyFont="1" applyFill="1" applyBorder="1" applyAlignment="1">
      <alignment horizontal="center"/>
    </xf>
    <xf numFmtId="164" fontId="19" fillId="2" borderId="0" xfId="0" applyFont="1" applyFill="1"/>
    <xf numFmtId="3" fontId="19" fillId="2" borderId="0" xfId="6" applyNumberFormat="1" applyFont="1" applyFill="1"/>
    <xf numFmtId="166" fontId="19" fillId="2" borderId="0" xfId="1" applyNumberFormat="1" applyFont="1" applyFill="1" applyBorder="1" applyAlignment="1">
      <alignment horizontal="right"/>
    </xf>
    <xf numFmtId="3" fontId="19" fillId="2" borderId="0" xfId="5" applyNumberFormat="1" applyFont="1" applyFill="1"/>
    <xf numFmtId="165" fontId="19" fillId="2" borderId="11" xfId="1" applyNumberFormat="1" applyFont="1" applyFill="1" applyBorder="1" applyAlignment="1" applyProtection="1">
      <alignment horizontal="right"/>
      <protection locked="0"/>
    </xf>
    <xf numFmtId="171" fontId="19" fillId="2" borderId="1" xfId="5" applyNumberFormat="1" applyFont="1" applyFill="1" applyBorder="1" applyAlignment="1" applyProtection="1">
      <alignment horizontal="left"/>
      <protection locked="0"/>
    </xf>
    <xf numFmtId="0" fontId="19" fillId="2" borderId="1" xfId="5" applyFont="1" applyFill="1" applyBorder="1"/>
    <xf numFmtId="165" fontId="19" fillId="2" borderId="1" xfId="1" applyNumberFormat="1" applyFont="1" applyFill="1" applyBorder="1" applyAlignment="1">
      <alignment horizontal="right"/>
    </xf>
    <xf numFmtId="10" fontId="19" fillId="0" borderId="1" xfId="4" applyNumberFormat="1" applyFont="1" applyFill="1" applyBorder="1" applyAlignment="1"/>
    <xf numFmtId="165" fontId="19" fillId="2" borderId="1" xfId="1" applyNumberFormat="1" applyFont="1" applyFill="1" applyBorder="1" applyAlignment="1"/>
    <xf numFmtId="166" fontId="19" fillId="0" borderId="1" xfId="1" applyNumberFormat="1" applyFont="1" applyFill="1" applyBorder="1" applyAlignment="1"/>
    <xf numFmtId="180" fontId="19" fillId="0" borderId="1" xfId="1" applyNumberFormat="1" applyFont="1" applyFill="1" applyBorder="1" applyAlignment="1"/>
    <xf numFmtId="165" fontId="19" fillId="0" borderId="1" xfId="1" applyNumberFormat="1" applyFont="1" applyFill="1" applyBorder="1" applyAlignment="1" applyProtection="1">
      <alignment horizontal="center"/>
      <protection locked="0"/>
    </xf>
    <xf numFmtId="165" fontId="19" fillId="0" borderId="1" xfId="1" applyNumberFormat="1" applyFont="1" applyBorder="1" applyAlignment="1"/>
    <xf numFmtId="165" fontId="19" fillId="0" borderId="1" xfId="1" applyNumberFormat="1" applyFont="1" applyFill="1" applyBorder="1" applyAlignment="1"/>
    <xf numFmtId="165" fontId="19" fillId="2" borderId="11" xfId="1" applyNumberFormat="1" applyFont="1" applyFill="1" applyBorder="1" applyAlignment="1">
      <alignment horizontal="right"/>
    </xf>
    <xf numFmtId="164" fontId="19" fillId="0" borderId="1" xfId="0" applyFont="1" applyBorder="1"/>
    <xf numFmtId="176" fontId="19" fillId="0" borderId="1" xfId="0" applyNumberFormat="1" applyFont="1" applyBorder="1"/>
    <xf numFmtId="165" fontId="19" fillId="0" borderId="15" xfId="1" applyNumberFormat="1" applyFont="1" applyBorder="1" applyAlignment="1"/>
    <xf numFmtId="165" fontId="19" fillId="0" borderId="12" xfId="1" applyNumberFormat="1" applyFont="1" applyFill="1" applyBorder="1" applyAlignment="1"/>
    <xf numFmtId="165" fontId="19" fillId="0" borderId="22" xfId="1" applyNumberFormat="1" applyFont="1" applyBorder="1" applyAlignment="1"/>
    <xf numFmtId="164" fontId="19" fillId="0" borderId="0" xfId="0" applyFont="1" applyAlignment="1">
      <alignment wrapText="1"/>
    </xf>
    <xf numFmtId="164" fontId="19" fillId="0" borderId="0" xfId="16" applyFont="1" applyAlignment="1">
      <alignment vertical="top"/>
    </xf>
    <xf numFmtId="164" fontId="15" fillId="0" borderId="0" xfId="0" applyFont="1" applyProtection="1">
      <protection locked="0"/>
    </xf>
    <xf numFmtId="164" fontId="5" fillId="0" borderId="0" xfId="0" applyFont="1"/>
    <xf numFmtId="164" fontId="28" fillId="0" borderId="0" xfId="0" applyFont="1" applyProtection="1">
      <protection locked="0"/>
    </xf>
    <xf numFmtId="164" fontId="19" fillId="0" borderId="0" xfId="13" applyFont="1"/>
    <xf numFmtId="0" fontId="59" fillId="0" borderId="0" xfId="13" applyNumberFormat="1" applyFont="1"/>
    <xf numFmtId="164" fontId="15" fillId="0" borderId="0" xfId="13" applyFont="1"/>
    <xf numFmtId="164" fontId="45" fillId="0" borderId="0" xfId="0" applyFont="1"/>
    <xf numFmtId="164" fontId="15" fillId="0" borderId="0" xfId="13" applyFont="1" applyAlignment="1">
      <alignment horizontal="center"/>
    </xf>
    <xf numFmtId="164" fontId="45" fillId="0" borderId="34" xfId="0" applyFont="1" applyBorder="1"/>
    <xf numFmtId="164" fontId="45" fillId="0" borderId="25" xfId="0" applyFont="1" applyBorder="1"/>
    <xf numFmtId="164" fontId="45" fillId="0" borderId="35" xfId="0" applyFont="1" applyBorder="1"/>
    <xf numFmtId="164" fontId="19" fillId="0" borderId="0" xfId="13" applyFont="1" applyAlignment="1">
      <alignment horizontal="center"/>
    </xf>
    <xf numFmtId="0" fontId="19" fillId="0" borderId="0" xfId="1" applyNumberFormat="1" applyFont="1" applyFill="1" applyBorder="1" applyAlignment="1">
      <alignment horizontal="center"/>
    </xf>
    <xf numFmtId="1" fontId="45" fillId="2" borderId="0" xfId="0" quotePrefix="1" applyNumberFormat="1" applyFont="1" applyFill="1"/>
    <xf numFmtId="164" fontId="45" fillId="0" borderId="40" xfId="0" applyFont="1" applyBorder="1"/>
    <xf numFmtId="164" fontId="45" fillId="0" borderId="31" xfId="0" applyFont="1" applyBorder="1" applyAlignment="1">
      <alignment horizontal="center"/>
    </xf>
    <xf numFmtId="164" fontId="45" fillId="0" borderId="32" xfId="0" applyFont="1" applyBorder="1" applyAlignment="1">
      <alignment horizontal="center"/>
    </xf>
    <xf numFmtId="164" fontId="45" fillId="0" borderId="41" xfId="0" applyFont="1" applyBorder="1" applyAlignment="1">
      <alignment horizontal="center"/>
    </xf>
    <xf numFmtId="164" fontId="45" fillId="0" borderId="40" xfId="0" applyFont="1" applyBorder="1" applyAlignment="1">
      <alignment horizontal="center"/>
    </xf>
    <xf numFmtId="164" fontId="45" fillId="0" borderId="42" xfId="0" applyFont="1" applyBorder="1" applyAlignment="1">
      <alignment horizontal="center"/>
    </xf>
    <xf numFmtId="164" fontId="45" fillId="0" borderId="42" xfId="0" applyFont="1" applyBorder="1"/>
    <xf numFmtId="164" fontId="19" fillId="0" borderId="42" xfId="0" applyFont="1" applyBorder="1" applyAlignment="1">
      <alignment horizontal="center"/>
    </xf>
    <xf numFmtId="0" fontId="19" fillId="0" borderId="42" xfId="17" applyFont="1" applyBorder="1" applyAlignment="1">
      <alignment horizontal="center"/>
    </xf>
    <xf numFmtId="164" fontId="45" fillId="0" borderId="0" xfId="0" applyFont="1" applyAlignment="1">
      <alignment horizontal="center"/>
    </xf>
    <xf numFmtId="164" fontId="45" fillId="2" borderId="40" xfId="0" applyFont="1" applyFill="1" applyBorder="1"/>
    <xf numFmtId="43" fontId="45" fillId="2" borderId="34" xfId="1" applyFont="1" applyFill="1" applyBorder="1"/>
    <xf numFmtId="43" fontId="45" fillId="0" borderId="40" xfId="1" applyFont="1" applyFill="1" applyBorder="1"/>
    <xf numFmtId="43" fontId="45" fillId="2" borderId="40" xfId="1" applyFont="1" applyFill="1" applyBorder="1"/>
    <xf numFmtId="43" fontId="45" fillId="0" borderId="40" xfId="1" applyFont="1" applyBorder="1" applyAlignment="1">
      <alignment horizontal="center"/>
    </xf>
    <xf numFmtId="164" fontId="45" fillId="2" borderId="42" xfId="0" applyFont="1" applyFill="1" applyBorder="1"/>
    <xf numFmtId="43" fontId="45" fillId="2" borderId="36" xfId="1" applyFont="1" applyFill="1" applyBorder="1"/>
    <xf numFmtId="43" fontId="45" fillId="2" borderId="36" xfId="1" applyFont="1" applyFill="1" applyBorder="1" applyAlignment="1">
      <alignment horizontal="center"/>
    </xf>
    <xf numFmtId="43" fontId="45" fillId="0" borderId="42" xfId="1" applyFont="1" applyBorder="1"/>
    <xf numFmtId="43" fontId="45" fillId="2" borderId="42" xfId="1" applyFont="1" applyFill="1" applyBorder="1"/>
    <xf numFmtId="164" fontId="45" fillId="2" borderId="41" xfId="0" applyFont="1" applyFill="1" applyBorder="1"/>
    <xf numFmtId="43" fontId="45" fillId="2" borderId="38" xfId="1" applyFont="1" applyFill="1" applyBorder="1"/>
    <xf numFmtId="43" fontId="45" fillId="2" borderId="38" xfId="1" applyFont="1" applyFill="1" applyBorder="1" applyAlignment="1">
      <alignment horizontal="center"/>
    </xf>
    <xf numFmtId="43" fontId="45" fillId="0" borderId="31" xfId="1" applyFont="1" applyFill="1" applyBorder="1"/>
    <xf numFmtId="43" fontId="45" fillId="2" borderId="41" xfId="1" applyFont="1" applyFill="1" applyBorder="1"/>
    <xf numFmtId="43" fontId="45" fillId="0" borderId="41" xfId="1" applyFont="1" applyBorder="1"/>
    <xf numFmtId="43" fontId="45" fillId="0" borderId="0" xfId="1" applyFont="1" applyFill="1" applyBorder="1"/>
    <xf numFmtId="43" fontId="45" fillId="0" borderId="0" xfId="1" applyFont="1" applyFill="1" applyBorder="1" applyAlignment="1">
      <alignment horizontal="center"/>
    </xf>
    <xf numFmtId="165" fontId="19" fillId="0" borderId="0" xfId="1" applyNumberFormat="1" applyFont="1" applyAlignment="1">
      <alignment horizontal="left" vertical="top"/>
    </xf>
    <xf numFmtId="165" fontId="19" fillId="0" borderId="0" xfId="1" applyNumberFormat="1" applyFont="1"/>
    <xf numFmtId="181" fontId="19" fillId="0" borderId="0" xfId="3" applyNumberFormat="1" applyFont="1"/>
    <xf numFmtId="43" fontId="19" fillId="0" borderId="0" xfId="1" applyFont="1"/>
    <xf numFmtId="164" fontId="19" fillId="0" borderId="0" xfId="0" applyFont="1" applyProtection="1">
      <protection locked="0"/>
    </xf>
    <xf numFmtId="164" fontId="19" fillId="0" borderId="0" xfId="0" applyFont="1" applyAlignment="1">
      <alignment vertical="top" wrapText="1"/>
    </xf>
    <xf numFmtId="164" fontId="19" fillId="0" borderId="0" xfId="0" applyFont="1" applyAlignment="1">
      <alignment vertical="top"/>
    </xf>
    <xf numFmtId="164" fontId="59" fillId="0" borderId="0" xfId="13" applyFont="1"/>
    <xf numFmtId="49" fontId="19" fillId="0" borderId="0" xfId="1" applyNumberFormat="1" applyFont="1" applyAlignment="1">
      <alignment horizontal="center"/>
    </xf>
    <xf numFmtId="164" fontId="19" fillId="0" borderId="0" xfId="13" quotePrefix="1" applyFont="1" applyAlignment="1">
      <alignment horizontal="left"/>
    </xf>
    <xf numFmtId="164" fontId="19" fillId="0" borderId="0" xfId="13" applyFont="1" applyAlignment="1">
      <alignment horizontal="center" wrapText="1"/>
    </xf>
    <xf numFmtId="1" fontId="19" fillId="2" borderId="0" xfId="1" applyNumberFormat="1" applyFont="1" applyFill="1" applyAlignment="1"/>
    <xf numFmtId="10" fontId="19" fillId="0" borderId="25" xfId="4" applyNumberFormat="1" applyFont="1" applyBorder="1" applyAlignment="1"/>
    <xf numFmtId="10" fontId="19" fillId="0" borderId="0" xfId="4" applyNumberFormat="1" applyFont="1" applyBorder="1" applyAlignment="1"/>
    <xf numFmtId="164" fontId="19" fillId="0" borderId="0" xfId="13" applyFont="1" applyAlignment="1">
      <alignment horizontal="left"/>
    </xf>
    <xf numFmtId="0" fontId="19" fillId="0" borderId="0" xfId="0" applyNumberFormat="1" applyFont="1" applyAlignment="1">
      <alignment horizontal="center"/>
    </xf>
    <xf numFmtId="0" fontId="15" fillId="0" borderId="0" xfId="17" applyFont="1" applyAlignment="1">
      <alignment horizontal="left"/>
    </xf>
    <xf numFmtId="0" fontId="15" fillId="0" borderId="0" xfId="17" applyFont="1" applyAlignment="1">
      <alignment horizontal="center"/>
    </xf>
    <xf numFmtId="0" fontId="15" fillId="0" borderId="0" xfId="17" applyFont="1"/>
    <xf numFmtId="0" fontId="5" fillId="0" borderId="0" xfId="17" applyFont="1"/>
    <xf numFmtId="0" fontId="28" fillId="0" borderId="0" xfId="17" applyFont="1"/>
    <xf numFmtId="0" fontId="5" fillId="0" borderId="0" xfId="17" applyFont="1" applyAlignment="1">
      <alignment horizontal="center"/>
    </xf>
    <xf numFmtId="0" fontId="21" fillId="0" borderId="0" xfId="17" applyFont="1"/>
    <xf numFmtId="0" fontId="15" fillId="0" borderId="3" xfId="17" applyFont="1" applyBorder="1" applyAlignment="1">
      <alignment horizontal="center"/>
    </xf>
    <xf numFmtId="0" fontId="15" fillId="0" borderId="3" xfId="17" applyFont="1" applyBorder="1"/>
    <xf numFmtId="0" fontId="5" fillId="0" borderId="3" xfId="17" applyFont="1" applyBorder="1"/>
    <xf numFmtId="0" fontId="15" fillId="0" borderId="3" xfId="17" applyFont="1" applyBorder="1" applyAlignment="1">
      <alignment horizontal="center" wrapText="1"/>
    </xf>
    <xf numFmtId="0" fontId="15" fillId="0" borderId="0" xfId="17" applyFont="1" applyAlignment="1">
      <alignment horizontal="right"/>
    </xf>
    <xf numFmtId="165" fontId="15" fillId="0" borderId="0" xfId="1" applyNumberFormat="1" applyFont="1" applyFill="1"/>
    <xf numFmtId="37" fontId="15" fillId="0" borderId="0" xfId="17" applyNumberFormat="1" applyFont="1"/>
    <xf numFmtId="43" fontId="15" fillId="0" borderId="0" xfId="1" applyFont="1" applyFill="1"/>
    <xf numFmtId="43" fontId="15" fillId="0" borderId="0" xfId="17" applyNumberFormat="1" applyFont="1"/>
    <xf numFmtId="9" fontId="15" fillId="0" borderId="0" xfId="17" applyNumberFormat="1" applyFont="1" applyAlignment="1">
      <alignment horizontal="left"/>
    </xf>
    <xf numFmtId="37" fontId="15" fillId="0" borderId="0" xfId="17" applyNumberFormat="1" applyFont="1" applyAlignment="1">
      <alignment horizontal="left"/>
    </xf>
    <xf numFmtId="0" fontId="15" fillId="0" borderId="3" xfId="17" applyFont="1" applyBorder="1" applyAlignment="1">
      <alignment horizontal="right" vertical="top"/>
    </xf>
    <xf numFmtId="0" fontId="15" fillId="0" borderId="3" xfId="17" applyFont="1" applyBorder="1" applyAlignment="1">
      <alignment horizontal="center" vertical="top" wrapText="1"/>
    </xf>
    <xf numFmtId="0" fontId="5" fillId="0" borderId="0" xfId="17" applyFont="1" applyAlignment="1">
      <alignment horizontal="left"/>
    </xf>
    <xf numFmtId="0" fontId="5" fillId="0" borderId="0" xfId="17" applyFont="1" applyAlignment="1">
      <alignment horizontal="right"/>
    </xf>
    <xf numFmtId="43" fontId="5" fillId="2" borderId="0" xfId="1" applyFont="1" applyFill="1" applyAlignment="1">
      <alignment horizontal="center"/>
    </xf>
    <xf numFmtId="43" fontId="5" fillId="0" borderId="0" xfId="17" applyNumberFormat="1" applyFont="1"/>
    <xf numFmtId="165" fontId="5" fillId="0" borderId="0" xfId="17" applyNumberFormat="1" applyFont="1"/>
    <xf numFmtId="165" fontId="15" fillId="0" borderId="0" xfId="1" applyNumberFormat="1" applyFont="1" applyFill="1" applyBorder="1"/>
    <xf numFmtId="10" fontId="5" fillId="0" borderId="0" xfId="17" applyNumberFormat="1" applyFont="1"/>
    <xf numFmtId="1" fontId="15" fillId="0" borderId="0" xfId="17" applyNumberFormat="1" applyFont="1"/>
    <xf numFmtId="1" fontId="5" fillId="0" borderId="0" xfId="17" applyNumberFormat="1" applyFont="1"/>
    <xf numFmtId="1" fontId="15" fillId="0" borderId="0" xfId="17" applyNumberFormat="1" applyFont="1" applyAlignment="1">
      <alignment horizontal="center"/>
    </xf>
    <xf numFmtId="1" fontId="15" fillId="0" borderId="3" xfId="17" applyNumberFormat="1" applyFont="1" applyBorder="1" applyAlignment="1">
      <alignment horizontal="center" vertical="top" wrapText="1"/>
    </xf>
    <xf numFmtId="0" fontId="65" fillId="0" borderId="0" xfId="19" applyFont="1"/>
    <xf numFmtId="1" fontId="15" fillId="2" borderId="0" xfId="1" applyNumberFormat="1" applyFont="1" applyFill="1" applyAlignment="1">
      <alignment horizontal="center"/>
    </xf>
    <xf numFmtId="10" fontId="15" fillId="0" borderId="0" xfId="4" applyNumberFormat="1" applyFont="1" applyFill="1"/>
    <xf numFmtId="165" fontId="5" fillId="2" borderId="0" xfId="1" applyNumberFormat="1" applyFont="1" applyFill="1"/>
    <xf numFmtId="165" fontId="65" fillId="0" borderId="0" xfId="1" applyNumberFormat="1" applyFont="1"/>
    <xf numFmtId="165" fontId="0" fillId="0" borderId="0" xfId="1" applyNumberFormat="1" applyFont="1" applyFill="1" applyAlignment="1">
      <alignment horizontal="center"/>
    </xf>
    <xf numFmtId="182" fontId="5" fillId="0" borderId="0" xfId="17" applyNumberFormat="1" applyFont="1"/>
    <xf numFmtId="165" fontId="65" fillId="0" borderId="0" xfId="19" applyNumberFormat="1" applyFont="1"/>
    <xf numFmtId="165" fontId="15" fillId="0" borderId="0" xfId="17" applyNumberFormat="1" applyFont="1"/>
    <xf numFmtId="43" fontId="15" fillId="2" borderId="0" xfId="1" applyFont="1" applyFill="1"/>
    <xf numFmtId="165" fontId="15" fillId="0" borderId="0" xfId="1" applyNumberFormat="1" applyFont="1" applyFill="1" applyAlignment="1">
      <alignment horizontal="center"/>
    </xf>
    <xf numFmtId="0" fontId="57" fillId="0" borderId="0" xfId="17" applyFont="1"/>
    <xf numFmtId="41" fontId="15" fillId="0" borderId="0" xfId="17" applyNumberFormat="1" applyFont="1" applyAlignment="1">
      <alignment horizontal="center"/>
    </xf>
    <xf numFmtId="41" fontId="12" fillId="0" borderId="0" xfId="17" applyNumberFormat="1" applyFont="1" applyAlignment="1">
      <alignment horizontal="center"/>
    </xf>
    <xf numFmtId="0" fontId="57" fillId="0" borderId="0" xfId="17" applyFont="1" applyAlignment="1">
      <alignment horizontal="right"/>
    </xf>
    <xf numFmtId="1" fontId="15" fillId="0" borderId="0" xfId="1" applyNumberFormat="1" applyFont="1" applyFill="1" applyBorder="1"/>
    <xf numFmtId="0" fontId="15" fillId="0" borderId="0" xfId="17" applyFont="1" applyAlignment="1">
      <alignment horizontal="center" wrapText="1"/>
    </xf>
    <xf numFmtId="0" fontId="15" fillId="3" borderId="43" xfId="17" applyFont="1" applyFill="1" applyBorder="1"/>
    <xf numFmtId="41" fontId="15" fillId="3" borderId="31" xfId="17" applyNumberFormat="1" applyFont="1" applyFill="1" applyBorder="1"/>
    <xf numFmtId="41" fontId="15" fillId="3" borderId="31" xfId="2" applyFont="1" applyFill="1" applyBorder="1"/>
    <xf numFmtId="0" fontId="15" fillId="3" borderId="44" xfId="17" applyFont="1" applyFill="1" applyBorder="1" applyAlignment="1">
      <alignment wrapText="1"/>
    </xf>
    <xf numFmtId="0" fontId="15" fillId="3" borderId="43" xfId="17" applyFont="1" applyFill="1" applyBorder="1" applyAlignment="1">
      <alignment wrapText="1"/>
    </xf>
    <xf numFmtId="0" fontId="15" fillId="3" borderId="31" xfId="17" applyFont="1" applyFill="1" applyBorder="1"/>
    <xf numFmtId="0" fontId="15" fillId="9" borderId="43" xfId="17" applyFont="1" applyFill="1" applyBorder="1" applyAlignment="1">
      <alignment wrapText="1"/>
    </xf>
    <xf numFmtId="41" fontId="15" fillId="9" borderId="31" xfId="17" applyNumberFormat="1" applyFont="1" applyFill="1" applyBorder="1"/>
    <xf numFmtId="0" fontId="15" fillId="9" borderId="44" xfId="17" applyFont="1" applyFill="1" applyBorder="1" applyAlignment="1">
      <alignment wrapText="1"/>
    </xf>
    <xf numFmtId="0" fontId="15" fillId="0" borderId="45" xfId="17" applyFont="1" applyBorder="1"/>
    <xf numFmtId="165" fontId="15" fillId="0" borderId="31" xfId="1" applyNumberFormat="1" applyFont="1" applyBorder="1"/>
    <xf numFmtId="165" fontId="15" fillId="0" borderId="31" xfId="1" applyNumberFormat="1" applyFont="1" applyFill="1" applyBorder="1"/>
    <xf numFmtId="37" fontId="15" fillId="0" borderId="44" xfId="17" applyNumberFormat="1" applyFont="1" applyBorder="1" applyAlignment="1">
      <alignment wrapText="1"/>
    </xf>
    <xf numFmtId="0" fontId="15" fillId="0" borderId="46" xfId="17" applyFont="1" applyBorder="1"/>
    <xf numFmtId="165" fontId="15" fillId="3" borderId="31" xfId="1" applyNumberFormat="1" applyFont="1" applyFill="1" applyBorder="1"/>
    <xf numFmtId="165" fontId="15" fillId="3" borderId="31" xfId="1" applyNumberFormat="1" applyFont="1" applyFill="1" applyBorder="1" applyAlignment="1">
      <alignment horizontal="right"/>
    </xf>
    <xf numFmtId="165" fontId="15" fillId="3" borderId="31" xfId="1" applyNumberFormat="1" applyFont="1" applyFill="1" applyBorder="1" applyAlignment="1">
      <alignment horizontal="center"/>
    </xf>
    <xf numFmtId="0" fontId="15" fillId="0" borderId="47" xfId="17" applyFont="1" applyBorder="1"/>
    <xf numFmtId="165" fontId="15" fillId="3" borderId="40" xfId="1" applyNumberFormat="1" applyFont="1" applyFill="1" applyBorder="1"/>
    <xf numFmtId="0" fontId="15" fillId="3" borderId="48" xfId="17" applyFont="1" applyFill="1" applyBorder="1" applyAlignment="1">
      <alignment wrapText="1"/>
    </xf>
    <xf numFmtId="0" fontId="15" fillId="0" borderId="49" xfId="17" applyFont="1" applyBorder="1"/>
    <xf numFmtId="165" fontId="15" fillId="0" borderId="50" xfId="1" applyNumberFormat="1" applyFont="1" applyFill="1" applyBorder="1"/>
    <xf numFmtId="0" fontId="15" fillId="0" borderId="51" xfId="17" applyFont="1" applyBorder="1" applyAlignment="1">
      <alignment wrapText="1"/>
    </xf>
    <xf numFmtId="37" fontId="15" fillId="0" borderId="0" xfId="17" applyNumberFormat="1" applyFont="1" applyAlignment="1">
      <alignment horizontal="center"/>
    </xf>
    <xf numFmtId="37" fontId="15" fillId="0" borderId="0" xfId="17" applyNumberFormat="1" applyFont="1" applyAlignment="1">
      <alignment wrapText="1"/>
    </xf>
    <xf numFmtId="0" fontId="15" fillId="0" borderId="0" xfId="17" applyFont="1" applyAlignment="1">
      <alignment wrapText="1"/>
    </xf>
    <xf numFmtId="0" fontId="66" fillId="3" borderId="43" xfId="17" applyFont="1" applyFill="1" applyBorder="1" applyAlignment="1">
      <alignment wrapText="1"/>
    </xf>
    <xf numFmtId="37" fontId="15" fillId="3" borderId="45" xfId="17" applyNumberFormat="1" applyFont="1" applyFill="1" applyBorder="1" applyAlignment="1">
      <alignment horizontal="center"/>
    </xf>
    <xf numFmtId="37" fontId="15" fillId="3" borderId="31" xfId="17" applyNumberFormat="1" applyFont="1" applyFill="1" applyBorder="1"/>
    <xf numFmtId="0" fontId="15" fillId="3" borderId="45" xfId="17" applyFont="1" applyFill="1" applyBorder="1" applyAlignment="1">
      <alignment horizontal="center"/>
    </xf>
    <xf numFmtId="41" fontId="15" fillId="9" borderId="31" xfId="2" applyFont="1" applyFill="1" applyBorder="1"/>
    <xf numFmtId="0" fontId="15" fillId="0" borderId="43" xfId="17" applyFont="1" applyBorder="1"/>
    <xf numFmtId="0" fontId="15" fillId="0" borderId="52" xfId="17" applyFont="1" applyBorder="1"/>
    <xf numFmtId="0" fontId="15" fillId="3" borderId="43" xfId="20" applyFont="1" applyFill="1" applyBorder="1"/>
    <xf numFmtId="0" fontId="15" fillId="0" borderId="53" xfId="17" applyFont="1" applyBorder="1"/>
    <xf numFmtId="165" fontId="15" fillId="3" borderId="40" xfId="1" applyNumberFormat="1" applyFont="1" applyFill="1" applyBorder="1" applyAlignment="1">
      <alignment horizontal="right"/>
    </xf>
    <xf numFmtId="165" fontId="15" fillId="0" borderId="50" xfId="1" applyNumberFormat="1" applyFont="1" applyFill="1" applyBorder="1" applyAlignment="1">
      <alignment horizontal="right"/>
    </xf>
    <xf numFmtId="165" fontId="15" fillId="0" borderId="0" xfId="17" applyNumberFormat="1" applyFont="1" applyAlignment="1">
      <alignment wrapText="1"/>
    </xf>
    <xf numFmtId="0" fontId="15" fillId="0" borderId="0" xfId="17" applyFont="1" applyAlignment="1">
      <alignment horizontal="centerContinuous"/>
    </xf>
    <xf numFmtId="0" fontId="15" fillId="0" borderId="54" xfId="17" applyFont="1" applyBorder="1" applyAlignment="1">
      <alignment horizontal="center"/>
    </xf>
    <xf numFmtId="0" fontId="15" fillId="0" borderId="54" xfId="17" applyFont="1" applyBorder="1"/>
    <xf numFmtId="0" fontId="5" fillId="0" borderId="54" xfId="17" applyFont="1" applyBorder="1"/>
    <xf numFmtId="0" fontId="5" fillId="0" borderId="54" xfId="17" applyFont="1" applyBorder="1" applyAlignment="1">
      <alignment horizontal="center" wrapText="1"/>
    </xf>
    <xf numFmtId="0" fontId="15" fillId="0" borderId="54" xfId="17" applyFont="1" applyBorder="1" applyAlignment="1">
      <alignment horizontal="center" wrapText="1"/>
    </xf>
    <xf numFmtId="0" fontId="15" fillId="0" borderId="54" xfId="17" applyFont="1" applyBorder="1" applyAlignment="1">
      <alignment horizontal="right" vertical="top"/>
    </xf>
    <xf numFmtId="0" fontId="15" fillId="0" borderId="54" xfId="17" applyFont="1" applyBorder="1" applyAlignment="1">
      <alignment horizontal="center" vertical="top" wrapText="1"/>
    </xf>
    <xf numFmtId="0" fontId="43" fillId="0" borderId="0" xfId="17" applyFont="1" applyAlignment="1">
      <alignment horizontal="left"/>
    </xf>
    <xf numFmtId="0" fontId="43" fillId="0" borderId="0" xfId="17" applyFont="1" applyAlignment="1">
      <alignment horizontal="center"/>
    </xf>
    <xf numFmtId="0" fontId="67" fillId="0" borderId="0" xfId="17" applyFont="1"/>
    <xf numFmtId="0" fontId="43" fillId="0" borderId="0" xfId="17" applyFont="1"/>
    <xf numFmtId="0" fontId="43" fillId="0" borderId="8" xfId="17" applyFont="1" applyBorder="1" applyAlignment="1">
      <alignment horizontal="center"/>
    </xf>
    <xf numFmtId="0" fontId="43" fillId="0" borderId="9" xfId="17" applyFont="1" applyBorder="1" applyAlignment="1">
      <alignment horizontal="center"/>
    </xf>
    <xf numFmtId="0" fontId="43" fillId="0" borderId="54" xfId="17" applyFont="1" applyBorder="1" applyAlignment="1">
      <alignment horizontal="right" vertical="top"/>
    </xf>
    <xf numFmtId="0" fontId="43" fillId="0" borderId="54" xfId="17" applyFont="1" applyBorder="1" applyAlignment="1">
      <alignment horizontal="center" vertical="top" wrapText="1"/>
    </xf>
    <xf numFmtId="0" fontId="43" fillId="0" borderId="17" xfId="17" applyFont="1" applyBorder="1" applyAlignment="1">
      <alignment horizontal="center" vertical="top" wrapText="1"/>
    </xf>
    <xf numFmtId="0" fontId="43" fillId="0" borderId="10" xfId="17" applyFont="1" applyBorder="1" applyAlignment="1">
      <alignment horizontal="center" vertical="top" wrapText="1"/>
    </xf>
    <xf numFmtId="0" fontId="43" fillId="0" borderId="8" xfId="17" applyFont="1" applyBorder="1"/>
    <xf numFmtId="0" fontId="43" fillId="0" borderId="9" xfId="17" applyFont="1" applyBorder="1"/>
    <xf numFmtId="0" fontId="43" fillId="0" borderId="0" xfId="17" applyFont="1" applyAlignment="1">
      <alignment horizontal="right"/>
    </xf>
    <xf numFmtId="165" fontId="43" fillId="2" borderId="0" xfId="1" applyNumberFormat="1" applyFont="1" applyFill="1" applyAlignment="1">
      <alignment horizontal="center"/>
    </xf>
    <xf numFmtId="10" fontId="43" fillId="0" borderId="0" xfId="4" applyNumberFormat="1" applyFont="1" applyFill="1"/>
    <xf numFmtId="165" fontId="43" fillId="0" borderId="8" xfId="1" applyNumberFormat="1" applyFont="1" applyFill="1" applyBorder="1"/>
    <xf numFmtId="165" fontId="43" fillId="0" borderId="9" xfId="1" applyNumberFormat="1" applyFont="1" applyFill="1" applyBorder="1"/>
    <xf numFmtId="165" fontId="43" fillId="0" borderId="17" xfId="1" applyNumberFormat="1" applyFont="1" applyFill="1" applyBorder="1"/>
    <xf numFmtId="165" fontId="43" fillId="0" borderId="54" xfId="1" applyNumberFormat="1" applyFont="1" applyFill="1" applyBorder="1"/>
    <xf numFmtId="165" fontId="43" fillId="2" borderId="54" xfId="1" applyNumberFormat="1" applyFont="1" applyFill="1" applyBorder="1"/>
    <xf numFmtId="165" fontId="43" fillId="0" borderId="10" xfId="1" applyNumberFormat="1" applyFont="1" applyFill="1" applyBorder="1"/>
    <xf numFmtId="165" fontId="43" fillId="0" borderId="0" xfId="1" applyNumberFormat="1" applyFont="1" applyFill="1"/>
    <xf numFmtId="43" fontId="43" fillId="2" borderId="0" xfId="1" applyFont="1" applyFill="1" applyAlignment="1">
      <alignment horizontal="center"/>
    </xf>
    <xf numFmtId="165" fontId="43" fillId="0" borderId="25" xfId="1" applyNumberFormat="1" applyFont="1" applyFill="1" applyBorder="1"/>
    <xf numFmtId="165" fontId="43" fillId="0" borderId="11" xfId="1" applyNumberFormat="1" applyFont="1" applyFill="1" applyBorder="1"/>
    <xf numFmtId="165" fontId="43" fillId="0" borderId="1" xfId="1" applyNumberFormat="1" applyFont="1" applyFill="1" applyBorder="1"/>
    <xf numFmtId="165" fontId="43" fillId="0" borderId="12" xfId="1" applyNumberFormat="1" applyFont="1" applyFill="1" applyBorder="1"/>
    <xf numFmtId="165" fontId="43" fillId="0" borderId="0" xfId="1" applyNumberFormat="1" applyFont="1"/>
    <xf numFmtId="0" fontId="68" fillId="0" borderId="0" xfId="17" applyFont="1"/>
    <xf numFmtId="41" fontId="43" fillId="0" borderId="0" xfId="17" applyNumberFormat="1" applyFont="1" applyAlignment="1">
      <alignment horizontal="center"/>
    </xf>
    <xf numFmtId="0" fontId="68" fillId="0" borderId="0" xfId="17" applyFont="1" applyAlignment="1">
      <alignment horizontal="right"/>
    </xf>
    <xf numFmtId="165" fontId="67" fillId="0" borderId="0" xfId="1" applyNumberFormat="1" applyFont="1" applyFill="1" applyBorder="1"/>
    <xf numFmtId="164" fontId="4" fillId="0" borderId="0" xfId="21"/>
    <xf numFmtId="164" fontId="69" fillId="0" borderId="0" xfId="21" applyFont="1"/>
    <xf numFmtId="0" fontId="12" fillId="0" borderId="0" xfId="21" applyNumberFormat="1" applyFont="1" applyAlignment="1">
      <alignment horizontal="left"/>
    </xf>
    <xf numFmtId="3" fontId="5" fillId="0" borderId="0" xfId="22" applyNumberFormat="1" applyFont="1"/>
    <xf numFmtId="2" fontId="4" fillId="0" borderId="0" xfId="21" applyNumberFormat="1" applyAlignment="1">
      <alignment horizontal="center" wrapText="1"/>
    </xf>
    <xf numFmtId="0" fontId="5" fillId="0" borderId="0" xfId="21" applyNumberFormat="1" applyFont="1"/>
    <xf numFmtId="2" fontId="4" fillId="0" borderId="0" xfId="21" applyNumberFormat="1"/>
    <xf numFmtId="0" fontId="5" fillId="0" borderId="0" xfId="21" applyNumberFormat="1" applyFont="1" applyAlignment="1">
      <alignment horizontal="left"/>
    </xf>
    <xf numFmtId="164" fontId="70" fillId="0" borderId="0" xfId="21" applyFont="1" applyProtection="1">
      <protection locked="0"/>
    </xf>
    <xf numFmtId="164" fontId="12" fillId="0" borderId="0" xfId="21" applyFont="1" applyProtection="1">
      <protection locked="0"/>
    </xf>
    <xf numFmtId="0" fontId="8" fillId="0" borderId="0" xfId="21" applyNumberFormat="1" applyFont="1"/>
    <xf numFmtId="0" fontId="8" fillId="0" borderId="0" xfId="21" applyNumberFormat="1" applyFont="1" applyAlignment="1">
      <alignment horizontal="center"/>
    </xf>
    <xf numFmtId="165" fontId="15" fillId="0" borderId="0" xfId="9" applyNumberFormat="1" applyFont="1" applyAlignment="1">
      <alignment horizontal="center"/>
    </xf>
    <xf numFmtId="164" fontId="15" fillId="0" borderId="0" xfId="21" applyFont="1"/>
    <xf numFmtId="43" fontId="28" fillId="0" borderId="0" xfId="9" applyFont="1" applyFill="1"/>
    <xf numFmtId="49" fontId="15" fillId="0" borderId="0" xfId="9" applyNumberFormat="1" applyFont="1" applyFill="1"/>
    <xf numFmtId="39" fontId="15" fillId="0" borderId="0" xfId="9" applyNumberFormat="1" applyFont="1" applyFill="1" applyAlignment="1">
      <alignment horizontal="right"/>
    </xf>
    <xf numFmtId="165" fontId="0" fillId="0" borderId="0" xfId="9" applyNumberFormat="1" applyFont="1"/>
    <xf numFmtId="43" fontId="0" fillId="0" borderId="0" xfId="9" applyFont="1"/>
    <xf numFmtId="43" fontId="73" fillId="0" borderId="0" xfId="9" applyFont="1" applyFill="1"/>
    <xf numFmtId="0" fontId="4" fillId="0" borderId="0" xfId="21" applyNumberFormat="1"/>
    <xf numFmtId="164" fontId="74" fillId="0" borderId="0" xfId="21" applyFont="1"/>
    <xf numFmtId="178" fontId="75" fillId="0" borderId="0" xfId="9" applyNumberFormat="1" applyFont="1" applyFill="1"/>
    <xf numFmtId="43" fontId="75" fillId="0" borderId="0" xfId="9" applyFont="1" applyFill="1"/>
    <xf numFmtId="10" fontId="75" fillId="0" borderId="0" xfId="23" applyNumberFormat="1" applyFont="1" applyFill="1"/>
    <xf numFmtId="176" fontId="74" fillId="0" borderId="0" xfId="21" applyNumberFormat="1" applyFont="1"/>
    <xf numFmtId="176" fontId="74" fillId="0" borderId="0" xfId="21" applyNumberFormat="1" applyFont="1" applyAlignment="1">
      <alignment horizontal="center" vertical="center"/>
    </xf>
    <xf numFmtId="43" fontId="73" fillId="0" borderId="0" xfId="9" applyFont="1" applyFill="1" applyBorder="1" applyAlignment="1">
      <alignment horizontal="center" vertical="center" wrapText="1"/>
    </xf>
    <xf numFmtId="43" fontId="74" fillId="0" borderId="0" xfId="24" quotePrefix="1" applyFont="1" applyBorder="1" applyAlignment="1">
      <alignment horizontal="center"/>
    </xf>
    <xf numFmtId="178" fontId="74" fillId="0" borderId="0" xfId="9" applyNumberFormat="1" applyFont="1" applyFill="1" applyBorder="1" applyAlignment="1">
      <alignment horizontal="center"/>
    </xf>
    <xf numFmtId="165" fontId="74" fillId="0" borderId="0" xfId="9" quotePrefix="1" applyNumberFormat="1" applyFont="1" applyFill="1" applyBorder="1" applyAlignment="1">
      <alignment horizontal="center"/>
    </xf>
    <xf numFmtId="10" fontId="74" fillId="0" borderId="0" xfId="23" applyNumberFormat="1" applyFont="1" applyFill="1" applyBorder="1" applyAlignment="1">
      <alignment horizontal="center"/>
    </xf>
    <xf numFmtId="164" fontId="71" fillId="0" borderId="0" xfId="21" applyFont="1"/>
    <xf numFmtId="176" fontId="4" fillId="0" borderId="0" xfId="21" applyNumberFormat="1"/>
    <xf numFmtId="178" fontId="0" fillId="0" borderId="0" xfId="9" applyNumberFormat="1" applyFont="1" applyFill="1"/>
    <xf numFmtId="43" fontId="0" fillId="0" borderId="0" xfId="9" applyFont="1" applyFill="1"/>
    <xf numFmtId="10" fontId="0" fillId="0" borderId="0" xfId="23" applyNumberFormat="1" applyFont="1" applyFill="1"/>
    <xf numFmtId="164" fontId="15" fillId="0" borderId="0" xfId="21" applyFont="1" applyAlignment="1">
      <alignment horizontal="right"/>
    </xf>
    <xf numFmtId="0" fontId="48" fillId="0" borderId="0" xfId="21" applyNumberFormat="1" applyFont="1" applyProtection="1"/>
    <xf numFmtId="178" fontId="77" fillId="0" borderId="0" xfId="9" applyNumberFormat="1" applyFont="1" applyFill="1"/>
    <xf numFmtId="43" fontId="77" fillId="0" borderId="0" xfId="9" applyFont="1" applyFill="1"/>
    <xf numFmtId="10" fontId="77" fillId="0" borderId="0" xfId="23" applyNumberFormat="1" applyFont="1" applyFill="1"/>
    <xf numFmtId="49" fontId="15" fillId="0" borderId="0" xfId="9" applyNumberFormat="1" applyFont="1" applyAlignment="1"/>
    <xf numFmtId="164" fontId="15" fillId="0" borderId="0" xfId="21" applyFont="1" applyAlignment="1">
      <alignment horizontal="left"/>
    </xf>
    <xf numFmtId="43" fontId="4" fillId="0" borderId="0" xfId="21" applyNumberFormat="1"/>
    <xf numFmtId="165" fontId="0" fillId="0" borderId="0" xfId="24" applyNumberFormat="1" applyFont="1" applyFill="1"/>
    <xf numFmtId="10" fontId="4" fillId="0" borderId="0" xfId="23" applyNumberFormat="1" applyFont="1"/>
    <xf numFmtId="166" fontId="0" fillId="0" borderId="0" xfId="24" applyNumberFormat="1" applyFont="1" applyFill="1"/>
    <xf numFmtId="175" fontId="0" fillId="0" borderId="0" xfId="24" applyNumberFormat="1" applyFont="1" applyFill="1"/>
    <xf numFmtId="49" fontId="15" fillId="0" borderId="0" xfId="21" applyNumberFormat="1" applyFont="1"/>
    <xf numFmtId="43" fontId="15" fillId="0" borderId="0" xfId="9" applyFont="1" applyAlignment="1"/>
    <xf numFmtId="183" fontId="4" fillId="0" borderId="0" xfId="21" applyNumberFormat="1"/>
    <xf numFmtId="49" fontId="78" fillId="0" borderId="0" xfId="9" applyNumberFormat="1" applyFont="1" applyFill="1"/>
    <xf numFmtId="165" fontId="15" fillId="0" borderId="0" xfId="9" applyNumberFormat="1" applyFont="1" applyFill="1" applyAlignment="1">
      <alignment horizontal="center"/>
    </xf>
    <xf numFmtId="2" fontId="15" fillId="0" borderId="0" xfId="21" applyNumberFormat="1" applyFont="1"/>
    <xf numFmtId="0" fontId="43" fillId="0" borderId="0" xfId="21" applyNumberFormat="1" applyFont="1"/>
    <xf numFmtId="164" fontId="43" fillId="0" borderId="0" xfId="21" applyFont="1"/>
    <xf numFmtId="164" fontId="15" fillId="0" borderId="0" xfId="21" applyFont="1" applyAlignment="1">
      <alignment vertical="center" wrapText="1"/>
    </xf>
    <xf numFmtId="164" fontId="15" fillId="10" borderId="0" xfId="21" applyFont="1" applyFill="1"/>
    <xf numFmtId="164" fontId="8" fillId="10" borderId="0" xfId="21" applyFont="1" applyFill="1"/>
    <xf numFmtId="2" fontId="15" fillId="0" borderId="0" xfId="21" applyNumberFormat="1" applyFont="1" applyAlignment="1">
      <alignment horizontal="center"/>
    </xf>
    <xf numFmtId="10" fontId="15" fillId="0" borderId="0" xfId="11" applyNumberFormat="1" applyFont="1" applyAlignment="1">
      <alignment horizontal="center"/>
    </xf>
    <xf numFmtId="0" fontId="79" fillId="0" borderId="0" xfId="21" applyNumberFormat="1" applyFont="1"/>
    <xf numFmtId="0" fontId="52" fillId="0" borderId="0" xfId="25" applyFont="1"/>
    <xf numFmtId="164" fontId="52" fillId="0" borderId="0" xfId="0" applyFont="1"/>
    <xf numFmtId="0" fontId="51" fillId="0" borderId="0" xfId="25" applyFont="1"/>
    <xf numFmtId="0" fontId="52" fillId="0" borderId="0" xfId="25" applyFont="1" applyAlignment="1">
      <alignment horizontal="center"/>
    </xf>
    <xf numFmtId="0" fontId="52" fillId="0" borderId="0" xfId="25" quotePrefix="1" applyFont="1" applyAlignment="1">
      <alignment horizontal="center"/>
    </xf>
    <xf numFmtId="49" fontId="52" fillId="0" borderId="0" xfId="10" applyNumberFormat="1" applyFont="1" applyAlignment="1">
      <alignment horizontal="center" wrapText="1"/>
    </xf>
    <xf numFmtId="49" fontId="52" fillId="0" borderId="0" xfId="26" applyNumberFormat="1" applyFont="1" applyBorder="1" applyAlignment="1">
      <alignment horizontal="center" wrapText="1"/>
    </xf>
    <xf numFmtId="0" fontId="52" fillId="0" borderId="31" xfId="25" applyFont="1" applyBorder="1" applyAlignment="1">
      <alignment horizontal="center" wrapText="1"/>
    </xf>
    <xf numFmtId="0" fontId="52" fillId="0" borderId="34" xfId="25" applyFont="1" applyBorder="1" applyAlignment="1">
      <alignment horizontal="center" wrapText="1"/>
    </xf>
    <xf numFmtId="0" fontId="52" fillId="0" borderId="25" xfId="25" applyFont="1" applyBorder="1" applyAlignment="1">
      <alignment horizontal="center" wrapText="1"/>
    </xf>
    <xf numFmtId="17" fontId="52" fillId="0" borderId="25" xfId="25" applyNumberFormat="1" applyFont="1" applyBorder="1" applyAlignment="1">
      <alignment horizontal="center" wrapText="1"/>
    </xf>
    <xf numFmtId="49" fontId="52" fillId="2" borderId="25" xfId="10" applyNumberFormat="1" applyFont="1" applyFill="1" applyBorder="1" applyAlignment="1">
      <alignment horizontal="center" wrapText="1"/>
    </xf>
    <xf numFmtId="49" fontId="52" fillId="2" borderId="25" xfId="26" applyNumberFormat="1" applyFont="1" applyFill="1" applyBorder="1" applyAlignment="1">
      <alignment horizontal="center" wrapText="1"/>
    </xf>
    <xf numFmtId="17" fontId="52" fillId="0" borderId="35" xfId="25" applyNumberFormat="1" applyFont="1" applyBorder="1" applyAlignment="1">
      <alignment horizontal="center" wrapText="1"/>
    </xf>
    <xf numFmtId="0" fontId="52" fillId="0" borderId="42" xfId="25" applyFont="1" applyBorder="1"/>
    <xf numFmtId="0" fontId="52" fillId="2" borderId="34" xfId="25" applyFont="1" applyFill="1" applyBorder="1"/>
    <xf numFmtId="3" fontId="52" fillId="2" borderId="25" xfId="25" applyNumberFormat="1" applyFont="1" applyFill="1" applyBorder="1"/>
    <xf numFmtId="0" fontId="52" fillId="2" borderId="25" xfId="25" applyFont="1" applyFill="1" applyBorder="1"/>
    <xf numFmtId="165" fontId="52" fillId="0" borderId="25" xfId="1" applyNumberFormat="1" applyFont="1" applyBorder="1"/>
    <xf numFmtId="9" fontId="52" fillId="2" borderId="25" xfId="4" applyFont="1" applyFill="1" applyBorder="1"/>
    <xf numFmtId="165" fontId="52" fillId="0" borderId="25" xfId="1" applyNumberFormat="1" applyFont="1" applyBorder="1" applyAlignment="1">
      <alignment horizontal="center"/>
    </xf>
    <xf numFmtId="9" fontId="52" fillId="2" borderId="25" xfId="4" applyFont="1" applyFill="1" applyBorder="1" applyAlignment="1">
      <alignment horizontal="center"/>
    </xf>
    <xf numFmtId="9" fontId="52" fillId="0" borderId="25" xfId="4" applyFont="1" applyBorder="1" applyAlignment="1">
      <alignment horizontal="center"/>
    </xf>
    <xf numFmtId="165" fontId="52" fillId="0" borderId="25" xfId="25" applyNumberFormat="1" applyFont="1" applyBorder="1"/>
    <xf numFmtId="0" fontId="52" fillId="2" borderId="35" xfId="25" applyFont="1" applyFill="1" applyBorder="1"/>
    <xf numFmtId="0" fontId="52" fillId="2" borderId="36" xfId="25" applyFont="1" applyFill="1" applyBorder="1"/>
    <xf numFmtId="0" fontId="52" fillId="2" borderId="0" xfId="25" applyFont="1" applyFill="1"/>
    <xf numFmtId="165" fontId="52" fillId="0" borderId="0" xfId="1" applyNumberFormat="1" applyFont="1" applyBorder="1"/>
    <xf numFmtId="165" fontId="52" fillId="0" borderId="0" xfId="1" applyNumberFormat="1" applyFont="1" applyBorder="1" applyAlignment="1">
      <alignment horizontal="center"/>
    </xf>
    <xf numFmtId="0" fontId="52" fillId="2" borderId="0" xfId="25" applyFont="1" applyFill="1" applyAlignment="1">
      <alignment horizontal="center"/>
    </xf>
    <xf numFmtId="165" fontId="52" fillId="0" borderId="0" xfId="25" applyNumberFormat="1" applyFont="1"/>
    <xf numFmtId="0" fontId="52" fillId="2" borderId="37" xfId="25" applyFont="1" applyFill="1" applyBorder="1"/>
    <xf numFmtId="0" fontId="52" fillId="2" borderId="38" xfId="25" applyFont="1" applyFill="1" applyBorder="1"/>
    <xf numFmtId="0" fontId="52" fillId="2" borderId="54" xfId="25" applyFont="1" applyFill="1" applyBorder="1"/>
    <xf numFmtId="165" fontId="52" fillId="0" borderId="54" xfId="1" applyNumberFormat="1" applyFont="1" applyBorder="1"/>
    <xf numFmtId="165" fontId="52" fillId="0" borderId="54" xfId="1" applyNumberFormat="1" applyFont="1" applyBorder="1" applyAlignment="1">
      <alignment horizontal="center"/>
    </xf>
    <xf numFmtId="0" fontId="52" fillId="2" borderId="54" xfId="25" applyFont="1" applyFill="1" applyBorder="1" applyAlignment="1">
      <alignment horizontal="center"/>
    </xf>
    <xf numFmtId="165" fontId="52" fillId="0" borderId="54" xfId="25" applyNumberFormat="1" applyFont="1" applyBorder="1"/>
    <xf numFmtId="0" fontId="52" fillId="2" borderId="39" xfId="25" applyFont="1" applyFill="1" applyBorder="1" applyAlignment="1">
      <alignment horizontal="center"/>
    </xf>
    <xf numFmtId="0" fontId="52" fillId="0" borderId="25" xfId="25" applyFont="1" applyBorder="1" applyAlignment="1">
      <alignment horizontal="left"/>
    </xf>
    <xf numFmtId="165" fontId="52" fillId="0" borderId="31" xfId="1" applyNumberFormat="1" applyFont="1" applyBorder="1"/>
    <xf numFmtId="165" fontId="52" fillId="0" borderId="31" xfId="1" applyNumberFormat="1" applyFont="1" applyBorder="1" applyAlignment="1">
      <alignment horizontal="center"/>
    </xf>
    <xf numFmtId="165" fontId="8" fillId="0" borderId="9" xfId="8" applyNumberFormat="1" applyBorder="1"/>
    <xf numFmtId="0" fontId="52" fillId="2" borderId="25" xfId="25" applyFont="1" applyFill="1" applyBorder="1" applyAlignment="1">
      <alignment horizontal="center"/>
    </xf>
    <xf numFmtId="165" fontId="52" fillId="0" borderId="31" xfId="25" applyNumberFormat="1" applyFont="1" applyBorder="1"/>
    <xf numFmtId="184" fontId="52" fillId="0" borderId="31" xfId="1" applyNumberFormat="1" applyFont="1" applyBorder="1" applyAlignment="1">
      <alignment horizontal="center"/>
    </xf>
    <xf numFmtId="164" fontId="51" fillId="0" borderId="0" xfId="0" applyFont="1"/>
    <xf numFmtId="0" fontId="52" fillId="0" borderId="0" xfId="10" applyFont="1"/>
    <xf numFmtId="49" fontId="52" fillId="0" borderId="0" xfId="10" applyNumberFormat="1" applyFont="1"/>
    <xf numFmtId="165" fontId="52" fillId="0" borderId="0" xfId="26" applyNumberFormat="1" applyFont="1"/>
    <xf numFmtId="0" fontId="52" fillId="0" borderId="0" xfId="10" applyFont="1" applyAlignment="1">
      <alignment horizontal="center"/>
    </xf>
    <xf numFmtId="49" fontId="52" fillId="0" borderId="0" xfId="10" applyNumberFormat="1" applyFont="1" applyAlignment="1">
      <alignment horizontal="center"/>
    </xf>
    <xf numFmtId="165" fontId="52" fillId="0" borderId="0" xfId="26" applyNumberFormat="1" applyFont="1" applyAlignment="1">
      <alignment horizontal="center"/>
    </xf>
    <xf numFmtId="10" fontId="52" fillId="0" borderId="0" xfId="27" applyNumberFormat="1" applyFont="1" applyAlignment="1">
      <alignment horizontal="center"/>
    </xf>
    <xf numFmtId="49" fontId="52" fillId="0" borderId="25" xfId="10" applyNumberFormat="1" applyFont="1" applyBorder="1" applyAlignment="1">
      <alignment horizontal="center" wrapText="1"/>
    </xf>
    <xf numFmtId="49" fontId="52" fillId="0" borderId="25" xfId="26" applyNumberFormat="1" applyFont="1" applyBorder="1" applyAlignment="1">
      <alignment horizontal="center" wrapText="1"/>
    </xf>
    <xf numFmtId="49" fontId="52" fillId="2" borderId="54" xfId="10" applyNumberFormat="1" applyFont="1" applyFill="1" applyBorder="1" applyAlignment="1">
      <alignment horizontal="center" wrapText="1"/>
    </xf>
    <xf numFmtId="49" fontId="52" fillId="2" borderId="54" xfId="26" applyNumberFormat="1" applyFont="1" applyFill="1" applyBorder="1" applyAlignment="1">
      <alignment horizontal="center" wrapText="1"/>
    </xf>
    <xf numFmtId="0" fontId="52" fillId="0" borderId="34" xfId="10" applyFont="1" applyBorder="1"/>
    <xf numFmtId="49" fontId="52" fillId="2" borderId="36" xfId="26" applyNumberFormat="1" applyFont="1" applyFill="1" applyBorder="1" applyAlignment="1">
      <alignment horizontal="left"/>
    </xf>
    <xf numFmtId="165" fontId="52" fillId="2" borderId="0" xfId="26" applyNumberFormat="1" applyFont="1" applyFill="1" applyBorder="1"/>
    <xf numFmtId="165" fontId="52" fillId="0" borderId="37" xfId="26" applyNumberFormat="1" applyFont="1" applyBorder="1"/>
    <xf numFmtId="0" fontId="52" fillId="0" borderId="36" xfId="10" applyFont="1" applyBorder="1"/>
    <xf numFmtId="49" fontId="52" fillId="2" borderId="36" xfId="26" applyNumberFormat="1" applyFont="1" applyFill="1" applyBorder="1"/>
    <xf numFmtId="0" fontId="52" fillId="0" borderId="38" xfId="10" applyFont="1" applyBorder="1"/>
    <xf numFmtId="49" fontId="52" fillId="2" borderId="38" xfId="26" applyNumberFormat="1" applyFont="1" applyFill="1" applyBorder="1"/>
    <xf numFmtId="165" fontId="52" fillId="2" borderId="54" xfId="26" applyNumberFormat="1" applyFont="1" applyFill="1" applyBorder="1"/>
    <xf numFmtId="165" fontId="52" fillId="0" borderId="39" xfId="26" applyNumberFormat="1" applyFont="1" applyBorder="1"/>
    <xf numFmtId="0" fontId="52" fillId="0" borderId="0" xfId="10" applyFont="1" applyAlignment="1">
      <alignment horizontal="left"/>
    </xf>
    <xf numFmtId="49" fontId="52" fillId="0" borderId="0" xfId="10" applyNumberFormat="1" applyFont="1" applyAlignment="1">
      <alignment horizontal="left"/>
    </xf>
    <xf numFmtId="165" fontId="52" fillId="0" borderId="0" xfId="26" applyNumberFormat="1" applyFont="1" applyBorder="1" applyAlignment="1">
      <alignment horizontal="right"/>
    </xf>
    <xf numFmtId="165" fontId="52" fillId="0" borderId="0" xfId="26" applyNumberFormat="1" applyFont="1" applyBorder="1" applyAlignment="1"/>
    <xf numFmtId="43" fontId="52" fillId="0" borderId="31" xfId="1" applyFont="1" applyBorder="1" applyAlignment="1"/>
    <xf numFmtId="0" fontId="52" fillId="0" borderId="40" xfId="25" applyFont="1" applyBorder="1"/>
    <xf numFmtId="0" fontId="52" fillId="0" borderId="41" xfId="25" applyFont="1" applyBorder="1" applyAlignment="1">
      <alignment horizontal="center" wrapText="1"/>
    </xf>
    <xf numFmtId="165" fontId="52" fillId="0" borderId="25" xfId="25" applyNumberFormat="1" applyFont="1" applyBorder="1" applyAlignment="1">
      <alignment horizontal="center"/>
    </xf>
    <xf numFmtId="178" fontId="52" fillId="2" borderId="25" xfId="25" applyNumberFormat="1" applyFont="1" applyFill="1" applyBorder="1" applyAlignment="1">
      <alignment horizontal="center"/>
    </xf>
    <xf numFmtId="185" fontId="52" fillId="0" borderId="35" xfId="25" applyNumberFormat="1" applyFont="1" applyBorder="1" applyAlignment="1">
      <alignment horizontal="center"/>
    </xf>
    <xf numFmtId="165" fontId="52" fillId="0" borderId="0" xfId="25" applyNumberFormat="1" applyFont="1" applyAlignment="1">
      <alignment horizontal="center"/>
    </xf>
    <xf numFmtId="178" fontId="52" fillId="2" borderId="0" xfId="25" applyNumberFormat="1" applyFont="1" applyFill="1" applyAlignment="1">
      <alignment horizontal="center"/>
    </xf>
    <xf numFmtId="165" fontId="52" fillId="0" borderId="37" xfId="25" applyNumberFormat="1" applyFont="1" applyBorder="1" applyAlignment="1">
      <alignment horizontal="center"/>
    </xf>
    <xf numFmtId="0" fontId="52" fillId="0" borderId="41" xfId="25" applyFont="1" applyBorder="1" applyAlignment="1">
      <alignment horizontal="left"/>
    </xf>
    <xf numFmtId="165" fontId="52" fillId="0" borderId="54" xfId="25" applyNumberFormat="1" applyFont="1" applyBorder="1" applyAlignment="1">
      <alignment horizontal="center"/>
    </xf>
    <xf numFmtId="178" fontId="52" fillId="2" borderId="54" xfId="4" applyNumberFormat="1" applyFont="1" applyFill="1" applyBorder="1" applyAlignment="1">
      <alignment horizontal="center"/>
    </xf>
    <xf numFmtId="165" fontId="52" fillId="0" borderId="39" xfId="25" applyNumberFormat="1" applyFont="1" applyBorder="1" applyAlignment="1">
      <alignment horizontal="center"/>
    </xf>
    <xf numFmtId="0" fontId="52" fillId="0" borderId="0" xfId="28" applyFont="1"/>
    <xf numFmtId="0" fontId="52" fillId="0" borderId="25" xfId="25" applyFont="1" applyBorder="1"/>
    <xf numFmtId="43" fontId="52" fillId="0" borderId="31" xfId="1" applyFont="1" applyBorder="1" applyAlignment="1">
      <alignment horizontal="center"/>
    </xf>
    <xf numFmtId="0" fontId="52" fillId="0" borderId="0" xfId="1" applyNumberFormat="1" applyFont="1" applyAlignment="1">
      <alignment horizontal="center"/>
    </xf>
    <xf numFmtId="164" fontId="52" fillId="0" borderId="0" xfId="29" applyFont="1"/>
    <xf numFmtId="1" fontId="52" fillId="0" borderId="0" xfId="29" applyNumberFormat="1" applyFont="1" applyAlignment="1">
      <alignment horizontal="center"/>
    </xf>
    <xf numFmtId="164" fontId="51" fillId="0" borderId="0" xfId="29" applyFont="1"/>
    <xf numFmtId="0" fontId="52" fillId="0" borderId="40" xfId="1" applyNumberFormat="1" applyFont="1" applyBorder="1" applyAlignment="1">
      <alignment horizontal="center"/>
    </xf>
    <xf numFmtId="164" fontId="52" fillId="0" borderId="25" xfId="29" applyFont="1" applyBorder="1"/>
    <xf numFmtId="1" fontId="52" fillId="0" borderId="25" xfId="29" applyNumberFormat="1" applyFont="1" applyBorder="1" applyAlignment="1">
      <alignment horizontal="center"/>
    </xf>
    <xf numFmtId="164" fontId="52" fillId="0" borderId="35" xfId="29" applyFont="1" applyBorder="1" applyAlignment="1">
      <alignment horizontal="center"/>
    </xf>
    <xf numFmtId="0" fontId="52" fillId="0" borderId="41" xfId="1" applyNumberFormat="1" applyFont="1" applyBorder="1" applyAlignment="1">
      <alignment horizontal="center"/>
    </xf>
    <xf numFmtId="164" fontId="52" fillId="0" borderId="54" xfId="29" applyFont="1" applyBorder="1"/>
    <xf numFmtId="164" fontId="52" fillId="0" borderId="54" xfId="29" applyFont="1" applyBorder="1" applyAlignment="1">
      <alignment horizontal="center" wrapText="1"/>
    </xf>
    <xf numFmtId="164" fontId="52" fillId="0" borderId="39" xfId="29" applyFont="1" applyBorder="1" applyAlignment="1">
      <alignment horizontal="center" wrapText="1"/>
    </xf>
    <xf numFmtId="0" fontId="52" fillId="0" borderId="40" xfId="1" applyNumberFormat="1" applyFont="1" applyBorder="1" applyAlignment="1">
      <alignment horizontal="left"/>
    </xf>
    <xf numFmtId="164" fontId="52" fillId="2" borderId="25" xfId="29" applyFont="1" applyFill="1" applyBorder="1"/>
    <xf numFmtId="165" fontId="52" fillId="2" borderId="25" xfId="1" applyNumberFormat="1" applyFont="1" applyFill="1" applyBorder="1" applyAlignment="1">
      <alignment wrapText="1"/>
    </xf>
    <xf numFmtId="165" fontId="52" fillId="0" borderId="35" xfId="1" applyNumberFormat="1" applyFont="1" applyBorder="1" applyAlignment="1">
      <alignment wrapText="1"/>
    </xf>
    <xf numFmtId="0" fontId="52" fillId="0" borderId="42" xfId="1" applyNumberFormat="1" applyFont="1" applyBorder="1" applyAlignment="1">
      <alignment horizontal="left"/>
    </xf>
    <xf numFmtId="164" fontId="52" fillId="2" borderId="0" xfId="29" applyFont="1" applyFill="1"/>
    <xf numFmtId="165" fontId="52" fillId="2" borderId="0" xfId="1" applyNumberFormat="1" applyFont="1" applyFill="1" applyBorder="1"/>
    <xf numFmtId="165" fontId="52" fillId="0" borderId="37" xfId="1" applyNumberFormat="1" applyFont="1" applyBorder="1" applyAlignment="1">
      <alignment wrapText="1"/>
    </xf>
    <xf numFmtId="0" fontId="52" fillId="0" borderId="41" xfId="1" applyNumberFormat="1" applyFont="1" applyBorder="1" applyAlignment="1">
      <alignment horizontal="left"/>
    </xf>
    <xf numFmtId="164" fontId="52" fillId="2" borderId="54" xfId="29" applyFont="1" applyFill="1" applyBorder="1"/>
    <xf numFmtId="165" fontId="52" fillId="2" borderId="54" xfId="1" applyNumberFormat="1" applyFont="1" applyFill="1" applyBorder="1"/>
    <xf numFmtId="165" fontId="52" fillId="0" borderId="39" xfId="1" applyNumberFormat="1" applyFont="1" applyBorder="1" applyAlignment="1">
      <alignment wrapText="1"/>
    </xf>
    <xf numFmtId="0" fontId="52" fillId="0" borderId="0" xfId="1" applyNumberFormat="1" applyFont="1" applyAlignment="1">
      <alignment horizontal="left"/>
    </xf>
    <xf numFmtId="165" fontId="52" fillId="0" borderId="0" xfId="1" applyNumberFormat="1" applyFont="1"/>
    <xf numFmtId="0" fontId="52" fillId="0" borderId="0" xfId="1" applyNumberFormat="1" applyFont="1" applyBorder="1" applyAlignment="1">
      <alignment horizontal="center"/>
    </xf>
    <xf numFmtId="164" fontId="52" fillId="0" borderId="0" xfId="29" applyFont="1" applyAlignment="1">
      <alignment horizontal="center"/>
    </xf>
    <xf numFmtId="0" fontId="52" fillId="0" borderId="31" xfId="1" applyNumberFormat="1" applyFont="1" applyBorder="1" applyAlignment="1">
      <alignment horizontal="center"/>
    </xf>
    <xf numFmtId="164" fontId="0" fillId="0" borderId="25" xfId="0" applyBorder="1"/>
    <xf numFmtId="164" fontId="52" fillId="0" borderId="25" xfId="29" applyFont="1" applyBorder="1" applyAlignment="1">
      <alignment horizontal="center" wrapText="1"/>
    </xf>
    <xf numFmtId="164" fontId="52" fillId="0" borderId="35" xfId="29" applyFont="1" applyBorder="1" applyAlignment="1">
      <alignment horizontal="center" wrapText="1"/>
    </xf>
    <xf numFmtId="164" fontId="52" fillId="0" borderId="0" xfId="29" applyFont="1" applyAlignment="1">
      <alignment horizontal="center" wrapText="1"/>
    </xf>
    <xf numFmtId="164" fontId="52" fillId="2" borderId="34" xfId="29" applyFont="1" applyFill="1" applyBorder="1"/>
    <xf numFmtId="165" fontId="52" fillId="2" borderId="35" xfId="1" applyNumberFormat="1" applyFont="1" applyFill="1" applyBorder="1" applyAlignment="1">
      <alignment wrapText="1"/>
    </xf>
    <xf numFmtId="165" fontId="52" fillId="0" borderId="0" xfId="1" applyNumberFormat="1" applyFont="1" applyFill="1" applyBorder="1" applyAlignment="1">
      <alignment wrapText="1"/>
    </xf>
    <xf numFmtId="164" fontId="52" fillId="2" borderId="36" xfId="29" applyFont="1" applyFill="1" applyBorder="1"/>
    <xf numFmtId="165" fontId="52" fillId="2" borderId="37" xfId="1" applyNumberFormat="1" applyFont="1" applyFill="1" applyBorder="1"/>
    <xf numFmtId="165" fontId="52" fillId="0" borderId="0" xfId="1" applyNumberFormat="1" applyFont="1" applyFill="1" applyBorder="1"/>
    <xf numFmtId="164" fontId="52" fillId="2" borderId="38" xfId="29" applyFont="1" applyFill="1" applyBorder="1"/>
    <xf numFmtId="165" fontId="52" fillId="2" borderId="39" xfId="1" applyNumberFormat="1" applyFont="1" applyFill="1" applyBorder="1"/>
    <xf numFmtId="165" fontId="52" fillId="0" borderId="31" xfId="1" applyNumberFormat="1" applyFont="1" applyFill="1" applyBorder="1"/>
    <xf numFmtId="164" fontId="0" fillId="0" borderId="0" xfId="0" applyAlignment="1">
      <alignment horizontal="left"/>
    </xf>
    <xf numFmtId="0" fontId="81" fillId="0" borderId="0" xfId="30" applyFont="1"/>
    <xf numFmtId="0" fontId="80" fillId="0" borderId="0" xfId="8" applyFont="1" applyAlignment="1">
      <alignment horizontal="center"/>
    </xf>
    <xf numFmtId="0" fontId="81" fillId="0" borderId="0" xfId="30" applyFont="1" applyAlignment="1">
      <alignment horizontal="center"/>
    </xf>
    <xf numFmtId="0" fontId="82" fillId="0" borderId="0" xfId="30" applyFont="1" applyAlignment="1">
      <alignment wrapText="1"/>
    </xf>
    <xf numFmtId="0" fontId="82" fillId="0" borderId="0" xfId="30" applyFont="1" applyAlignment="1">
      <alignment horizontal="center" wrapText="1"/>
    </xf>
    <xf numFmtId="0" fontId="82" fillId="0" borderId="0" xfId="30" applyFont="1" applyAlignment="1">
      <alignment horizontal="center" vertical="center" wrapText="1"/>
    </xf>
    <xf numFmtId="164" fontId="80" fillId="0" borderId="0" xfId="31" applyFont="1" applyAlignment="1">
      <alignment horizontal="center" vertical="center" wrapText="1"/>
    </xf>
    <xf numFmtId="0" fontId="81" fillId="0" borderId="0" xfId="30" applyFont="1" applyAlignment="1">
      <alignment horizontal="center" vertical="center" wrapText="1"/>
    </xf>
    <xf numFmtId="164" fontId="83" fillId="0" borderId="0" xfId="31" applyFont="1" applyAlignment="1">
      <alignment vertical="top" wrapText="1"/>
    </xf>
    <xf numFmtId="165" fontId="81" fillId="2" borderId="0" xfId="1" applyNumberFormat="1" applyFont="1" applyFill="1" applyBorder="1"/>
    <xf numFmtId="165" fontId="81" fillId="0" borderId="0" xfId="1" applyNumberFormat="1" applyFont="1" applyBorder="1"/>
    <xf numFmtId="165" fontId="82" fillId="0" borderId="0" xfId="1" applyNumberFormat="1" applyFont="1" applyBorder="1"/>
    <xf numFmtId="17" fontId="81" fillId="0" borderId="0" xfId="30" applyNumberFormat="1" applyFont="1"/>
    <xf numFmtId="165" fontId="81" fillId="0" borderId="0" xfId="1" applyNumberFormat="1" applyFont="1" applyFill="1" applyBorder="1"/>
    <xf numFmtId="165" fontId="81" fillId="0" borderId="0" xfId="32" applyNumberFormat="1" applyFont="1" applyBorder="1"/>
    <xf numFmtId="165" fontId="82" fillId="0" borderId="0" xfId="1" applyNumberFormat="1" applyFont="1" applyFill="1" applyBorder="1"/>
    <xf numFmtId="43" fontId="81" fillId="0" borderId="0" xfId="30" applyNumberFormat="1" applyFont="1"/>
    <xf numFmtId="165" fontId="81" fillId="0" borderId="0" xfId="30" applyNumberFormat="1" applyFont="1"/>
    <xf numFmtId="179" fontId="81" fillId="0" borderId="0" xfId="4" applyNumberFormat="1" applyFont="1" applyBorder="1"/>
    <xf numFmtId="179" fontId="81" fillId="0" borderId="0" xfId="4" applyNumberFormat="1" applyFont="1" applyFill="1" applyBorder="1"/>
    <xf numFmtId="17" fontId="82" fillId="0" borderId="0" xfId="30" applyNumberFormat="1" applyFont="1"/>
    <xf numFmtId="165" fontId="82" fillId="0" borderId="0" xfId="30" applyNumberFormat="1" applyFont="1"/>
    <xf numFmtId="43" fontId="81" fillId="0" borderId="0" xfId="1" applyFont="1" applyBorder="1"/>
    <xf numFmtId="0" fontId="5" fillId="0" borderId="0" xfId="8" applyFont="1"/>
    <xf numFmtId="0" fontId="12" fillId="0" borderId="0" xfId="8" applyFont="1"/>
    <xf numFmtId="164" fontId="12" fillId="0" borderId="0" xfId="0" applyFont="1"/>
    <xf numFmtId="164" fontId="5" fillId="0" borderId="0" xfId="0" applyFont="1" applyAlignment="1">
      <alignment horizontal="center"/>
    </xf>
    <xf numFmtId="164" fontId="12" fillId="0" borderId="0" xfId="0" applyFont="1" applyAlignment="1">
      <alignment horizontal="left" vertical="center"/>
    </xf>
    <xf numFmtId="1" fontId="5" fillId="0" borderId="0" xfId="0" applyNumberFormat="1" applyFont="1" applyAlignment="1">
      <alignment horizontal="center" vertical="center"/>
    </xf>
    <xf numFmtId="0" fontId="5" fillId="0" borderId="0" xfId="0" applyNumberFormat="1" applyFont="1" applyAlignment="1">
      <alignment horizontal="center" vertical="center"/>
    </xf>
    <xf numFmtId="164" fontId="5" fillId="0" borderId="0" xfId="0" applyFont="1" applyAlignment="1">
      <alignment horizontal="center" vertical="center"/>
    </xf>
    <xf numFmtId="165" fontId="5" fillId="0" borderId="0" xfId="1" applyNumberFormat="1" applyFont="1" applyFill="1" applyAlignment="1">
      <alignment horizontal="center" vertical="center"/>
    </xf>
    <xf numFmtId="165" fontId="5" fillId="5" borderId="0" xfId="1" applyNumberFormat="1" applyFont="1" applyFill="1" applyAlignment="1"/>
    <xf numFmtId="10" fontId="5" fillId="0" borderId="0" xfId="4" applyNumberFormat="1" applyFont="1"/>
    <xf numFmtId="164" fontId="5" fillId="5" borderId="0" xfId="0" applyFont="1" applyFill="1"/>
    <xf numFmtId="164" fontId="5" fillId="0" borderId="0" xfId="0" applyFont="1" applyAlignment="1">
      <alignment vertical="top" wrapText="1"/>
    </xf>
    <xf numFmtId="0" fontId="30" fillId="0" borderId="0" xfId="8" applyFont="1" applyAlignment="1">
      <alignment horizontal="center" wrapText="1"/>
    </xf>
    <xf numFmtId="0" fontId="35" fillId="0" borderId="0" xfId="8" applyFont="1" applyAlignment="1">
      <alignment horizontal="center" wrapText="1"/>
    </xf>
    <xf numFmtId="10" fontId="64" fillId="2" borderId="0" xfId="18" applyNumberFormat="1" applyFont="1" applyFill="1"/>
    <xf numFmtId="1" fontId="19" fillId="2" borderId="54" xfId="1" applyNumberFormat="1" applyFont="1" applyFill="1" applyBorder="1" applyAlignment="1"/>
    <xf numFmtId="10" fontId="59" fillId="0" borderId="0" xfId="4" applyNumberFormat="1" applyFont="1" applyAlignment="1"/>
    <xf numFmtId="164" fontId="85" fillId="0" borderId="0" xfId="13" applyFont="1"/>
    <xf numFmtId="3" fontId="17" fillId="0" borderId="0" xfId="0" applyNumberFormat="1" applyFont="1"/>
    <xf numFmtId="0" fontId="87" fillId="13" borderId="55" xfId="59" applyNumberFormat="1" applyAlignment="1"/>
    <xf numFmtId="190" fontId="87" fillId="0" borderId="56" xfId="37" applyNumberFormat="1">
      <alignment horizontal="right" vertical="center"/>
    </xf>
    <xf numFmtId="190" fontId="86" fillId="0" borderId="57" xfId="38" applyNumberFormat="1">
      <alignment horizontal="right" vertical="center"/>
    </xf>
    <xf numFmtId="0" fontId="88" fillId="26" borderId="55" xfId="61" applyNumberFormat="1" applyAlignment="1"/>
    <xf numFmtId="0" fontId="86" fillId="12" borderId="61" xfId="60" applyNumberFormat="1" applyBorder="1" applyAlignment="1"/>
    <xf numFmtId="190" fontId="86" fillId="0" borderId="61" xfId="38" applyNumberFormat="1" applyBorder="1">
      <alignment horizontal="right" vertical="center"/>
    </xf>
    <xf numFmtId="190" fontId="87" fillId="0" borderId="64" xfId="37" applyNumberFormat="1" applyBorder="1">
      <alignment horizontal="right" vertical="center"/>
    </xf>
    <xf numFmtId="190" fontId="86" fillId="0" borderId="65" xfId="38" applyNumberFormat="1" applyBorder="1">
      <alignment horizontal="right" vertical="center"/>
    </xf>
    <xf numFmtId="0" fontId="86" fillId="12" borderId="65" xfId="60" applyNumberFormat="1" applyBorder="1" applyAlignment="1"/>
    <xf numFmtId="0" fontId="86" fillId="12" borderId="55" xfId="36" quotePrefix="1" applyNumberFormat="1" applyAlignment="1"/>
    <xf numFmtId="0" fontId="87" fillId="13" borderId="55" xfId="59" quotePrefix="1" applyNumberFormat="1" applyAlignment="1"/>
    <xf numFmtId="188" fontId="88" fillId="26" borderId="55" xfId="61" quotePrefix="1" applyNumberFormat="1" applyAlignment="1"/>
    <xf numFmtId="0" fontId="87" fillId="13" borderId="55" xfId="59" quotePrefix="1" applyNumberFormat="1" applyAlignment="1">
      <alignment wrapText="1"/>
    </xf>
    <xf numFmtId="189" fontId="88" fillId="28" borderId="55" xfId="63" quotePrefix="1" applyNumberFormat="1" applyAlignment="1"/>
    <xf numFmtId="191" fontId="88" fillId="27" borderId="55" xfId="62" quotePrefix="1" applyNumberFormat="1" applyAlignment="1"/>
    <xf numFmtId="194" fontId="88" fillId="15" borderId="62" xfId="65" quotePrefix="1" applyNumberFormat="1" applyBorder="1" applyAlignment="1"/>
    <xf numFmtId="195" fontId="88" fillId="15" borderId="62" xfId="65" quotePrefix="1" applyNumberFormat="1" applyBorder="1" applyAlignment="1"/>
    <xf numFmtId="196" fontId="88" fillId="16" borderId="55" xfId="64" quotePrefix="1" applyNumberFormat="1" applyAlignment="1"/>
    <xf numFmtId="197" fontId="88" fillId="15" borderId="62" xfId="65" quotePrefix="1" applyNumberFormat="1" applyBorder="1" applyAlignment="1"/>
    <xf numFmtId="198" fontId="88" fillId="28" borderId="55" xfId="63" quotePrefix="1" applyNumberFormat="1" applyAlignment="1"/>
    <xf numFmtId="199" fontId="88" fillId="26" borderId="55" xfId="61" quotePrefix="1" applyNumberFormat="1" applyAlignment="1"/>
    <xf numFmtId="200" fontId="88" fillId="16" borderId="55" xfId="64" quotePrefix="1" applyNumberFormat="1" applyAlignment="1"/>
    <xf numFmtId="201" fontId="86" fillId="12" borderId="63" xfId="60" quotePrefix="1" applyNumberFormat="1" applyBorder="1" applyAlignment="1"/>
    <xf numFmtId="190" fontId="87" fillId="0" borderId="69" xfId="37" applyNumberFormat="1" applyBorder="1">
      <alignment horizontal="right" vertical="center"/>
    </xf>
    <xf numFmtId="188" fontId="88" fillId="26" borderId="55" xfId="61" quotePrefix="1" applyNumberFormat="1" applyAlignment="1">
      <alignment wrapText="1"/>
    </xf>
    <xf numFmtId="190" fontId="86" fillId="0" borderId="70" xfId="38" applyNumberFormat="1" applyBorder="1">
      <alignment horizontal="right" vertical="center"/>
    </xf>
    <xf numFmtId="0" fontId="86" fillId="12" borderId="65" xfId="60" quotePrefix="1" applyNumberFormat="1" applyBorder="1" applyAlignment="1"/>
    <xf numFmtId="0" fontId="86" fillId="12" borderId="61" xfId="60" quotePrefix="1" applyNumberFormat="1" applyBorder="1" applyAlignment="1"/>
    <xf numFmtId="0" fontId="19" fillId="2" borderId="0" xfId="13" applyNumberFormat="1" applyFont="1" applyFill="1" applyProtection="1">
      <protection locked="0"/>
    </xf>
    <xf numFmtId="200" fontId="88" fillId="29" borderId="55" xfId="64" quotePrefix="1" applyNumberFormat="1" applyFill="1" applyAlignment="1"/>
    <xf numFmtId="0" fontId="87" fillId="30" borderId="55" xfId="59" quotePrefix="1" applyNumberFormat="1" applyFill="1" applyAlignment="1"/>
    <xf numFmtId="190" fontId="87" fillId="4" borderId="56" xfId="37" applyNumberFormat="1" applyFill="1">
      <alignment horizontal="right" vertical="center"/>
    </xf>
    <xf numFmtId="190" fontId="87" fillId="4" borderId="64" xfId="37" applyNumberFormat="1" applyFill="1" applyBorder="1">
      <alignment horizontal="right" vertical="center"/>
    </xf>
    <xf numFmtId="164" fontId="0" fillId="4" borderId="0" xfId="0" applyFill="1"/>
    <xf numFmtId="192" fontId="88" fillId="29" borderId="62" xfId="65" quotePrefix="1" applyNumberFormat="1" applyFill="1" applyBorder="1" applyAlignment="1"/>
    <xf numFmtId="193" fontId="88" fillId="29" borderId="62" xfId="65" quotePrefix="1" applyNumberFormat="1" applyFill="1" applyBorder="1" applyAlignment="1"/>
    <xf numFmtId="190" fontId="86" fillId="4" borderId="56" xfId="37" applyNumberFormat="1" applyFont="1" applyFill="1">
      <alignment horizontal="right" vertical="center"/>
    </xf>
    <xf numFmtId="43" fontId="0" fillId="0" borderId="0" xfId="1" applyFont="1"/>
    <xf numFmtId="176" fontId="0" fillId="0" borderId="0" xfId="0" applyNumberFormat="1"/>
    <xf numFmtId="2" fontId="4" fillId="0" borderId="0" xfId="5" applyNumberFormat="1"/>
    <xf numFmtId="165" fontId="5" fillId="3" borderId="10" xfId="9" applyNumberFormat="1" applyFont="1" applyFill="1" applyBorder="1" applyAlignment="1"/>
    <xf numFmtId="165" fontId="15" fillId="2" borderId="19" xfId="1" applyNumberFormat="1" applyFont="1" applyFill="1" applyBorder="1"/>
    <xf numFmtId="164" fontId="15" fillId="0" borderId="0" xfId="0" applyFont="1" applyAlignment="1">
      <alignment horizontal="center"/>
    </xf>
    <xf numFmtId="164" fontId="28" fillId="0" borderId="0" xfId="0" applyFont="1" applyAlignment="1">
      <alignment horizontal="center"/>
    </xf>
    <xf numFmtId="164" fontId="28" fillId="0" borderId="54" xfId="0" applyFont="1" applyBorder="1" applyAlignment="1">
      <alignment horizontal="center"/>
    </xf>
    <xf numFmtId="165" fontId="28" fillId="0" borderId="54" xfId="1" applyNumberFormat="1" applyFont="1" applyFill="1" applyBorder="1" applyAlignment="1">
      <alignment horizontal="center"/>
    </xf>
    <xf numFmtId="164" fontId="15" fillId="0" borderId="0" xfId="0" applyFont="1" applyAlignment="1">
      <alignment horizontal="left" indent="1"/>
    </xf>
    <xf numFmtId="164" fontId="15" fillId="0" borderId="0" xfId="0" applyFont="1" applyAlignment="1">
      <alignment horizontal="left"/>
    </xf>
    <xf numFmtId="164" fontId="15" fillId="0" borderId="0" xfId="0" applyFont="1" applyAlignment="1">
      <alignment horizontal="left" wrapText="1" indent="1"/>
    </xf>
    <xf numFmtId="177" fontId="15" fillId="0" borderId="9" xfId="4" applyNumberFormat="1" applyFont="1" applyBorder="1" applyAlignment="1">
      <alignment horizontal="center"/>
    </xf>
    <xf numFmtId="164" fontId="15" fillId="0" borderId="0" xfId="0" applyFont="1" applyAlignment="1">
      <alignment horizontal="left" wrapText="1" indent="2"/>
    </xf>
    <xf numFmtId="165" fontId="39" fillId="0" borderId="0" xfId="1" applyNumberFormat="1" applyFont="1"/>
    <xf numFmtId="164" fontId="0" fillId="31" borderId="0" xfId="0" applyFill="1"/>
    <xf numFmtId="202" fontId="101" fillId="32" borderId="0" xfId="106" applyNumberFormat="1" applyFont="1" applyFill="1" applyAlignment="1">
      <alignment horizontal="right"/>
    </xf>
    <xf numFmtId="0" fontId="101" fillId="32" borderId="0" xfId="106" applyFont="1" applyFill="1" applyAlignment="1">
      <alignment horizontal="left" indent="3"/>
    </xf>
    <xf numFmtId="0" fontId="102" fillId="0" borderId="0" xfId="106" applyFont="1" applyAlignment="1">
      <alignment horizontal="left"/>
    </xf>
    <xf numFmtId="0" fontId="101" fillId="0" borderId="0" xfId="106" applyFont="1" applyAlignment="1">
      <alignment horizontal="left" indent="1"/>
    </xf>
    <xf numFmtId="0" fontId="101" fillId="0" borderId="0" xfId="106" applyFont="1" applyAlignment="1">
      <alignment horizontal="left" indent="2"/>
    </xf>
    <xf numFmtId="0" fontId="101" fillId="0" borderId="0" xfId="106" applyFont="1" applyAlignment="1">
      <alignment horizontal="left" indent="3"/>
    </xf>
    <xf numFmtId="202" fontId="100" fillId="0" borderId="68" xfId="106" applyNumberFormat="1" applyFont="1" applyBorder="1" applyAlignment="1">
      <alignment horizontal="right"/>
    </xf>
    <xf numFmtId="164" fontId="0" fillId="32" borderId="0" xfId="0" applyFill="1"/>
    <xf numFmtId="0" fontId="101" fillId="11" borderId="0" xfId="106" applyFont="1" applyFill="1" applyAlignment="1">
      <alignment horizontal="left" indent="3"/>
    </xf>
    <xf numFmtId="202" fontId="101" fillId="11" borderId="0" xfId="106" applyNumberFormat="1" applyFont="1" applyFill="1" applyAlignment="1">
      <alignment horizontal="right"/>
    </xf>
    <xf numFmtId="164" fontId="0" fillId="11" borderId="0" xfId="0" applyFill="1"/>
    <xf numFmtId="202" fontId="101" fillId="0" borderId="0" xfId="106" applyNumberFormat="1" applyFont="1" applyAlignment="1">
      <alignment horizontal="right"/>
    </xf>
    <xf numFmtId="0" fontId="101" fillId="33" borderId="0" xfId="106" applyFont="1" applyFill="1" applyAlignment="1">
      <alignment horizontal="left" indent="3"/>
    </xf>
    <xf numFmtId="202" fontId="101" fillId="33" borderId="0" xfId="106" applyNumberFormat="1" applyFont="1" applyFill="1" applyAlignment="1">
      <alignment horizontal="right"/>
    </xf>
    <xf numFmtId="164" fontId="0" fillId="33" borderId="0" xfId="0" applyFill="1"/>
    <xf numFmtId="176" fontId="0" fillId="33" borderId="0" xfId="0" applyNumberFormat="1" applyFill="1"/>
    <xf numFmtId="0" fontId="101" fillId="0" borderId="67" xfId="106" applyFont="1" applyBorder="1" applyAlignment="1">
      <alignment horizontal="center" vertical="center" wrapText="1"/>
    </xf>
    <xf numFmtId="202" fontId="101" fillId="0" borderId="66" xfId="106" applyNumberFormat="1" applyFont="1" applyBorder="1" applyAlignment="1">
      <alignment horizontal="right"/>
    </xf>
    <xf numFmtId="0" fontId="101" fillId="31" borderId="0" xfId="106" applyFont="1" applyFill="1" applyAlignment="1">
      <alignment horizontal="left" indent="3"/>
    </xf>
    <xf numFmtId="202" fontId="101" fillId="31" borderId="0" xfId="106" applyNumberFormat="1" applyFont="1" applyFill="1" applyAlignment="1">
      <alignment horizontal="right"/>
    </xf>
    <xf numFmtId="165" fontId="19" fillId="0" borderId="54" xfId="1" applyNumberFormat="1" applyFont="1" applyBorder="1" applyAlignment="1"/>
    <xf numFmtId="165" fontId="19" fillId="0" borderId="3" xfId="1" applyNumberFormat="1" applyFont="1" applyFill="1" applyBorder="1" applyAlignment="1"/>
    <xf numFmtId="176" fontId="103" fillId="31" borderId="0" xfId="0" applyNumberFormat="1" applyFont="1" applyFill="1"/>
    <xf numFmtId="164" fontId="104" fillId="31" borderId="0" xfId="0" applyFont="1" applyFill="1"/>
    <xf numFmtId="164" fontId="103" fillId="31" borderId="0" xfId="0" applyFont="1" applyFill="1"/>
    <xf numFmtId="180" fontId="5" fillId="0" borderId="0" xfId="1" applyNumberFormat="1" applyFont="1" applyAlignment="1"/>
    <xf numFmtId="180" fontId="5" fillId="0" borderId="1" xfId="1" applyNumberFormat="1" applyFont="1" applyBorder="1" applyAlignment="1"/>
    <xf numFmtId="166" fontId="15" fillId="0" borderId="0" xfId="1" applyNumberFormat="1" applyFont="1" applyBorder="1"/>
    <xf numFmtId="165" fontId="19" fillId="0" borderId="54" xfId="1" applyNumberFormat="1" applyFont="1" applyFill="1" applyBorder="1" applyAlignment="1">
      <alignment horizontal="center"/>
    </xf>
    <xf numFmtId="2" fontId="19" fillId="0" borderId="0" xfId="15" applyNumberFormat="1" applyFont="1"/>
    <xf numFmtId="164" fontId="19" fillId="0" borderId="54" xfId="0" applyFont="1" applyBorder="1"/>
    <xf numFmtId="176" fontId="19" fillId="0" borderId="54" xfId="0" applyNumberFormat="1" applyFont="1" applyBorder="1"/>
    <xf numFmtId="3" fontId="5" fillId="2" borderId="0" xfId="0" applyNumberFormat="1" applyFont="1" applyFill="1"/>
    <xf numFmtId="10" fontId="5" fillId="2" borderId="0" xfId="4" applyNumberFormat="1" applyFont="1" applyFill="1" applyAlignment="1"/>
    <xf numFmtId="10" fontId="8" fillId="2" borderId="9" xfId="4" applyNumberFormat="1" applyFont="1" applyFill="1" applyBorder="1" applyAlignment="1">
      <alignment horizontal="center"/>
    </xf>
    <xf numFmtId="43" fontId="8" fillId="2" borderId="0" xfId="1" applyFill="1" applyAlignment="1">
      <alignment horizontal="center"/>
    </xf>
    <xf numFmtId="164" fontId="53" fillId="0" borderId="1" xfId="0" applyFont="1" applyBorder="1"/>
    <xf numFmtId="165" fontId="15" fillId="4" borderId="0" xfId="1" applyNumberFormat="1" applyFont="1" applyFill="1"/>
    <xf numFmtId="165" fontId="19" fillId="2" borderId="0" xfId="1" applyNumberFormat="1" applyFont="1" applyFill="1" applyAlignment="1"/>
    <xf numFmtId="164" fontId="5" fillId="2" borderId="0" xfId="0" applyFont="1" applyFill="1"/>
    <xf numFmtId="186" fontId="5" fillId="2" borderId="0" xfId="0" applyNumberFormat="1" applyFont="1" applyFill="1" applyAlignment="1">
      <alignment horizontal="center"/>
    </xf>
    <xf numFmtId="164" fontId="23" fillId="0" borderId="0" xfId="0" applyFont="1" applyAlignment="1">
      <alignment horizontal="left" wrapText="1"/>
    </xf>
    <xf numFmtId="0" fontId="5" fillId="0" borderId="0" xfId="5" applyFont="1" applyAlignment="1">
      <alignment horizontal="right"/>
    </xf>
    <xf numFmtId="3" fontId="15" fillId="0" borderId="0" xfId="5" applyNumberFormat="1" applyFont="1" applyAlignment="1">
      <alignment horizontal="left" wrapText="1"/>
    </xf>
    <xf numFmtId="164" fontId="23" fillId="0" borderId="0" xfId="0" applyFont="1" applyAlignment="1">
      <alignment horizontal="left" vertical="top" wrapText="1"/>
    </xf>
    <xf numFmtId="0" fontId="28" fillId="0" borderId="0" xfId="8" applyFont="1" applyAlignment="1">
      <alignment horizontal="center"/>
    </xf>
    <xf numFmtId="0" fontId="15" fillId="0" borderId="0" xfId="8" applyFont="1" applyAlignment="1">
      <alignment horizontal="left" wrapText="1"/>
    </xf>
    <xf numFmtId="164" fontId="15" fillId="0" borderId="0" xfId="0" applyFont="1" applyAlignment="1">
      <alignment horizontal="left" wrapText="1"/>
    </xf>
    <xf numFmtId="0" fontId="29" fillId="7" borderId="5" xfId="8" applyFont="1" applyFill="1" applyBorder="1" applyAlignment="1">
      <alignment horizontal="center"/>
    </xf>
    <xf numFmtId="0" fontId="29" fillId="7" borderId="6" xfId="8" applyFont="1" applyFill="1" applyBorder="1" applyAlignment="1">
      <alignment horizontal="center"/>
    </xf>
    <xf numFmtId="0" fontId="29" fillId="7" borderId="7" xfId="8" applyFont="1" applyFill="1" applyBorder="1" applyAlignment="1">
      <alignment horizontal="center"/>
    </xf>
    <xf numFmtId="0" fontId="30" fillId="0" borderId="0" xfId="8" applyFont="1" applyAlignment="1">
      <alignment horizontal="center" wrapText="1"/>
    </xf>
    <xf numFmtId="0" fontId="8" fillId="0" borderId="0" xfId="8" applyAlignment="1">
      <alignment horizontal="center" wrapText="1"/>
    </xf>
    <xf numFmtId="0" fontId="37" fillId="7" borderId="5" xfId="8" applyFont="1" applyFill="1" applyBorder="1" applyAlignment="1">
      <alignment horizontal="center"/>
    </xf>
    <xf numFmtId="0" fontId="37" fillId="7" borderId="6" xfId="8" applyFont="1" applyFill="1" applyBorder="1" applyAlignment="1">
      <alignment horizontal="center"/>
    </xf>
    <xf numFmtId="0" fontId="37" fillId="7" borderId="6" xfId="8" applyFont="1" applyFill="1" applyBorder="1" applyAlignment="1">
      <alignment horizontal="center" wrapText="1"/>
    </xf>
    <xf numFmtId="0" fontId="37" fillId="7" borderId="7" xfId="8" applyFont="1" applyFill="1" applyBorder="1" applyAlignment="1">
      <alignment horizontal="center" wrapText="1"/>
    </xf>
    <xf numFmtId="0" fontId="40" fillId="0" borderId="0" xfId="8" applyFont="1" applyAlignment="1">
      <alignment horizontal="center" wrapText="1"/>
    </xf>
    <xf numFmtId="0" fontId="40" fillId="0" borderId="9" xfId="8" applyFont="1" applyBorder="1" applyAlignment="1">
      <alignment horizontal="center" wrapText="1"/>
    </xf>
    <xf numFmtId="0" fontId="29" fillId="7" borderId="0" xfId="8" applyFont="1" applyFill="1" applyAlignment="1">
      <alignment horizontal="center"/>
    </xf>
    <xf numFmtId="0" fontId="29" fillId="7" borderId="0" xfId="8" applyFont="1" applyFill="1" applyAlignment="1">
      <alignment horizontal="center" wrapText="1"/>
    </xf>
    <xf numFmtId="0" fontId="15" fillId="0" borderId="0" xfId="8" applyFont="1" applyAlignment="1">
      <alignment horizontal="center" wrapText="1"/>
    </xf>
    <xf numFmtId="165" fontId="8" fillId="0" borderId="1" xfId="8" applyNumberFormat="1" applyBorder="1" applyAlignment="1">
      <alignment horizontal="center" wrapText="1"/>
    </xf>
    <xf numFmtId="165" fontId="8" fillId="0" borderId="12" xfId="8" applyNumberFormat="1" applyBorder="1" applyAlignment="1">
      <alignment horizontal="center" wrapText="1"/>
    </xf>
    <xf numFmtId="0" fontId="8" fillId="0" borderId="9" xfId="8" applyBorder="1" applyAlignment="1">
      <alignment horizontal="center" wrapText="1"/>
    </xf>
    <xf numFmtId="49" fontId="45" fillId="0" borderId="0" xfId="10" applyNumberFormat="1" applyFont="1" applyAlignment="1">
      <alignment horizontal="left" vertical="top" wrapText="1"/>
    </xf>
    <xf numFmtId="49" fontId="46" fillId="0" borderId="0" xfId="10" applyNumberFormat="1" applyFont="1" applyAlignment="1">
      <alignment horizontal="left" vertical="top" wrapText="1"/>
    </xf>
    <xf numFmtId="0" fontId="37" fillId="4" borderId="8" xfId="8" applyFont="1" applyFill="1" applyBorder="1" applyAlignment="1">
      <alignment horizontal="center"/>
    </xf>
    <xf numFmtId="0" fontId="37" fillId="4" borderId="0" xfId="8" applyFont="1" applyFill="1" applyAlignment="1">
      <alignment horizontal="center"/>
    </xf>
    <xf numFmtId="0" fontId="37" fillId="7" borderId="0" xfId="8" applyFont="1" applyFill="1" applyAlignment="1">
      <alignment horizontal="center" wrapText="1"/>
    </xf>
    <xf numFmtId="0" fontId="37" fillId="0" borderId="5" xfId="8" applyFont="1" applyBorder="1" applyAlignment="1">
      <alignment horizontal="center"/>
    </xf>
    <xf numFmtId="0" fontId="37" fillId="0" borderId="6" xfId="8" applyFont="1" applyBorder="1" applyAlignment="1">
      <alignment horizontal="center"/>
    </xf>
    <xf numFmtId="0" fontId="37" fillId="0" borderId="6" xfId="8" applyFont="1" applyBorder="1" applyAlignment="1">
      <alignment horizontal="center" wrapText="1"/>
    </xf>
    <xf numFmtId="0" fontId="8" fillId="0" borderId="6" xfId="8" applyBorder="1" applyAlignment="1">
      <alignment horizontal="center" wrapText="1"/>
    </xf>
    <xf numFmtId="0" fontId="8" fillId="0" borderId="7" xfId="8" applyBorder="1" applyAlignment="1">
      <alignment horizontal="center" wrapText="1"/>
    </xf>
    <xf numFmtId="0" fontId="8" fillId="0" borderId="1" xfId="8" applyBorder="1" applyAlignment="1">
      <alignment horizontal="center" wrapText="1"/>
    </xf>
    <xf numFmtId="0" fontId="8" fillId="0" borderId="12" xfId="8" applyBorder="1" applyAlignment="1">
      <alignment horizontal="center" wrapText="1"/>
    </xf>
    <xf numFmtId="0" fontId="37" fillId="7" borderId="7" xfId="8" applyFont="1" applyFill="1" applyBorder="1" applyAlignment="1">
      <alignment horizontal="center"/>
    </xf>
    <xf numFmtId="0" fontId="37" fillId="7" borderId="6" xfId="8" applyFont="1" applyFill="1" applyBorder="1" applyAlignment="1">
      <alignment horizontal="right" wrapText="1"/>
    </xf>
    <xf numFmtId="0" fontId="37" fillId="7" borderId="7" xfId="8" applyFont="1" applyFill="1" applyBorder="1" applyAlignment="1">
      <alignment horizontal="right" wrapText="1"/>
    </xf>
    <xf numFmtId="0" fontId="47" fillId="4" borderId="5" xfId="8" applyFont="1" applyFill="1" applyBorder="1" applyAlignment="1">
      <alignment horizontal="center"/>
    </xf>
    <xf numFmtId="0" fontId="47" fillId="4" borderId="6" xfId="8" applyFont="1" applyFill="1" applyBorder="1" applyAlignment="1">
      <alignment horizontal="center"/>
    </xf>
    <xf numFmtId="0" fontId="47" fillId="4" borderId="7" xfId="8" applyFont="1" applyFill="1" applyBorder="1" applyAlignment="1">
      <alignment horizontal="center"/>
    </xf>
    <xf numFmtId="0" fontId="47" fillId="4" borderId="6" xfId="8" applyFont="1" applyFill="1" applyBorder="1" applyAlignment="1">
      <alignment horizontal="center" wrapText="1"/>
    </xf>
    <xf numFmtId="0" fontId="47" fillId="4" borderId="7" xfId="8" applyFont="1" applyFill="1" applyBorder="1" applyAlignment="1">
      <alignment horizontal="center" wrapText="1"/>
    </xf>
    <xf numFmtId="0" fontId="32" fillId="0" borderId="0" xfId="8" applyFont="1" applyAlignment="1">
      <alignment horizontal="center"/>
    </xf>
    <xf numFmtId="0" fontId="37" fillId="7" borderId="14" xfId="8" applyFont="1" applyFill="1" applyBorder="1" applyAlignment="1">
      <alignment horizontal="center"/>
    </xf>
    <xf numFmtId="0" fontId="37" fillId="7" borderId="15" xfId="8" applyFont="1" applyFill="1" applyBorder="1" applyAlignment="1">
      <alignment horizontal="center"/>
    </xf>
    <xf numFmtId="0" fontId="37" fillId="7" borderId="16" xfId="8" applyFont="1" applyFill="1" applyBorder="1" applyAlignment="1">
      <alignment horizontal="center"/>
    </xf>
    <xf numFmtId="0" fontId="37" fillId="7" borderId="15" xfId="8" applyFont="1" applyFill="1" applyBorder="1" applyAlignment="1">
      <alignment horizontal="center" wrapText="1"/>
    </xf>
    <xf numFmtId="0" fontId="8" fillId="0" borderId="15" xfId="8" applyBorder="1" applyAlignment="1">
      <alignment horizontal="center" wrapText="1"/>
    </xf>
    <xf numFmtId="0" fontId="8" fillId="0" borderId="16" xfId="8" applyBorder="1" applyAlignment="1">
      <alignment horizontal="center" wrapText="1"/>
    </xf>
    <xf numFmtId="0" fontId="8" fillId="7" borderId="6" xfId="8" applyFill="1" applyBorder="1" applyAlignment="1">
      <alignment horizontal="center" wrapText="1"/>
    </xf>
    <xf numFmtId="0" fontId="8" fillId="7" borderId="7" xfId="8" applyFill="1" applyBorder="1" applyAlignment="1">
      <alignment horizontal="center" wrapText="1"/>
    </xf>
    <xf numFmtId="0" fontId="34" fillId="7" borderId="0" xfId="8" applyFont="1" applyFill="1" applyAlignment="1">
      <alignment horizontal="left"/>
    </xf>
    <xf numFmtId="165" fontId="34" fillId="7" borderId="0" xfId="1" applyNumberFormat="1" applyFont="1" applyFill="1" applyBorder="1" applyAlignment="1">
      <alignment horizontal="center" wrapText="1"/>
    </xf>
    <xf numFmtId="165" fontId="29" fillId="7" borderId="0" xfId="1" applyNumberFormat="1" applyFont="1" applyFill="1" applyBorder="1" applyAlignment="1">
      <alignment horizontal="center" wrapText="1"/>
    </xf>
    <xf numFmtId="164" fontId="19" fillId="2" borderId="31" xfId="0" applyFont="1" applyFill="1" applyBorder="1" applyAlignment="1">
      <alignment horizontal="left" vertical="top"/>
    </xf>
    <xf numFmtId="164" fontId="19" fillId="2" borderId="32" xfId="0" applyFont="1" applyFill="1" applyBorder="1" applyAlignment="1">
      <alignment horizontal="center" vertical="top"/>
    </xf>
    <xf numFmtId="164" fontId="19" fillId="2" borderId="4" xfId="0" applyFont="1" applyFill="1" applyBorder="1" applyAlignment="1">
      <alignment horizontal="center" vertical="top"/>
    </xf>
    <xf numFmtId="164" fontId="19" fillId="2" borderId="33" xfId="0" applyFont="1" applyFill="1" applyBorder="1" applyAlignment="1">
      <alignment horizontal="center" vertical="top"/>
    </xf>
    <xf numFmtId="164" fontId="19" fillId="2" borderId="32" xfId="0" applyFont="1" applyFill="1" applyBorder="1" applyAlignment="1">
      <alignment horizontal="left" vertical="top" wrapText="1"/>
    </xf>
    <xf numFmtId="164" fontId="19" fillId="2" borderId="4" xfId="0" applyFont="1" applyFill="1" applyBorder="1" applyAlignment="1">
      <alignment horizontal="left" vertical="top" wrapText="1"/>
    </xf>
    <xf numFmtId="164" fontId="0" fillId="0" borderId="33" xfId="0" applyBorder="1" applyAlignment="1">
      <alignment vertical="top"/>
    </xf>
    <xf numFmtId="49" fontId="19" fillId="0" borderId="32" xfId="0" applyNumberFormat="1" applyFont="1" applyBorder="1" applyAlignment="1">
      <alignment horizontal="center" vertical="top" wrapText="1"/>
    </xf>
    <xf numFmtId="49" fontId="0" fillId="0" borderId="33" xfId="0" applyNumberFormat="1" applyBorder="1" applyAlignment="1">
      <alignment horizontal="center" vertical="top" wrapText="1"/>
    </xf>
    <xf numFmtId="164" fontId="19" fillId="0" borderId="32" xfId="0" applyFont="1" applyBorder="1" applyAlignment="1">
      <alignment horizontal="center" vertical="top" wrapText="1"/>
    </xf>
    <xf numFmtId="164" fontId="0" fillId="0" borderId="4" xfId="0" applyBorder="1" applyAlignment="1">
      <alignment horizontal="center" vertical="top" wrapText="1"/>
    </xf>
    <xf numFmtId="164" fontId="19" fillId="2" borderId="34" xfId="0" applyFont="1" applyFill="1" applyBorder="1" applyAlignment="1">
      <alignment horizontal="left" vertical="top" wrapText="1"/>
    </xf>
    <xf numFmtId="164" fontId="0" fillId="0" borderId="25" xfId="0" applyBorder="1" applyAlignment="1">
      <alignment horizontal="left" vertical="top" wrapText="1"/>
    </xf>
    <xf numFmtId="164" fontId="0" fillId="0" borderId="35" xfId="0" applyBorder="1" applyAlignment="1">
      <alignment horizontal="left" vertical="top" wrapText="1"/>
    </xf>
    <xf numFmtId="164" fontId="19" fillId="0" borderId="34" xfId="0" applyFont="1" applyBorder="1" applyAlignment="1">
      <alignment horizontal="left" vertical="top"/>
    </xf>
    <xf numFmtId="164" fontId="0" fillId="0" borderId="35" xfId="0" applyBorder="1" applyAlignment="1">
      <alignment horizontal="left" vertical="top"/>
    </xf>
    <xf numFmtId="164" fontId="0" fillId="0" borderId="36" xfId="0" applyBorder="1" applyAlignment="1">
      <alignment horizontal="left" vertical="top"/>
    </xf>
    <xf numFmtId="164" fontId="0" fillId="0" borderId="37" xfId="0" applyBorder="1" applyAlignment="1">
      <alignment horizontal="left" vertical="top"/>
    </xf>
    <xf numFmtId="164" fontId="0" fillId="0" borderId="38" xfId="0" applyBorder="1" applyAlignment="1">
      <alignment horizontal="left" vertical="top"/>
    </xf>
    <xf numFmtId="164" fontId="0" fillId="0" borderId="39" xfId="0" applyBorder="1" applyAlignment="1">
      <alignment horizontal="left" vertical="top"/>
    </xf>
    <xf numFmtId="164" fontId="19" fillId="0" borderId="34" xfId="0" applyFont="1" applyBorder="1" applyAlignment="1">
      <alignment horizontal="center" vertical="top" wrapText="1"/>
    </xf>
    <xf numFmtId="164" fontId="0" fillId="0" borderId="25" xfId="0" applyBorder="1" applyAlignment="1">
      <alignment horizontal="center" vertical="top" wrapText="1"/>
    </xf>
    <xf numFmtId="164" fontId="0" fillId="0" borderId="35" xfId="0" applyBorder="1" applyAlignment="1">
      <alignment horizontal="center" vertical="top" wrapText="1"/>
    </xf>
    <xf numFmtId="164" fontId="0" fillId="0" borderId="36" xfId="0" applyBorder="1" applyAlignment="1">
      <alignment horizontal="center" vertical="top" wrapText="1"/>
    </xf>
    <xf numFmtId="164" fontId="0" fillId="0" borderId="0" xfId="0" applyAlignment="1">
      <alignment horizontal="center" vertical="top" wrapText="1"/>
    </xf>
    <xf numFmtId="164" fontId="0" fillId="0" borderId="37" xfId="0" applyBorder="1" applyAlignment="1">
      <alignment horizontal="center" vertical="top" wrapText="1"/>
    </xf>
    <xf numFmtId="164" fontId="0" fillId="0" borderId="38" xfId="0" applyBorder="1" applyAlignment="1">
      <alignment horizontal="center" vertical="top" wrapText="1"/>
    </xf>
    <xf numFmtId="164" fontId="0" fillId="0" borderId="3" xfId="0" applyBorder="1" applyAlignment="1">
      <alignment horizontal="center" vertical="top" wrapText="1"/>
    </xf>
    <xf numFmtId="164" fontId="0" fillId="0" borderId="39" xfId="0" applyBorder="1" applyAlignment="1">
      <alignment horizontal="center" vertical="top" wrapText="1"/>
    </xf>
    <xf numFmtId="164" fontId="59" fillId="0" borderId="32" xfId="0" applyFont="1" applyBorder="1" applyAlignment="1">
      <alignment horizontal="center" vertical="top" wrapText="1"/>
    </xf>
    <xf numFmtId="164" fontId="61" fillId="0" borderId="4" xfId="0" applyFont="1" applyBorder="1" applyAlignment="1">
      <alignment horizontal="center" vertical="top" wrapText="1"/>
    </xf>
    <xf numFmtId="164" fontId="61" fillId="0" borderId="4" xfId="0" applyFont="1" applyBorder="1" applyAlignment="1">
      <alignment vertical="top" wrapText="1"/>
    </xf>
    <xf numFmtId="164" fontId="61" fillId="0" borderId="33" xfId="0" applyFont="1" applyBorder="1" applyAlignment="1">
      <alignment vertical="top" wrapText="1"/>
    </xf>
    <xf numFmtId="164" fontId="0" fillId="0" borderId="34" xfId="0" applyBorder="1" applyAlignment="1">
      <alignment horizontal="left" vertical="top" wrapText="1"/>
    </xf>
    <xf numFmtId="164" fontId="0" fillId="0" borderId="36" xfId="0" applyBorder="1" applyAlignment="1">
      <alignment horizontal="left" vertical="top" wrapText="1"/>
    </xf>
    <xf numFmtId="164" fontId="0" fillId="0" borderId="37" xfId="0" applyBorder="1" applyAlignment="1">
      <alignment horizontal="left" vertical="top" wrapText="1"/>
    </xf>
    <xf numFmtId="164" fontId="0" fillId="0" borderId="38" xfId="0" applyBorder="1" applyAlignment="1">
      <alignment horizontal="left" vertical="top" wrapText="1"/>
    </xf>
    <xf numFmtId="164" fontId="0" fillId="0" borderId="39" xfId="0" applyBorder="1" applyAlignment="1">
      <alignment horizontal="left" vertical="top" wrapText="1"/>
    </xf>
    <xf numFmtId="164" fontId="19" fillId="0" borderId="33" xfId="0" applyFont="1" applyBorder="1" applyAlignment="1">
      <alignment horizontal="center" vertical="top" wrapText="1"/>
    </xf>
    <xf numFmtId="164" fontId="0" fillId="0" borderId="4" xfId="0" applyBorder="1" applyAlignment="1">
      <alignment horizontal="left" vertical="top" wrapText="1"/>
    </xf>
    <xf numFmtId="164" fontId="0" fillId="0" borderId="33" xfId="0" applyBorder="1" applyAlignment="1">
      <alignment horizontal="left" vertical="top" wrapText="1"/>
    </xf>
    <xf numFmtId="164" fontId="19" fillId="0" borderId="0" xfId="0" applyFont="1" applyAlignment="1">
      <alignment horizontal="center"/>
    </xf>
    <xf numFmtId="164" fontId="28" fillId="0" borderId="0" xfId="0" applyFont="1" applyAlignment="1">
      <alignment horizontal="center"/>
    </xf>
    <xf numFmtId="164" fontId="15" fillId="0" borderId="0" xfId="0" applyFont="1" applyAlignment="1" applyProtection="1">
      <alignment horizontal="center"/>
      <protection locked="0"/>
    </xf>
    <xf numFmtId="164" fontId="28" fillId="0" borderId="0" xfId="0" applyFont="1" applyAlignment="1" applyProtection="1">
      <alignment horizontal="center"/>
      <protection locked="0"/>
    </xf>
    <xf numFmtId="164" fontId="45" fillId="0" borderId="38" xfId="0" applyFont="1" applyBorder="1" applyAlignment="1">
      <alignment horizontal="center"/>
    </xf>
    <xf numFmtId="164" fontId="45" fillId="0" borderId="3" xfId="0" applyFont="1" applyBorder="1" applyAlignment="1">
      <alignment horizontal="center"/>
    </xf>
    <xf numFmtId="164" fontId="45" fillId="0" borderId="39" xfId="0" applyFont="1" applyBorder="1" applyAlignment="1">
      <alignment horizontal="center"/>
    </xf>
    <xf numFmtId="0" fontId="28" fillId="0" borderId="0" xfId="17" applyFont="1" applyAlignment="1">
      <alignment horizontal="center"/>
    </xf>
    <xf numFmtId="0" fontId="15" fillId="0" borderId="0" xfId="17" applyFont="1" applyAlignment="1">
      <alignment horizontal="center"/>
    </xf>
    <xf numFmtId="0" fontId="15" fillId="0" borderId="0" xfId="17" applyFont="1" applyAlignment="1">
      <alignment wrapText="1"/>
    </xf>
    <xf numFmtId="0" fontId="15" fillId="0" borderId="0" xfId="17" applyFont="1" applyAlignment="1">
      <alignment horizontal="left" wrapText="1"/>
    </xf>
    <xf numFmtId="0" fontId="15" fillId="0" borderId="0" xfId="17" applyFont="1"/>
    <xf numFmtId="0" fontId="43" fillId="0" borderId="0" xfId="17" applyFont="1" applyAlignment="1">
      <alignment horizontal="center"/>
    </xf>
    <xf numFmtId="0" fontId="43" fillId="0" borderId="5" xfId="17" applyFont="1" applyBorder="1" applyAlignment="1">
      <alignment horizontal="center"/>
    </xf>
    <xf numFmtId="0" fontId="43" fillId="0" borderId="6" xfId="17" applyFont="1" applyBorder="1" applyAlignment="1">
      <alignment horizontal="center"/>
    </xf>
    <xf numFmtId="0" fontId="43" fillId="0" borderId="7" xfId="17" applyFont="1" applyBorder="1" applyAlignment="1">
      <alignment horizontal="center"/>
    </xf>
    <xf numFmtId="0" fontId="32" fillId="0" borderId="0" xfId="21" applyNumberFormat="1" applyFont="1" applyAlignment="1">
      <alignment horizontal="center"/>
    </xf>
    <xf numFmtId="164" fontId="12" fillId="0" borderId="0" xfId="21" applyFont="1" applyAlignment="1" applyProtection="1">
      <alignment horizontal="center"/>
      <protection locked="0"/>
    </xf>
    <xf numFmtId="165" fontId="52" fillId="0" borderId="0" xfId="1" applyNumberFormat="1" applyFont="1" applyFill="1" applyBorder="1" applyAlignment="1">
      <alignment horizontal="center" wrapText="1"/>
    </xf>
    <xf numFmtId="165" fontId="52" fillId="0" borderId="54" xfId="1" applyNumberFormat="1" applyFont="1" applyFill="1" applyBorder="1" applyAlignment="1">
      <alignment horizontal="center" wrapText="1"/>
    </xf>
    <xf numFmtId="0" fontId="52" fillId="0" borderId="25" xfId="25" applyFont="1" applyBorder="1" applyAlignment="1">
      <alignment horizontal="center" wrapText="1"/>
    </xf>
    <xf numFmtId="0" fontId="52" fillId="0" borderId="54" xfId="25" applyFont="1" applyBorder="1" applyAlignment="1">
      <alignment horizontal="center" wrapText="1"/>
    </xf>
    <xf numFmtId="17" fontId="52" fillId="0" borderId="25" xfId="25" applyNumberFormat="1" applyFont="1" applyBorder="1" applyAlignment="1">
      <alignment horizontal="center" wrapText="1"/>
    </xf>
    <xf numFmtId="17" fontId="52" fillId="0" borderId="54" xfId="25" applyNumberFormat="1" applyFont="1" applyBorder="1" applyAlignment="1">
      <alignment horizontal="center" wrapText="1"/>
    </xf>
    <xf numFmtId="17" fontId="52" fillId="0" borderId="35" xfId="25" applyNumberFormat="1" applyFont="1" applyBorder="1" applyAlignment="1">
      <alignment horizontal="center" wrapText="1"/>
    </xf>
    <xf numFmtId="17" fontId="52" fillId="0" borderId="39" xfId="25" applyNumberFormat="1" applyFont="1" applyBorder="1" applyAlignment="1">
      <alignment horizontal="center" wrapText="1"/>
    </xf>
    <xf numFmtId="164" fontId="51" fillId="0" borderId="0" xfId="29" applyFont="1" applyAlignment="1">
      <alignment horizontal="left"/>
    </xf>
    <xf numFmtId="0" fontId="52" fillId="0" borderId="34" xfId="25" applyFont="1" applyBorder="1" applyAlignment="1">
      <alignment horizontal="center" wrapText="1"/>
    </xf>
    <xf numFmtId="0" fontId="52" fillId="0" borderId="38" xfId="25" applyFont="1" applyBorder="1" applyAlignment="1">
      <alignment horizontal="center" wrapText="1"/>
    </xf>
    <xf numFmtId="165" fontId="52" fillId="0" borderId="25" xfId="1" applyNumberFormat="1" applyFont="1" applyFill="1" applyBorder="1" applyAlignment="1">
      <alignment horizontal="center" wrapText="1"/>
    </xf>
    <xf numFmtId="164" fontId="52" fillId="0" borderId="0" xfId="0" applyFont="1" applyAlignment="1">
      <alignment horizontal="center"/>
    </xf>
    <xf numFmtId="0" fontId="52" fillId="0" borderId="0" xfId="25" applyFont="1" applyAlignment="1">
      <alignment horizontal="center"/>
    </xf>
    <xf numFmtId="164" fontId="51" fillId="0" borderId="0" xfId="0" applyFont="1" applyAlignment="1">
      <alignment horizontal="center"/>
    </xf>
    <xf numFmtId="0" fontId="52" fillId="0" borderId="32" xfId="10" applyFont="1" applyBorder="1" applyAlignment="1">
      <alignment horizontal="center" wrapText="1"/>
    </xf>
    <xf numFmtId="0" fontId="52" fillId="0" borderId="38" xfId="10" applyFont="1" applyBorder="1" applyAlignment="1">
      <alignment horizontal="center" wrapText="1"/>
    </xf>
    <xf numFmtId="0" fontId="52" fillId="0" borderId="34" xfId="10" applyFont="1" applyBorder="1" applyAlignment="1">
      <alignment horizontal="center" wrapText="1"/>
    </xf>
    <xf numFmtId="0" fontId="52" fillId="0" borderId="25" xfId="10" applyFont="1" applyBorder="1" applyAlignment="1">
      <alignment horizontal="left" wrapText="1"/>
    </xf>
    <xf numFmtId="0" fontId="52" fillId="0" borderId="54" xfId="10" applyFont="1" applyBorder="1" applyAlignment="1">
      <alignment horizontal="left" wrapText="1"/>
    </xf>
    <xf numFmtId="0" fontId="52" fillId="0" borderId="35" xfId="10" applyFont="1" applyBorder="1" applyAlignment="1">
      <alignment horizontal="center" wrapText="1"/>
    </xf>
    <xf numFmtId="0" fontId="52" fillId="0" borderId="39" xfId="10" applyFont="1" applyBorder="1" applyAlignment="1">
      <alignment horizontal="center" wrapText="1"/>
    </xf>
    <xf numFmtId="0" fontId="80" fillId="0" borderId="0" xfId="8" applyFont="1" applyAlignment="1">
      <alignment horizontal="center"/>
    </xf>
    <xf numFmtId="0" fontId="12" fillId="0" borderId="0" xfId="8" applyFont="1" applyAlignment="1">
      <alignment horizontal="center"/>
    </xf>
    <xf numFmtId="164" fontId="5" fillId="0" borderId="0" xfId="0" applyFont="1" applyAlignment="1">
      <alignment horizontal="left" wrapText="1"/>
    </xf>
  </cellXfs>
  <cellStyles count="107">
    <cellStyle name="BoldUnderlineNumber" xfId="105" xr:uid="{C66CE0F5-62DE-4B7B-B3F9-4CA508DA70B3}"/>
    <cellStyle name="ColumnHeader" xfId="95" xr:uid="{49E74A4D-E5B4-404E-8E9A-D85FC1195CF2}"/>
    <cellStyle name="Comma" xfId="1" builtinId="3"/>
    <cellStyle name="Comma [0]" xfId="2" builtinId="6"/>
    <cellStyle name="Comma [0] 2" xfId="79" xr:uid="{5C59113C-885B-4C8E-850C-7761F9ADD7E0}"/>
    <cellStyle name="Comma 13 3" xfId="34" xr:uid="{DBB90FF7-D617-4EDA-8205-B734F516CB18}"/>
    <cellStyle name="Comma 13 3 2" xfId="90" xr:uid="{0EFD17CE-3812-488C-B3C9-D004097174AA}"/>
    <cellStyle name="Comma 2" xfId="78" xr:uid="{5607CC22-7134-40B0-BD88-80B122D16903}"/>
    <cellStyle name="Comma 2 2" xfId="9" xr:uid="{554727B2-731B-45BF-B266-B1ED27567972}"/>
    <cellStyle name="Comma 3" xfId="76" xr:uid="{AAE6B8AA-D0DA-4ABA-B793-45335A6720D4}"/>
    <cellStyle name="Comma 4" xfId="92" xr:uid="{09B4197A-4632-40BB-BEC5-C94484EC3B4F}"/>
    <cellStyle name="Comma 6" xfId="26" xr:uid="{4D2E411A-1DDC-49E7-93D6-F0B77F5EB9D0}"/>
    <cellStyle name="Comma 6 2" xfId="86" xr:uid="{5FC7F740-390A-4A12-99CF-E6B40A592B76}"/>
    <cellStyle name="Comma 88" xfId="24" xr:uid="{5E84BC13-7478-42E1-A2E6-414158076C1B}"/>
    <cellStyle name="Comma 93" xfId="32" xr:uid="{3855633C-C606-4C96-A7D4-7366F0268BE6}"/>
    <cellStyle name="Comma 93 2" xfId="88" xr:uid="{CB917E88-2F33-45A4-A709-988298348FA6}"/>
    <cellStyle name="Currency" xfId="3" builtinId="4"/>
    <cellStyle name="Currency 2" xfId="80" xr:uid="{3B974A92-B18E-46CB-ABD9-9C9B347E68D1}"/>
    <cellStyle name="DetailIndented" xfId="96" xr:uid="{5FF7EECB-C290-4676-ADEA-B0A9EA29F6D8}"/>
    <cellStyle name="DetailTotalNumber" xfId="98" xr:uid="{C583195B-F29B-4F84-A8BA-4691FA1942E7}"/>
    <cellStyle name="GrandTotalNumber" xfId="104" xr:uid="{7C2A8A6D-763B-45BC-B0B5-6F14423F2911}"/>
    <cellStyle name="Header" xfId="93" xr:uid="{BD0C713F-1D45-47BE-B8C1-68E5B477F058}"/>
    <cellStyle name="Normal" xfId="0" builtinId="0"/>
    <cellStyle name="Normal 12" xfId="19" xr:uid="{C3053189-DACC-44D8-84B2-3ADEA7CE1515}"/>
    <cellStyle name="Normal 12 2" xfId="85" xr:uid="{C4A33938-B346-4B40-AE78-4E41EEBC2D4E}"/>
    <cellStyle name="Normal 13 12" xfId="33" xr:uid="{3EE295F2-D592-4E58-9991-A92031FB09C4}"/>
    <cellStyle name="Normal 13 12 2" xfId="89" xr:uid="{D9F89033-90A8-4FF2-9105-61F29DAFE16B}"/>
    <cellStyle name="Normal 2" xfId="17" xr:uid="{60ADAB63-A07C-4930-8894-6883DACB81B0}"/>
    <cellStyle name="Normal 2 2" xfId="12" xr:uid="{109B4264-7FDB-4A38-B947-69739FF22A01}"/>
    <cellStyle name="Normal 2 3" xfId="106" xr:uid="{65BE3989-902A-4323-8DA9-793E68A2B47C}"/>
    <cellStyle name="Normal 3" xfId="75" xr:uid="{20A6E0B6-65D8-4DDA-AF25-609DA7BE9F3F}"/>
    <cellStyle name="Normal 3 2" xfId="8" xr:uid="{5DCC8CA0-375C-4B7A-B07A-E5AB2D2D931C}"/>
    <cellStyle name="Normal 3 8" xfId="21" xr:uid="{F1B27544-D15B-4F80-8728-648222B7D39A}"/>
    <cellStyle name="Normal 3_Attach O, GG, Support -New Method 2-14-11" xfId="15" xr:uid="{D3ECD07F-B282-4556-86EE-63DF83E4D721}"/>
    <cellStyle name="Normal 4" xfId="77" xr:uid="{7CDA39F6-2D8D-4FD5-85CF-305958C116E8}"/>
    <cellStyle name="Normal 47" xfId="7" xr:uid="{B7970021-CDAA-478D-B0FD-372E45E5827E}"/>
    <cellStyle name="Normal 47 2" xfId="82" xr:uid="{EE76CCFE-8F74-4DE4-B669-26A23749E041}"/>
    <cellStyle name="Normal 48 2" xfId="31" xr:uid="{24CDC4F0-C36A-4780-B520-B8FF6EE1F157}"/>
    <cellStyle name="Normal 5" xfId="25" xr:uid="{29DF90C2-BC63-4787-B89B-10147214F044}"/>
    <cellStyle name="Normal 5 2" xfId="29" xr:uid="{389AA684-73F2-4F01-9BD9-7EA2EC177B82}"/>
    <cellStyle name="Normal 53" xfId="30" xr:uid="{79A6A22F-C285-4AB0-BA7E-A64ADD64ED41}"/>
    <cellStyle name="Normal 53 2" xfId="87" xr:uid="{D5ED71DD-A3E9-4619-8691-0FA7E2A33776}"/>
    <cellStyle name="Normal 6 2" xfId="28" xr:uid="{C1F0380B-581F-4BA3-B7EE-BCC6FDFA9F66}"/>
    <cellStyle name="Normal 7" xfId="13" xr:uid="{2BBF4226-A3D8-4040-B3D5-2F1002A11DC0}"/>
    <cellStyle name="Normal 8" xfId="10" xr:uid="{D79EF71B-2D58-481F-B2E0-D45A68D40DFD}"/>
    <cellStyle name="Normal 8 2" xfId="83" xr:uid="{149F758C-CAB7-46DE-AFA5-AC416E3281CF}"/>
    <cellStyle name="Normal 9" xfId="14" xr:uid="{91D40C39-4575-4D0D-AFAA-D95ED0BAB686}"/>
    <cellStyle name="Normal 9 2" xfId="84" xr:uid="{136D6B53-0C9F-46AC-904C-D22B4AEA9446}"/>
    <cellStyle name="Normal_21 Exh B" xfId="5" xr:uid="{0FAE23B8-C012-4B4B-94B3-8249CC2DC6AF}"/>
    <cellStyle name="Normal_21 Exh B 2" xfId="22" xr:uid="{C5A4DC82-F6AE-491A-A961-3ACAB420BA1A}"/>
    <cellStyle name="Normal_AR workpaper --2002 Def Tax Exp by Account 8-14-02" xfId="20" xr:uid="{5D7CCDB6-E6F0-4893-A7C1-D9ABB97882CD}"/>
    <cellStyle name="Normal_Attachment GG Template ER11-28 11-18-10" xfId="16" xr:uid="{FB39ECC6-D845-43EC-AF3F-2572D5C6B35A}"/>
    <cellStyle name="Normal_Attachment Os for 2002 True-up" xfId="6" xr:uid="{B6664A0F-E14E-4BEA-8217-CAACEC86EAC6}"/>
    <cellStyle name="Normal_interest calc Book1" xfId="18" xr:uid="{6B00A9A0-53E2-43E2-80E9-70AB7F81C791}"/>
    <cellStyle name="Percent" xfId="4" builtinId="5"/>
    <cellStyle name="Percent 12" xfId="23" xr:uid="{03E58846-F859-49A1-8745-957F2AF3A737}"/>
    <cellStyle name="Percent 2" xfId="81" xr:uid="{0E9C3D4B-7D36-4E83-88DE-9172A7661BC3}"/>
    <cellStyle name="Percent 2 2" xfId="11" xr:uid="{A6D86897-D416-4ED6-9426-46F62A993636}"/>
    <cellStyle name="Percent 5" xfId="27" xr:uid="{D29E6937-5B86-41D5-ABF9-29545158C92C}"/>
    <cellStyle name="Percent 9 2" xfId="35" xr:uid="{AB4797A5-8557-40FF-9C9A-C03F43D8AD81}"/>
    <cellStyle name="Percent 9 2 2" xfId="91" xr:uid="{4406E11C-9593-4966-9B1D-1173204512E0}"/>
    <cellStyle name="SAPBorder" xfId="55" xr:uid="{88006B9F-27F9-4040-94EE-B89B3135942F}"/>
    <cellStyle name="SAPDataCell" xfId="37" xr:uid="{67A1BA02-B982-49A4-B4BA-A3828C55DC9A}"/>
    <cellStyle name="SAPDataRemoved" xfId="56" xr:uid="{619F1D3B-23AE-40B1-94F3-EC2E41416C72}"/>
    <cellStyle name="SAPDataTotalCell" xfId="38" xr:uid="{21115BCF-E14A-4023-96A5-DD89C18FAA06}"/>
    <cellStyle name="SAPDimensionCell" xfId="36" xr:uid="{4B2C963C-DE3B-463D-AA85-AE4514ED124D}"/>
    <cellStyle name="SAPEditableDataCell" xfId="40" xr:uid="{573E9BD3-5812-4198-9D75-DA41334991CA}"/>
    <cellStyle name="SAPEditableDataTotalCell" xfId="43" xr:uid="{C0B2C593-4FD8-451B-86DC-632248FA1165}"/>
    <cellStyle name="SAPEmphasized" xfId="66" xr:uid="{999CA691-7E18-4A49-9FB8-6177AD9EC5FB}"/>
    <cellStyle name="SAPEmphasizedEditableDataCell" xfId="68" xr:uid="{AFB16088-00A3-4901-A92D-7F193B78B746}"/>
    <cellStyle name="SAPEmphasizedEditableDataTotalCell" xfId="69" xr:uid="{144F33D2-E306-41E3-8DF2-2E3BB299CC48}"/>
    <cellStyle name="SAPEmphasizedLockedDataCell" xfId="72" xr:uid="{49DA6F1E-81D6-4E84-90D9-E026B283328A}"/>
    <cellStyle name="SAPEmphasizedLockedDataTotalCell" xfId="73" xr:uid="{3888A70B-0681-4C57-ABB9-27F0C7BB6F9C}"/>
    <cellStyle name="SAPEmphasizedReadonlyDataCell" xfId="70" xr:uid="{2F834FFF-DAB5-4076-9141-479B9231D69B}"/>
    <cellStyle name="SAPEmphasizedReadonlyDataTotalCell" xfId="71" xr:uid="{6E46D123-0C2D-47EA-8C8E-7B15D951BD02}"/>
    <cellStyle name="SAPEmphasizedTotal" xfId="67" xr:uid="{F256B18E-BD75-499A-984B-7C607E6A5F61}"/>
    <cellStyle name="SAPError" xfId="57" xr:uid="{579BD41E-828F-491E-BDBA-0AED7F424F16}"/>
    <cellStyle name="SAPExceptionLevel1" xfId="46" xr:uid="{38D7A7A4-7519-40FE-8153-70867F4A70CE}"/>
    <cellStyle name="SAPExceptionLevel2" xfId="47" xr:uid="{BCD8978C-321C-4202-8DAA-0C6F6D9B6F96}"/>
    <cellStyle name="SAPExceptionLevel3" xfId="48" xr:uid="{DF2FA57A-C603-497A-A1F5-A898E9EC7418}"/>
    <cellStyle name="SAPExceptionLevel4" xfId="49" xr:uid="{17700643-BF22-46DC-97F9-41A50C692E21}"/>
    <cellStyle name="SAPExceptionLevel5" xfId="50" xr:uid="{C0A855D4-93FA-4FAA-9692-2262EA3F59DC}"/>
    <cellStyle name="SAPExceptionLevel6" xfId="51" xr:uid="{E356DB6E-B826-441D-90DA-3EEC0D63705A}"/>
    <cellStyle name="SAPExceptionLevel7" xfId="52" xr:uid="{589FDAE3-51EE-4B5E-B86F-891629AF4AB9}"/>
    <cellStyle name="SAPExceptionLevel8" xfId="53" xr:uid="{E18C148F-DB67-418B-ADA5-AF44C0408561}"/>
    <cellStyle name="SAPExceptionLevel9" xfId="54" xr:uid="{5450F910-3BEC-4A42-90C6-3BB4BFF7E6DD}"/>
    <cellStyle name="SAPFormula" xfId="74" xr:uid="{D8E2D814-D0D4-47E3-9570-78FFDD17C819}"/>
    <cellStyle name="SAPGroupingFillCell" xfId="39" xr:uid="{FE60C6BC-06A9-4B0C-BF83-1AE1DA91DA3D}"/>
    <cellStyle name="SAPHierarchyCell0" xfId="61" xr:uid="{12186AF3-D6DF-4E4F-9591-2C1FC629AC49}"/>
    <cellStyle name="SAPHierarchyCell1" xfId="62" xr:uid="{C6657A35-BAC8-4D15-BEE3-D8DEAF3B6748}"/>
    <cellStyle name="SAPHierarchyCell2" xfId="63" xr:uid="{0D76CB82-62D0-4314-8BC5-94384BCAB9A4}"/>
    <cellStyle name="SAPHierarchyCell3" xfId="64" xr:uid="{5C360849-4E5D-4861-9513-29B1F71B5738}"/>
    <cellStyle name="SAPHierarchyCell4" xfId="65" xr:uid="{C4FF7FAE-EBE3-4558-B2CE-3A66894AB581}"/>
    <cellStyle name="SAPLockedDataCell" xfId="42" xr:uid="{35BBBFE2-2233-47F8-B5CF-42B5D36F327B}"/>
    <cellStyle name="SAPLockedDataTotalCell" xfId="45" xr:uid="{D7899948-1B8E-4193-8CAF-020E9702E173}"/>
    <cellStyle name="SAPMemberCell" xfId="59" xr:uid="{F3960CDA-D4BF-4AFB-BFAB-E83D93BC8F47}"/>
    <cellStyle name="SAPMemberTotalCell" xfId="60" xr:uid="{40B3C26C-36EE-4500-9FCD-27078CCCBB32}"/>
    <cellStyle name="SAPMessageText" xfId="58" xr:uid="{CFC5A86F-3034-4CFE-A4C0-16BD094D62F2}"/>
    <cellStyle name="SAPReadonlyDataCell" xfId="41" xr:uid="{79270984-2974-4617-9591-CB570A14F816}"/>
    <cellStyle name="SAPReadonlyDataTotalCell" xfId="44" xr:uid="{2F50716C-5BB9-4453-BD30-60F4D8CEE365}"/>
    <cellStyle name="SubHeader" xfId="94" xr:uid="{BA4D1CFF-334D-45D0-8128-4CE2EFBA185E}"/>
    <cellStyle name="SubTotalNumber" xfId="102" xr:uid="{29B5D114-B995-49C6-89F2-059E0FB0DA27}"/>
    <cellStyle name="TextNumber" xfId="97" xr:uid="{02B7CE95-9D5D-4117-8192-F660722A8206}"/>
    <cellStyle name="TextRate" xfId="103" xr:uid="{253CAA70-D257-49C8-B4AE-6EE7A154691E}"/>
    <cellStyle name="TotalNumber" xfId="101" xr:uid="{CA6B1BEB-3B78-4F48-B678-C701A622CE69}"/>
    <cellStyle name="TotalText" xfId="100" xr:uid="{809D14B0-612A-45B3-98E2-BEC00332DFAA}"/>
    <cellStyle name="UnitHeader" xfId="99" xr:uid="{92168E0F-4A6A-4FC6-BE06-40F91270A60E}"/>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 Id="rId30" Type="http://schemas.openxmlformats.org/officeDocument/2006/relationships/customXml" Target="../customXml/item3.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ustomProperty" Target="../customProperty3.bin"/><Relationship Id="rId2" Type="http://schemas.openxmlformats.org/officeDocument/2006/relationships/customProperty" Target="../customProperty2.bin"/><Relationship Id="rId1" Type="http://schemas.openxmlformats.org/officeDocument/2006/relationships/customProperty" Target="../customProperty1.bin"/></Relationships>
</file>

<file path=xl/worksheets/_rels/sheet10.xml.rels><?xml version="1.0" encoding="UTF-8" standalone="yes"?>
<Relationships xmlns="http://schemas.openxmlformats.org/package/2006/relationships"><Relationship Id="rId2" Type="http://schemas.openxmlformats.org/officeDocument/2006/relationships/customProperty" Target="../customProperty12.bin"/><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customProperty" Target="../customProperty13.bin"/><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customProperty" Target="../customProperty14.bin"/><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customProperty" Target="../customProperty15.bin"/><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customProperty" Target="../customProperty16.bin"/><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customProperty" Target="../customProperty17.bin"/><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customProperty" Target="../customProperty18.bin"/><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customProperty" Target="../customProperty19.bin"/><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customProperty" Target="../customProperty20.bin"/><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2" Type="http://schemas.openxmlformats.org/officeDocument/2006/relationships/customProperty" Target="../customProperty21.bin"/><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1.bin"/></Relationships>
</file>

<file path=xl/worksheets/_rels/sheet21.xml.rels><?xml version="1.0" encoding="UTF-8" standalone="yes"?>
<Relationships xmlns="http://schemas.openxmlformats.org/package/2006/relationships"><Relationship Id="rId1" Type="http://schemas.openxmlformats.org/officeDocument/2006/relationships/customProperty" Target="../customProperty22.bin"/></Relationships>
</file>

<file path=xl/worksheets/_rels/sheet22.xml.rels><?xml version="1.0" encoding="UTF-8" standalone="yes"?>
<Relationships xmlns="http://schemas.openxmlformats.org/package/2006/relationships"><Relationship Id="rId2" Type="http://schemas.openxmlformats.org/officeDocument/2006/relationships/customProperty" Target="../customProperty24.bin"/><Relationship Id="rId1" Type="http://schemas.openxmlformats.org/officeDocument/2006/relationships/customProperty" Target="../customProperty23.bin"/></Relationships>
</file>

<file path=xl/worksheets/_rels/sheet23.xml.rels><?xml version="1.0" encoding="UTF-8" standalone="yes"?>
<Relationships xmlns="http://schemas.openxmlformats.org/package/2006/relationships"><Relationship Id="rId2" Type="http://schemas.openxmlformats.org/officeDocument/2006/relationships/customProperty" Target="../customProperty26.bin"/><Relationship Id="rId1" Type="http://schemas.openxmlformats.org/officeDocument/2006/relationships/customProperty" Target="../customProperty25.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7.bin"/><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8.bin"/><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customProperty" Target="../customProperty9.bin"/><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customProperty" Target="../customProperty10.bin"/><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customProperty" Target="../customProperty11.bin"/><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8A5B86-4266-41FA-84F1-346311175FFC}">
  <dimension ref="A1"/>
  <sheetViews>
    <sheetView workbookViewId="0"/>
  </sheetViews>
  <sheetFormatPr defaultRowHeight="15"/>
  <sheetData/>
  <pageMargins left="0.7" right="0.7" top="0.75" bottom="0.75" header="0.3" footer="0.3"/>
  <customProperties>
    <customPr name="_pios_id" r:id="rId1"/>
    <customPr name="CofWorksheetType" r:id="rId2"/>
    <customPr name="serializedData2" r:id="rId3"/>
  </customPropertie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A54807-C183-4C60-80F8-040C14127BFA}">
  <sheetPr>
    <tabColor rgb="FFFFC000"/>
    <pageSetUpPr fitToPage="1"/>
  </sheetPr>
  <dimension ref="A1:T160"/>
  <sheetViews>
    <sheetView zoomScale="85" zoomScaleNormal="85" zoomScaleSheetLayoutView="100" workbookViewId="0">
      <selection activeCell="K12" sqref="K12"/>
    </sheetView>
  </sheetViews>
  <sheetFormatPr defaultColWidth="8.81640625" defaultRowHeight="20.100000000000001" customHeight="1"/>
  <cols>
    <col min="1" max="1" width="5.81640625" style="705" customWidth="1"/>
    <col min="2" max="2" width="54.1796875" style="703" bestFit="1" customWidth="1"/>
    <col min="3" max="3" width="10.81640625" style="705" bestFit="1" customWidth="1"/>
    <col min="4" max="4" width="9.81640625" style="705" bestFit="1" customWidth="1"/>
    <col min="5" max="5" width="16.1796875" style="705" customWidth="1"/>
    <col min="6" max="6" width="12.08984375" style="705" customWidth="1"/>
    <col min="7" max="7" width="11.81640625" style="705" customWidth="1"/>
    <col min="8" max="8" width="12" style="706" customWidth="1"/>
    <col min="9" max="9" width="32.08984375" style="706" customWidth="1"/>
    <col min="10" max="10" width="8.81640625" style="706"/>
    <col min="11" max="11" width="12.1796875" style="706" customWidth="1"/>
    <col min="12" max="12" width="12.81640625" style="706" customWidth="1"/>
    <col min="13" max="16384" width="8.81640625" style="706"/>
  </cols>
  <sheetData>
    <row r="1" spans="1:20" ht="20.100000000000001" customHeight="1">
      <c r="A1" s="703" t="s">
        <v>681</v>
      </c>
      <c r="B1" s="704"/>
      <c r="C1" s="704"/>
      <c r="D1" s="704"/>
      <c r="E1" s="704"/>
      <c r="F1" s="704"/>
      <c r="G1" s="704"/>
      <c r="H1" s="704"/>
      <c r="I1" s="704"/>
      <c r="J1" s="705"/>
      <c r="K1" s="705"/>
      <c r="L1" s="705"/>
    </row>
    <row r="2" spans="1:20" ht="20.100000000000001" customHeight="1">
      <c r="A2" s="1264" t="str">
        <f>+'Appendix A'!E9</f>
        <v>NextEra Energy Transmission New York, Inc.</v>
      </c>
      <c r="B2" s="1264"/>
      <c r="C2" s="1264"/>
      <c r="D2" s="1264"/>
      <c r="E2" s="1264"/>
      <c r="F2" s="1264"/>
      <c r="G2" s="1264"/>
      <c r="H2" s="1264"/>
      <c r="I2" s="1264"/>
      <c r="J2" s="707"/>
      <c r="K2" s="707"/>
      <c r="L2" s="707"/>
    </row>
    <row r="3" spans="1:20" ht="20.100000000000001" customHeight="1">
      <c r="A3" s="1265" t="str">
        <f>"Projection "&amp;'Appendix A'!M8</f>
        <v>Projection For the 12 months ended 12/31/2025</v>
      </c>
      <c r="B3" s="1265"/>
      <c r="C3" s="1265"/>
      <c r="D3" s="1265"/>
      <c r="E3" s="1265"/>
      <c r="F3" s="1265"/>
      <c r="G3" s="1265"/>
      <c r="H3" s="1265"/>
      <c r="I3" s="1265"/>
      <c r="J3" s="705"/>
      <c r="K3" s="705"/>
      <c r="L3" s="705"/>
    </row>
    <row r="4" spans="1:20" ht="20.100000000000001" customHeight="1">
      <c r="A4" s="704"/>
      <c r="B4" s="704"/>
      <c r="C4" s="704"/>
      <c r="D4" s="704"/>
      <c r="E4" s="704"/>
      <c r="F4" s="704"/>
      <c r="G4" s="704"/>
      <c r="H4" s="704"/>
      <c r="I4" s="704"/>
      <c r="J4" s="705"/>
      <c r="K4" s="705"/>
      <c r="L4" s="705"/>
    </row>
    <row r="5" spans="1:20" ht="20.100000000000001" customHeight="1">
      <c r="B5" s="704" t="s">
        <v>196</v>
      </c>
      <c r="C5" s="704"/>
      <c r="D5" s="708"/>
      <c r="E5" s="708" t="s">
        <v>199</v>
      </c>
      <c r="F5" s="708" t="s">
        <v>201</v>
      </c>
      <c r="G5" s="708" t="s">
        <v>204</v>
      </c>
      <c r="H5" s="708" t="s">
        <v>211</v>
      </c>
      <c r="I5" s="709"/>
    </row>
    <row r="6" spans="1:20" ht="20.100000000000001" customHeight="1">
      <c r="B6" s="706"/>
      <c r="C6" s="706"/>
      <c r="D6" s="706"/>
      <c r="E6" s="706"/>
      <c r="F6" s="706"/>
      <c r="G6" s="706"/>
      <c r="H6" s="708" t="s">
        <v>682</v>
      </c>
      <c r="I6" s="705"/>
      <c r="T6" s="708"/>
    </row>
    <row r="7" spans="1:20" ht="20.100000000000001" customHeight="1">
      <c r="A7" s="710" t="s">
        <v>683</v>
      </c>
      <c r="B7" s="710" t="s">
        <v>684</v>
      </c>
      <c r="C7" s="711"/>
      <c r="D7" s="712"/>
      <c r="E7" s="713" t="s">
        <v>404</v>
      </c>
      <c r="F7" s="713" t="s">
        <v>685</v>
      </c>
      <c r="G7" s="713" t="s">
        <v>686</v>
      </c>
      <c r="H7" s="713" t="s">
        <v>37</v>
      </c>
      <c r="I7" s="711"/>
      <c r="T7" s="708"/>
    </row>
    <row r="8" spans="1:20" ht="20.100000000000001" customHeight="1">
      <c r="B8" s="714"/>
      <c r="D8" s="706"/>
      <c r="H8" s="705"/>
      <c r="I8" s="705"/>
    </row>
    <row r="9" spans="1:20" ht="20.100000000000001" customHeight="1">
      <c r="A9" s="705">
        <v>1</v>
      </c>
      <c r="B9" s="705" t="s">
        <v>687</v>
      </c>
      <c r="D9" s="706"/>
      <c r="E9" s="715">
        <f>F28</f>
        <v>-11993622.29782143</v>
      </c>
      <c r="F9" s="715">
        <f>G29</f>
        <v>0</v>
      </c>
      <c r="G9" s="715">
        <f>H29</f>
        <v>0</v>
      </c>
      <c r="H9" s="715"/>
      <c r="I9" s="705" t="str">
        <f>"Line "&amp;A29&amp;""</f>
        <v>Line 16</v>
      </c>
    </row>
    <row r="10" spans="1:20" ht="20.100000000000001" customHeight="1">
      <c r="A10" s="705">
        <f t="shared" ref="A10:A16" si="0">+A9+1</f>
        <v>2</v>
      </c>
      <c r="B10" s="705" t="s">
        <v>688</v>
      </c>
      <c r="D10" s="706"/>
      <c r="E10" s="715">
        <f>F39</f>
        <v>0</v>
      </c>
      <c r="F10" s="715">
        <f>G39</f>
        <v>0</v>
      </c>
      <c r="G10" s="715">
        <f>H39</f>
        <v>0</v>
      </c>
      <c r="H10" s="715"/>
      <c r="I10" s="705" t="str">
        <f>"Line "&amp;A39&amp;""</f>
        <v>Line 24</v>
      </c>
    </row>
    <row r="11" spans="1:20" ht="20.100000000000001" customHeight="1">
      <c r="A11" s="705">
        <f t="shared" si="0"/>
        <v>3</v>
      </c>
      <c r="B11" s="705" t="s">
        <v>689</v>
      </c>
      <c r="D11" s="706"/>
      <c r="E11" s="715">
        <f>F49</f>
        <v>0</v>
      </c>
      <c r="F11" s="715">
        <f>G49</f>
        <v>0</v>
      </c>
      <c r="G11" s="715">
        <f>H49</f>
        <v>0</v>
      </c>
      <c r="H11" s="715"/>
      <c r="I11" s="705" t="str">
        <f>"Line "&amp;A49&amp;""</f>
        <v>Line 32</v>
      </c>
    </row>
    <row r="12" spans="1:20" ht="20.100000000000001" customHeight="1">
      <c r="A12" s="705">
        <f t="shared" si="0"/>
        <v>4</v>
      </c>
      <c r="B12" s="705" t="s">
        <v>690</v>
      </c>
      <c r="D12" s="706"/>
      <c r="E12" s="715">
        <f>SUM(E9:E11)</f>
        <v>-11993622.29782143</v>
      </c>
      <c r="F12" s="715">
        <f>SUM(F9:F11)</f>
        <v>0</v>
      </c>
      <c r="G12" s="715">
        <f>SUM(G9:G11)</f>
        <v>0</v>
      </c>
      <c r="H12" s="715"/>
      <c r="I12" s="716" t="s">
        <v>691</v>
      </c>
    </row>
    <row r="13" spans="1:20" ht="20.100000000000001" customHeight="1">
      <c r="A13" s="705">
        <f t="shared" si="0"/>
        <v>5</v>
      </c>
      <c r="B13" s="705" t="s">
        <v>692</v>
      </c>
      <c r="D13" s="706"/>
      <c r="G13" s="717">
        <f>+'Appendix A'!J224</f>
        <v>1</v>
      </c>
      <c r="H13" s="705"/>
      <c r="I13" s="705" t="s">
        <v>693</v>
      </c>
    </row>
    <row r="14" spans="1:20" ht="20.100000000000001" customHeight="1">
      <c r="A14" s="705">
        <f t="shared" si="0"/>
        <v>6</v>
      </c>
      <c r="B14" s="705" t="s">
        <v>694</v>
      </c>
      <c r="D14" s="706"/>
      <c r="F14" s="718">
        <f>+'Appendix A'!H97</f>
        <v>1</v>
      </c>
      <c r="H14" s="705"/>
      <c r="I14" s="705" t="s">
        <v>695</v>
      </c>
    </row>
    <row r="15" spans="1:20" ht="20.100000000000001" customHeight="1">
      <c r="A15" s="705">
        <f t="shared" si="0"/>
        <v>7</v>
      </c>
      <c r="B15" s="705" t="s">
        <v>696</v>
      </c>
      <c r="D15" s="706"/>
      <c r="E15" s="718">
        <v>1</v>
      </c>
      <c r="F15" s="718"/>
      <c r="H15" s="705"/>
      <c r="I15" s="719">
        <v>1</v>
      </c>
    </row>
    <row r="16" spans="1:20" ht="20.100000000000001" customHeight="1">
      <c r="A16" s="705">
        <f t="shared" si="0"/>
        <v>8</v>
      </c>
      <c r="B16" s="705" t="s">
        <v>697</v>
      </c>
      <c r="D16" s="706"/>
      <c r="E16" s="715">
        <f>+E15*E12</f>
        <v>-11993622.29782143</v>
      </c>
      <c r="F16" s="715">
        <f>+F14*F12</f>
        <v>0</v>
      </c>
      <c r="G16" s="715">
        <f>+G13*G12</f>
        <v>0</v>
      </c>
      <c r="H16" s="715">
        <f>+E16+F16+G16</f>
        <v>-11993622.29782143</v>
      </c>
      <c r="I16" s="720" t="s">
        <v>698</v>
      </c>
    </row>
    <row r="17" spans="1:17" ht="20.100000000000001" customHeight="1">
      <c r="B17" s="705"/>
      <c r="D17" s="706"/>
      <c r="E17" s="715"/>
      <c r="F17" s="715"/>
      <c r="G17" s="715"/>
      <c r="H17" s="715"/>
      <c r="I17" s="720"/>
    </row>
    <row r="18" spans="1:17" ht="20.100000000000001" customHeight="1">
      <c r="B18" s="705"/>
      <c r="D18" s="716"/>
      <c r="G18" s="715"/>
      <c r="I18" s="708"/>
    </row>
    <row r="19" spans="1:17" ht="20.100000000000001" customHeight="1">
      <c r="B19" s="704" t="s">
        <v>175</v>
      </c>
      <c r="C19" s="704" t="s">
        <v>176</v>
      </c>
      <c r="D19" s="704" t="s">
        <v>177</v>
      </c>
      <c r="E19" s="704" t="s">
        <v>380</v>
      </c>
      <c r="F19" s="704" t="s">
        <v>381</v>
      </c>
      <c r="G19" s="708" t="s">
        <v>382</v>
      </c>
      <c r="H19" s="708" t="s">
        <v>383</v>
      </c>
      <c r="I19" s="708"/>
    </row>
    <row r="20" spans="1:17" ht="20.100000000000001" customHeight="1">
      <c r="A20" s="721"/>
      <c r="B20" s="722" t="s">
        <v>699</v>
      </c>
      <c r="C20" s="722" t="s">
        <v>700</v>
      </c>
      <c r="D20" s="722" t="s">
        <v>300</v>
      </c>
      <c r="E20" s="722" t="s">
        <v>701</v>
      </c>
      <c r="F20" s="722" t="s">
        <v>404</v>
      </c>
      <c r="G20" s="722" t="s">
        <v>685</v>
      </c>
      <c r="H20" s="722" t="s">
        <v>686</v>
      </c>
      <c r="I20" s="722"/>
      <c r="Q20" s="708"/>
    </row>
    <row r="21" spans="1:17" ht="20.100000000000001" customHeight="1">
      <c r="A21" s="706" t="s">
        <v>702</v>
      </c>
      <c r="B21" s="723"/>
      <c r="C21" s="706"/>
      <c r="D21" s="708"/>
      <c r="E21" s="708"/>
      <c r="F21" s="708"/>
      <c r="G21" s="706"/>
      <c r="Q21" s="708"/>
    </row>
    <row r="22" spans="1:17" ht="20.100000000000001" customHeight="1">
      <c r="A22" s="724">
        <f>A16+1</f>
        <v>9</v>
      </c>
      <c r="B22" s="723" t="s">
        <v>703</v>
      </c>
      <c r="C22" s="706" t="s">
        <v>302</v>
      </c>
      <c r="D22" s="725" t="s">
        <v>704</v>
      </c>
      <c r="E22" s="28">
        <f t="shared" ref="E22:E29" si="1">SUM(F22:H22)</f>
        <v>-10475927.171100002</v>
      </c>
      <c r="F22" s="28">
        <f>'6c- ADIT BOY'!E54</f>
        <v>-10475927.171100002</v>
      </c>
      <c r="G22" s="28">
        <f>'6c- ADIT BOY'!F54</f>
        <v>0</v>
      </c>
      <c r="H22" s="28">
        <f>'6c- ADIT BOY'!G54</f>
        <v>0</v>
      </c>
      <c r="I22" s="726"/>
    </row>
    <row r="23" spans="1:17" ht="20.100000000000001" customHeight="1">
      <c r="A23" s="724">
        <f>A22+1</f>
        <v>10</v>
      </c>
      <c r="B23" s="723" t="str">
        <f>"Actual Balance, BOY, Non Prorated items (Line "&amp;A22&amp;" less Line "&amp;A24&amp;")"</f>
        <v>Actual Balance, BOY, Non Prorated items (Line 9 less Line 11)</v>
      </c>
      <c r="C23" s="706" t="s">
        <v>302</v>
      </c>
      <c r="D23" s="725" t="s">
        <v>704</v>
      </c>
      <c r="E23" s="28">
        <f t="shared" si="1"/>
        <v>-10475927.171100002</v>
      </c>
      <c r="F23" s="28">
        <f>F22-F24</f>
        <v>-10475927.171100002</v>
      </c>
      <c r="G23" s="28">
        <f>G22-G24</f>
        <v>0</v>
      </c>
      <c r="H23" s="28">
        <f>H22-H24</f>
        <v>0</v>
      </c>
      <c r="I23" s="726"/>
    </row>
    <row r="24" spans="1:17" ht="20.100000000000001" customHeight="1">
      <c r="A24" s="724">
        <f t="shared" ref="A24:A29" si="2">A23+1</f>
        <v>11</v>
      </c>
      <c r="B24" s="723" t="s">
        <v>705</v>
      </c>
      <c r="C24" s="706" t="s">
        <v>302</v>
      </c>
      <c r="D24" s="725" t="s">
        <v>704</v>
      </c>
      <c r="E24" s="28">
        <f t="shared" si="1"/>
        <v>0</v>
      </c>
      <c r="F24" s="28">
        <f>'6c- ADIT BOY'!E50</f>
        <v>0</v>
      </c>
      <c r="G24" s="28">
        <f>'6c- ADIT BOY'!F50</f>
        <v>0</v>
      </c>
      <c r="H24" s="28">
        <f>'6c- ADIT BOY'!G50</f>
        <v>0</v>
      </c>
      <c r="I24" s="726"/>
    </row>
    <row r="25" spans="1:17" ht="20.100000000000001" customHeight="1">
      <c r="A25" s="724">
        <f t="shared" si="2"/>
        <v>12</v>
      </c>
      <c r="B25" s="723" t="s">
        <v>706</v>
      </c>
      <c r="C25" s="706" t="s">
        <v>302</v>
      </c>
      <c r="D25" s="725" t="s">
        <v>704</v>
      </c>
      <c r="E25" s="28">
        <f t="shared" si="1"/>
        <v>-13752173.92075</v>
      </c>
      <c r="F25" s="28">
        <f>'6d- ADIT EOY'!E54</f>
        <v>-13752173.92075</v>
      </c>
      <c r="G25" s="28">
        <f>'6d- ADIT EOY'!F54</f>
        <v>0</v>
      </c>
      <c r="H25" s="28">
        <f>'6d- ADIT EOY'!G54</f>
        <v>0</v>
      </c>
      <c r="I25" s="718"/>
    </row>
    <row r="26" spans="1:17" ht="20.100000000000001" customHeight="1">
      <c r="A26" s="724">
        <f t="shared" si="2"/>
        <v>13</v>
      </c>
      <c r="B26" s="723" t="str">
        <f>"Actual Balance, EOY, Non Prorated items (Line "&amp;A25&amp;" less Line "&amp;A27&amp;")"</f>
        <v>Actual Balance, EOY, Non Prorated items (Line 12 less Line 14)</v>
      </c>
      <c r="C26" s="706" t="s">
        <v>302</v>
      </c>
      <c r="D26" s="725" t="s">
        <v>704</v>
      </c>
      <c r="E26" s="28">
        <f t="shared" si="1"/>
        <v>0</v>
      </c>
      <c r="F26" s="28">
        <f>F25-F27</f>
        <v>0</v>
      </c>
      <c r="G26" s="28">
        <f t="shared" ref="G26:H26" si="3">G25-G27</f>
        <v>0</v>
      </c>
      <c r="H26" s="28">
        <f t="shared" si="3"/>
        <v>0</v>
      </c>
    </row>
    <row r="27" spans="1:17" ht="20.100000000000001" customHeight="1">
      <c r="A27" s="724">
        <f t="shared" si="2"/>
        <v>14</v>
      </c>
      <c r="B27" s="723" t="s">
        <v>707</v>
      </c>
      <c r="C27" s="706" t="s">
        <v>302</v>
      </c>
      <c r="D27" s="725" t="s">
        <v>704</v>
      </c>
      <c r="E27" s="28">
        <f t="shared" si="1"/>
        <v>-13752173.92075</v>
      </c>
      <c r="F27" s="28">
        <f>'6d- ADIT EOY'!E50</f>
        <v>-13752173.92075</v>
      </c>
      <c r="G27" s="28">
        <f>'6d- ADIT EOY'!F50</f>
        <v>0</v>
      </c>
      <c r="H27" s="28">
        <f>'6d- ADIT EOY'!G50</f>
        <v>0</v>
      </c>
    </row>
    <row r="28" spans="1:17" ht="20.100000000000001" customHeight="1">
      <c r="A28" s="724">
        <f t="shared" si="2"/>
        <v>15</v>
      </c>
      <c r="B28" s="723" t="s">
        <v>708</v>
      </c>
      <c r="C28" s="706" t="s">
        <v>302</v>
      </c>
      <c r="D28" s="725" t="s">
        <v>704</v>
      </c>
      <c r="E28" s="28">
        <f t="shared" si="1"/>
        <v>-11993622.29782143</v>
      </c>
      <c r="F28" s="28">
        <f>'6b-ADIT Projection Proration'!H22</f>
        <v>-11993622.29782143</v>
      </c>
      <c r="G28" s="28">
        <f>'6b-ADIT Projection Proration'!J22</f>
        <v>0</v>
      </c>
      <c r="H28" s="28">
        <f>'6b-ADIT Projection Proration'!L22</f>
        <v>0</v>
      </c>
      <c r="I28" s="726"/>
    </row>
    <row r="29" spans="1:17" ht="20.100000000000001" customHeight="1">
      <c r="A29" s="724">
        <f t="shared" si="2"/>
        <v>16</v>
      </c>
      <c r="B29" s="723" t="str">
        <f>"ADIT 282 ((Line "&amp;A23&amp;" plus Line "&amp;A26&amp;") / 2) plus Line "&amp;A28&amp;""</f>
        <v>ADIT 282 ((Line 10 plus Line 13) / 2) plus Line 15</v>
      </c>
      <c r="C29" s="706" t="s">
        <v>302</v>
      </c>
      <c r="D29" s="725" t="s">
        <v>704</v>
      </c>
      <c r="E29" s="28">
        <f t="shared" si="1"/>
        <v>-17231585.883371431</v>
      </c>
      <c r="F29" s="28">
        <f>((F23+F26)/2+F28)</f>
        <v>-17231585.883371431</v>
      </c>
      <c r="G29" s="28">
        <f>((G23+G26)/2+G28)</f>
        <v>0</v>
      </c>
      <c r="H29" s="28">
        <f t="shared" ref="H29" si="4">((H23+H26)/2+H28)</f>
        <v>0</v>
      </c>
      <c r="I29" s="726"/>
    </row>
    <row r="30" spans="1:17" ht="20.100000000000001" customHeight="1">
      <c r="A30" s="724"/>
      <c r="B30" s="723"/>
      <c r="C30" s="706"/>
      <c r="D30" s="706"/>
      <c r="E30" s="28"/>
      <c r="F30" s="28"/>
      <c r="G30" s="28"/>
      <c r="H30" s="28"/>
      <c r="I30" s="727"/>
    </row>
    <row r="31" spans="1:17" ht="20.100000000000001" customHeight="1">
      <c r="A31" s="706" t="s">
        <v>709</v>
      </c>
      <c r="B31" s="723"/>
      <c r="C31" s="706"/>
      <c r="D31" s="706"/>
      <c r="E31" s="28"/>
      <c r="F31" s="28"/>
      <c r="G31" s="28"/>
      <c r="H31" s="28"/>
    </row>
    <row r="32" spans="1:17" ht="20.100000000000001" customHeight="1">
      <c r="A32" s="724">
        <f>A29+1</f>
        <v>17</v>
      </c>
      <c r="B32" s="723" t="s">
        <v>710</v>
      </c>
      <c r="C32" s="706" t="s">
        <v>302</v>
      </c>
      <c r="D32" s="725" t="s">
        <v>704</v>
      </c>
      <c r="E32" s="28">
        <f t="shared" ref="E32:E39" si="5">SUM(F32:H32)</f>
        <v>0</v>
      </c>
      <c r="F32" s="28">
        <f>'6c- ADIT BOY'!E78</f>
        <v>0</v>
      </c>
      <c r="G32" s="28">
        <f>'6c- ADIT BOY'!F78</f>
        <v>0</v>
      </c>
      <c r="H32" s="28">
        <f>'6c- ADIT BOY'!G78</f>
        <v>0</v>
      </c>
    </row>
    <row r="33" spans="1:9" ht="20.100000000000001" customHeight="1">
      <c r="A33" s="724">
        <f>A32+1</f>
        <v>18</v>
      </c>
      <c r="B33" s="723" t="str">
        <f>"Actual Balance, BOY, Non Prorated items (Line "&amp;A32&amp;" less Line "&amp;A34&amp;")"</f>
        <v>Actual Balance, BOY, Non Prorated items (Line 17 less Line 19)</v>
      </c>
      <c r="C33" s="706" t="s">
        <v>302</v>
      </c>
      <c r="D33" s="725" t="s">
        <v>704</v>
      </c>
      <c r="E33" s="28">
        <f t="shared" si="5"/>
        <v>0</v>
      </c>
      <c r="F33" s="28">
        <f>F32-F34</f>
        <v>0</v>
      </c>
      <c r="G33" s="28">
        <f t="shared" ref="G33:H33" si="6">G32-G34</f>
        <v>0</v>
      </c>
      <c r="H33" s="28">
        <f t="shared" si="6"/>
        <v>0</v>
      </c>
      <c r="I33" s="726"/>
    </row>
    <row r="34" spans="1:9" ht="20.100000000000001" customHeight="1">
      <c r="A34" s="724">
        <f t="shared" ref="A34:A39" si="7">A33+1</f>
        <v>19</v>
      </c>
      <c r="B34" s="723" t="s">
        <v>711</v>
      </c>
      <c r="C34" s="706" t="s">
        <v>302</v>
      </c>
      <c r="D34" s="725" t="s">
        <v>704</v>
      </c>
      <c r="E34" s="28">
        <f t="shared" si="5"/>
        <v>0</v>
      </c>
      <c r="F34" s="28">
        <f>'6c- ADIT BOY'!E74</f>
        <v>0</v>
      </c>
      <c r="G34" s="28">
        <f>'6c- ADIT BOY'!F74</f>
        <v>0</v>
      </c>
      <c r="H34" s="28">
        <f>'6c- ADIT BOY'!G74</f>
        <v>0</v>
      </c>
      <c r="I34" s="726"/>
    </row>
    <row r="35" spans="1:9" ht="20.100000000000001" customHeight="1">
      <c r="A35" s="724">
        <f t="shared" si="7"/>
        <v>20</v>
      </c>
      <c r="B35" s="723" t="s">
        <v>712</v>
      </c>
      <c r="C35" s="706" t="s">
        <v>302</v>
      </c>
      <c r="D35" s="725" t="s">
        <v>704</v>
      </c>
      <c r="E35" s="28">
        <f t="shared" si="5"/>
        <v>0</v>
      </c>
      <c r="F35" s="28">
        <f>'6d- ADIT EOY'!E78</f>
        <v>0</v>
      </c>
      <c r="G35" s="28">
        <f>'6d- ADIT EOY'!F78</f>
        <v>0</v>
      </c>
      <c r="H35" s="28">
        <f>'6d- ADIT EOY'!G78</f>
        <v>0</v>
      </c>
      <c r="I35" s="726"/>
    </row>
    <row r="36" spans="1:9" ht="20.100000000000001" customHeight="1">
      <c r="A36" s="724">
        <f t="shared" si="7"/>
        <v>21</v>
      </c>
      <c r="B36" s="723" t="str">
        <f>"Actual Balance, EOY, Non Prorated items (Line "&amp;A35&amp;" less Line "&amp;A37&amp;")"</f>
        <v>Actual Balance, EOY, Non Prorated items (Line 20 less Line 22)</v>
      </c>
      <c r="C36" s="706" t="s">
        <v>302</v>
      </c>
      <c r="D36" s="725" t="s">
        <v>704</v>
      </c>
      <c r="E36" s="28">
        <f t="shared" si="5"/>
        <v>0</v>
      </c>
      <c r="F36" s="28">
        <f>F35-F37</f>
        <v>0</v>
      </c>
      <c r="G36" s="28">
        <f t="shared" ref="G36:H36" si="8">G35-G37</f>
        <v>0</v>
      </c>
      <c r="H36" s="28">
        <f t="shared" si="8"/>
        <v>0</v>
      </c>
      <c r="I36" s="726"/>
    </row>
    <row r="37" spans="1:9" ht="20.100000000000001" customHeight="1">
      <c r="A37" s="724">
        <f t="shared" si="7"/>
        <v>22</v>
      </c>
      <c r="B37" s="723" t="s">
        <v>713</v>
      </c>
      <c r="C37" s="706" t="s">
        <v>302</v>
      </c>
      <c r="D37" s="725" t="s">
        <v>704</v>
      </c>
      <c r="E37" s="28">
        <f t="shared" si="5"/>
        <v>0</v>
      </c>
      <c r="F37" s="28">
        <f>'6d- ADIT EOY'!E74</f>
        <v>0</v>
      </c>
      <c r="G37" s="28">
        <f>'6d- ADIT EOY'!F74</f>
        <v>0</v>
      </c>
      <c r="H37" s="28">
        <f>'6d- ADIT EOY'!G74</f>
        <v>0</v>
      </c>
      <c r="I37" s="726"/>
    </row>
    <row r="38" spans="1:9" ht="20.100000000000001" customHeight="1">
      <c r="A38" s="724">
        <f t="shared" si="7"/>
        <v>23</v>
      </c>
      <c r="B38" s="723" t="s">
        <v>714</v>
      </c>
      <c r="C38" s="706" t="s">
        <v>302</v>
      </c>
      <c r="D38" s="725" t="s">
        <v>704</v>
      </c>
      <c r="E38" s="28">
        <f t="shared" si="5"/>
        <v>0</v>
      </c>
      <c r="F38" s="28">
        <f>'6b-ADIT Projection Proration'!H38</f>
        <v>0</v>
      </c>
      <c r="G38" s="28">
        <f>'6b-ADIT Projection Proration'!J38</f>
        <v>0</v>
      </c>
      <c r="H38" s="28">
        <f>'6b-ADIT Projection Proration'!L38</f>
        <v>0</v>
      </c>
      <c r="I38" s="726"/>
    </row>
    <row r="39" spans="1:9" ht="20.100000000000001" customHeight="1">
      <c r="A39" s="724">
        <f t="shared" si="7"/>
        <v>24</v>
      </c>
      <c r="B39" s="723" t="str">
        <f>"ADIT 283 ((Line "&amp;A33&amp;" plus Line "&amp;A36&amp;") / 2) plus Line "&amp;A38&amp;""</f>
        <v>ADIT 283 ((Line 18 plus Line 21) / 2) plus Line 23</v>
      </c>
      <c r="C39" s="706" t="s">
        <v>302</v>
      </c>
      <c r="D39" s="725" t="s">
        <v>704</v>
      </c>
      <c r="E39" s="28">
        <f t="shared" si="5"/>
        <v>0</v>
      </c>
      <c r="F39" s="28">
        <f>((F33+F36)/2+F38)</f>
        <v>0</v>
      </c>
      <c r="G39" s="28">
        <f>((G33+G36)/2+G38)</f>
        <v>0</v>
      </c>
      <c r="H39" s="28">
        <f>((H33+H36)/2+H38)</f>
        <v>0</v>
      </c>
      <c r="I39" s="726"/>
    </row>
    <row r="40" spans="1:9" ht="20.100000000000001" customHeight="1">
      <c r="A40" s="724"/>
      <c r="B40" s="723"/>
      <c r="C40" s="706"/>
      <c r="D40" s="706"/>
      <c r="E40" s="28"/>
      <c r="F40" s="28"/>
      <c r="G40" s="28"/>
      <c r="H40" s="28"/>
      <c r="I40" s="727"/>
    </row>
    <row r="41" spans="1:9" ht="20.100000000000001" customHeight="1">
      <c r="A41" s="706" t="s">
        <v>689</v>
      </c>
      <c r="B41" s="723"/>
      <c r="C41" s="706"/>
      <c r="D41" s="706"/>
      <c r="E41" s="28"/>
      <c r="F41" s="28"/>
      <c r="G41" s="28"/>
      <c r="H41" s="28"/>
    </row>
    <row r="42" spans="1:9" ht="20.100000000000001" customHeight="1">
      <c r="A42" s="724">
        <f>A39+1</f>
        <v>25</v>
      </c>
      <c r="B42" s="723" t="s">
        <v>715</v>
      </c>
      <c r="C42" s="706" t="s">
        <v>302</v>
      </c>
      <c r="D42" s="725" t="s">
        <v>704</v>
      </c>
      <c r="E42" s="28">
        <f t="shared" ref="E42:E49" si="9">SUM(F42:H42)</f>
        <v>0</v>
      </c>
      <c r="F42" s="28">
        <f>'6c- ADIT BOY'!E32</f>
        <v>0</v>
      </c>
      <c r="G42" s="28">
        <f>'6c- ADIT BOY'!F32</f>
        <v>0</v>
      </c>
      <c r="H42" s="28">
        <f>'6c- ADIT BOY'!G32</f>
        <v>0</v>
      </c>
    </row>
    <row r="43" spans="1:9" ht="20.100000000000001" customHeight="1">
      <c r="A43" s="724">
        <f>A42+1</f>
        <v>26</v>
      </c>
      <c r="B43" s="723" t="str">
        <f>"Actual Balance, BOY, Non Prorated items (Line "&amp;A42&amp;" less Line "&amp;A44&amp;")"</f>
        <v>Actual Balance, BOY, Non Prorated items (Line 25 less Line 27)</v>
      </c>
      <c r="C43" s="706" t="s">
        <v>302</v>
      </c>
      <c r="D43" s="725" t="s">
        <v>704</v>
      </c>
      <c r="E43" s="28">
        <f t="shared" si="9"/>
        <v>0</v>
      </c>
      <c r="F43" s="28">
        <f>F42-F44</f>
        <v>0</v>
      </c>
      <c r="G43" s="28">
        <f>G42-G44</f>
        <v>0</v>
      </c>
      <c r="H43" s="28">
        <f>H42-H44</f>
        <v>0</v>
      </c>
    </row>
    <row r="44" spans="1:9" ht="20.100000000000001" customHeight="1">
      <c r="A44" s="724">
        <f t="shared" ref="A44:A49" si="10">A43+1</f>
        <v>27</v>
      </c>
      <c r="B44" s="723" t="s">
        <v>716</v>
      </c>
      <c r="C44" s="706" t="s">
        <v>302</v>
      </c>
      <c r="D44" s="725" t="s">
        <v>704</v>
      </c>
      <c r="E44" s="28">
        <f t="shared" si="9"/>
        <v>0</v>
      </c>
      <c r="F44" s="28">
        <f>'6c- ADIT BOY'!E28</f>
        <v>0</v>
      </c>
      <c r="G44" s="28">
        <f>'6c- ADIT BOY'!F28</f>
        <v>0</v>
      </c>
      <c r="H44" s="28">
        <f>'6c- ADIT BOY'!G28</f>
        <v>0</v>
      </c>
    </row>
    <row r="45" spans="1:9" ht="20.100000000000001" customHeight="1">
      <c r="A45" s="724">
        <f t="shared" si="10"/>
        <v>28</v>
      </c>
      <c r="B45" s="723" t="s">
        <v>717</v>
      </c>
      <c r="C45" s="706" t="s">
        <v>302</v>
      </c>
      <c r="D45" s="725" t="s">
        <v>704</v>
      </c>
      <c r="E45" s="28">
        <f t="shared" si="9"/>
        <v>0</v>
      </c>
      <c r="F45" s="28">
        <f>'6d- ADIT EOY'!E32</f>
        <v>0</v>
      </c>
      <c r="G45" s="28">
        <f>'6d- ADIT EOY'!F32</f>
        <v>0</v>
      </c>
      <c r="H45" s="28">
        <f>'6d- ADIT EOY'!G32</f>
        <v>0</v>
      </c>
    </row>
    <row r="46" spans="1:9" ht="20.100000000000001" customHeight="1">
      <c r="A46" s="724">
        <f t="shared" si="10"/>
        <v>29</v>
      </c>
      <c r="B46" s="723" t="str">
        <f>"Actual Balance, EOY, Non Prorated items (Line "&amp;A45&amp;" less Line "&amp;A47&amp;")"</f>
        <v>Actual Balance, EOY, Non Prorated items (Line 28 less Line 30)</v>
      </c>
      <c r="C46" s="706" t="s">
        <v>302</v>
      </c>
      <c r="D46" s="725" t="s">
        <v>704</v>
      </c>
      <c r="E46" s="28">
        <f t="shared" si="9"/>
        <v>0</v>
      </c>
      <c r="F46" s="28">
        <f>F45-F47</f>
        <v>0</v>
      </c>
      <c r="G46" s="28">
        <f>G45-G47</f>
        <v>0</v>
      </c>
      <c r="H46" s="28">
        <f>H45-H47</f>
        <v>0</v>
      </c>
    </row>
    <row r="47" spans="1:9" ht="20.100000000000001" customHeight="1">
      <c r="A47" s="724">
        <f t="shared" si="10"/>
        <v>30</v>
      </c>
      <c r="B47" s="723" t="s">
        <v>718</v>
      </c>
      <c r="C47" s="706" t="s">
        <v>302</v>
      </c>
      <c r="D47" s="725" t="s">
        <v>704</v>
      </c>
      <c r="E47" s="28">
        <f t="shared" si="9"/>
        <v>0</v>
      </c>
      <c r="F47" s="28">
        <f>'6d- ADIT EOY'!E28</f>
        <v>0</v>
      </c>
      <c r="G47" s="28">
        <f>'6d- ADIT EOY'!F28</f>
        <v>0</v>
      </c>
      <c r="H47" s="28">
        <f>'6d- ADIT EOY'!G28</f>
        <v>0</v>
      </c>
    </row>
    <row r="48" spans="1:9" ht="20.100000000000001" customHeight="1">
      <c r="A48" s="724">
        <f t="shared" si="10"/>
        <v>31</v>
      </c>
      <c r="B48" s="723" t="s">
        <v>719</v>
      </c>
      <c r="C48" s="706" t="s">
        <v>302</v>
      </c>
      <c r="D48" s="725" t="s">
        <v>704</v>
      </c>
      <c r="E48" s="28">
        <f t="shared" si="9"/>
        <v>0</v>
      </c>
      <c r="F48" s="28">
        <f>'6b-ADIT Projection Proration'!H54</f>
        <v>0</v>
      </c>
      <c r="G48" s="28">
        <f>'6b-ADIT Projection Proration'!J54</f>
        <v>0</v>
      </c>
      <c r="H48" s="28">
        <f>'6b-ADIT Projection Proration'!L54</f>
        <v>0</v>
      </c>
    </row>
    <row r="49" spans="1:8" ht="20.100000000000001" customHeight="1">
      <c r="A49" s="724">
        <f t="shared" si="10"/>
        <v>32</v>
      </c>
      <c r="B49" s="723" t="str">
        <f>"ADIT 190 ((Line "&amp;A43&amp;" plus Line "&amp;A46&amp;") / 2) plus Line "&amp;A48&amp;""</f>
        <v>ADIT 190 ((Line 26 plus Line 29) / 2) plus Line 31</v>
      </c>
      <c r="C49" s="706" t="s">
        <v>302</v>
      </c>
      <c r="D49" s="725" t="s">
        <v>704</v>
      </c>
      <c r="E49" s="28">
        <f t="shared" si="9"/>
        <v>0</v>
      </c>
      <c r="F49" s="28">
        <f>((F43+F46)/2+F48)</f>
        <v>0</v>
      </c>
      <c r="G49" s="28">
        <f t="shared" ref="G49:H49" si="11">((G43+G46)/2+G48)</f>
        <v>0</v>
      </c>
      <c r="H49" s="28">
        <f t="shared" si="11"/>
        <v>0</v>
      </c>
    </row>
    <row r="50" spans="1:8" ht="20.100000000000001" customHeight="1">
      <c r="D50" s="728"/>
    </row>
    <row r="51" spans="1:8" ht="20.100000000000001" customHeight="1">
      <c r="D51" s="728"/>
    </row>
    <row r="52" spans="1:8" ht="20.100000000000001" customHeight="1">
      <c r="D52" s="728"/>
    </row>
    <row r="53" spans="1:8" ht="20.100000000000001" customHeight="1">
      <c r="D53" s="728"/>
    </row>
    <row r="54" spans="1:8" ht="20.100000000000001" customHeight="1">
      <c r="B54" s="705"/>
      <c r="D54" s="728"/>
    </row>
    <row r="55" spans="1:8" ht="20.100000000000001" customHeight="1">
      <c r="D55" s="728"/>
    </row>
    <row r="56" spans="1:8" ht="20.100000000000001" customHeight="1">
      <c r="B56" s="705"/>
      <c r="D56" s="728"/>
    </row>
    <row r="160" spans="8:8" ht="20.100000000000001" customHeight="1">
      <c r="H160" s="729"/>
    </row>
  </sheetData>
  <mergeCells count="2">
    <mergeCell ref="A2:I2"/>
    <mergeCell ref="A3:I3"/>
  </mergeCells>
  <printOptions horizontalCentered="1"/>
  <pageMargins left="0.25" right="0.25" top="0.75" bottom="0.75" header="0.3" footer="0.3"/>
  <pageSetup scale="50" orientation="landscape" r:id="rId1"/>
  <headerFooter alignWithMargins="0">
    <oddFooter>&amp;R&amp;A</oddFooter>
  </headerFooter>
  <customProperties>
    <customPr name="_pios_id" r:id="rId2"/>
  </customPropertie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09E1C4-4044-4EB5-8B87-76B4AD1EBC79}">
  <sheetPr>
    <tabColor rgb="FFFFC000"/>
    <pageSetUpPr fitToPage="1"/>
  </sheetPr>
  <dimension ref="A1:T178"/>
  <sheetViews>
    <sheetView zoomScale="80" zoomScaleNormal="80" zoomScaleSheetLayoutView="100" workbookViewId="0">
      <selection activeCell="K12" sqref="K12"/>
    </sheetView>
  </sheetViews>
  <sheetFormatPr defaultColWidth="8.81640625" defaultRowHeight="15.6"/>
  <cols>
    <col min="1" max="1" width="5.81640625" style="705" customWidth="1"/>
    <col min="2" max="2" width="31.1796875" style="703" customWidth="1"/>
    <col min="3" max="3" width="10.81640625" style="705" bestFit="1" customWidth="1"/>
    <col min="4" max="4" width="9.81640625" style="730" bestFit="1" customWidth="1"/>
    <col min="5" max="5" width="10" style="705" bestFit="1" customWidth="1"/>
    <col min="6" max="6" width="14.81640625" style="705" customWidth="1"/>
    <col min="7" max="7" width="12.08984375" style="705" customWidth="1"/>
    <col min="8" max="8" width="11.81640625" style="705" customWidth="1"/>
    <col min="9" max="9" width="12" style="706" customWidth="1"/>
    <col min="10" max="10" width="15.81640625" style="706" customWidth="1"/>
    <col min="11" max="11" width="10.453125" style="706" customWidth="1"/>
    <col min="12" max="12" width="12.1796875" style="706" customWidth="1"/>
    <col min="13" max="13" width="18.54296875" style="706" bestFit="1" customWidth="1"/>
    <col min="14" max="17" width="8.81640625" style="706"/>
    <col min="18" max="18" width="10.453125" style="706" bestFit="1" customWidth="1"/>
    <col min="19" max="16384" width="8.81640625" style="706"/>
  </cols>
  <sheetData>
    <row r="1" spans="1:20" ht="18" customHeight="1">
      <c r="A1" s="703" t="s">
        <v>720</v>
      </c>
      <c r="B1" s="704"/>
      <c r="C1" s="704"/>
      <c r="D1" s="704"/>
      <c r="E1" s="704"/>
      <c r="F1" s="704"/>
      <c r="G1" s="704"/>
      <c r="H1" s="704"/>
      <c r="I1" s="704"/>
      <c r="J1" s="704"/>
      <c r="K1" s="704"/>
      <c r="L1" s="704"/>
    </row>
    <row r="2" spans="1:20" ht="18" customHeight="1">
      <c r="A2" s="1264" t="str">
        <f>+'6a-ADIT Projection'!A2:I2</f>
        <v>NextEra Energy Transmission New York, Inc.</v>
      </c>
      <c r="B2" s="1264"/>
      <c r="C2" s="1264"/>
      <c r="D2" s="1264"/>
      <c r="E2" s="1264"/>
      <c r="F2" s="1264"/>
      <c r="G2" s="1264"/>
      <c r="H2" s="1264"/>
      <c r="I2" s="1264"/>
      <c r="J2" s="1264"/>
      <c r="K2" s="1264"/>
      <c r="L2" s="1264"/>
    </row>
    <row r="3" spans="1:20" ht="18" customHeight="1">
      <c r="A3" s="1265" t="str">
        <f>'6a-ADIT Projection'!A3</f>
        <v>Projection For the 12 months ended 12/31/2025</v>
      </c>
      <c r="B3" s="1265"/>
      <c r="C3" s="1265"/>
      <c r="D3" s="1265"/>
      <c r="E3" s="1265"/>
      <c r="F3" s="1265"/>
      <c r="G3" s="1265"/>
      <c r="H3" s="1265"/>
      <c r="I3" s="1265"/>
      <c r="J3" s="1265"/>
      <c r="K3" s="1265"/>
      <c r="L3" s="1265"/>
    </row>
    <row r="4" spans="1:20" ht="17.399999999999999">
      <c r="I4" s="709"/>
      <c r="J4" s="709"/>
    </row>
    <row r="5" spans="1:20">
      <c r="D5" s="731"/>
      <c r="E5" s="706"/>
      <c r="F5" s="706"/>
      <c r="G5" s="706"/>
      <c r="H5" s="706"/>
      <c r="J5" s="705"/>
      <c r="T5" s="708"/>
    </row>
    <row r="6" spans="1:20">
      <c r="B6" s="704" t="s">
        <v>175</v>
      </c>
      <c r="C6" s="704" t="s">
        <v>176</v>
      </c>
      <c r="D6" s="732" t="s">
        <v>177</v>
      </c>
      <c r="E6" s="704" t="s">
        <v>380</v>
      </c>
      <c r="F6" s="704" t="s">
        <v>381</v>
      </c>
      <c r="G6" s="704" t="s">
        <v>382</v>
      </c>
      <c r="H6" s="704" t="s">
        <v>383</v>
      </c>
      <c r="I6" s="708" t="s">
        <v>384</v>
      </c>
      <c r="J6" s="708" t="s">
        <v>576</v>
      </c>
      <c r="K6" s="708" t="s">
        <v>577</v>
      </c>
      <c r="L6" s="708" t="s">
        <v>578</v>
      </c>
    </row>
    <row r="7" spans="1:20" ht="46.8">
      <c r="A7" s="721"/>
      <c r="B7" s="722" t="s">
        <v>699</v>
      </c>
      <c r="C7" s="722" t="s">
        <v>700</v>
      </c>
      <c r="D7" s="733" t="s">
        <v>300</v>
      </c>
      <c r="E7" s="722" t="s">
        <v>721</v>
      </c>
      <c r="F7" s="722" t="s">
        <v>722</v>
      </c>
      <c r="G7" s="722" t="s">
        <v>47</v>
      </c>
      <c r="H7" s="722" t="s">
        <v>723</v>
      </c>
      <c r="I7" s="722" t="s">
        <v>685</v>
      </c>
      <c r="J7" s="722" t="s">
        <v>724</v>
      </c>
      <c r="K7" s="722" t="s">
        <v>686</v>
      </c>
      <c r="L7" s="722" t="s">
        <v>725</v>
      </c>
      <c r="T7" s="708"/>
    </row>
    <row r="8" spans="1:20">
      <c r="A8" s="705" t="s">
        <v>726</v>
      </c>
      <c r="D8" s="732"/>
      <c r="E8" s="704"/>
      <c r="F8" s="704"/>
      <c r="G8" s="704"/>
      <c r="M8" s="734"/>
      <c r="N8" s="734"/>
      <c r="O8" s="734"/>
      <c r="P8" s="734"/>
      <c r="Q8" s="734"/>
      <c r="T8" s="708"/>
    </row>
    <row r="9" spans="1:20" ht="20.100000000000001" customHeight="1">
      <c r="A9" s="714">
        <v>1</v>
      </c>
      <c r="B9" s="703" t="s">
        <v>727</v>
      </c>
      <c r="C9" s="705" t="s">
        <v>302</v>
      </c>
      <c r="D9" s="735">
        <v>0</v>
      </c>
      <c r="E9" s="736">
        <f>365/365</f>
        <v>1</v>
      </c>
      <c r="F9" s="715">
        <f>'6c- ADIT BOY'!C54</f>
        <v>0</v>
      </c>
      <c r="G9" s="715">
        <f>'6c- ADIT BOY'!E54</f>
        <v>-10475927.171100002</v>
      </c>
      <c r="H9" s="715">
        <f>E9*G9</f>
        <v>-10475927.171100002</v>
      </c>
      <c r="I9" s="28">
        <f>'6c- ADIT BOY'!F50</f>
        <v>0</v>
      </c>
      <c r="J9" s="28">
        <f>I9*E9</f>
        <v>0</v>
      </c>
      <c r="K9" s="28">
        <f>'6c- ADIT BOY'!G50</f>
        <v>0</v>
      </c>
      <c r="L9" s="28">
        <f>E9*K9</f>
        <v>0</v>
      </c>
      <c r="M9" s="734"/>
      <c r="N9" s="734"/>
      <c r="O9" s="734"/>
      <c r="P9" s="734"/>
      <c r="Q9" s="734"/>
    </row>
    <row r="10" spans="1:20" ht="20.100000000000001" customHeight="1">
      <c r="A10" s="714">
        <f t="shared" ref="A10:A22" si="0">+A9+1</f>
        <v>2</v>
      </c>
      <c r="B10" s="703" t="s">
        <v>728</v>
      </c>
      <c r="C10" s="705" t="s">
        <v>304</v>
      </c>
      <c r="D10" s="735">
        <v>0</v>
      </c>
      <c r="E10" s="736">
        <f>335/365</f>
        <v>0.9178082191780822</v>
      </c>
      <c r="F10" s="234">
        <f>G10</f>
        <v>-273020.56247083336</v>
      </c>
      <c r="G10" s="234">
        <v>-273020.56247083336</v>
      </c>
      <c r="H10" s="715">
        <f t="shared" ref="H10:H21" si="1">E10*G10</f>
        <v>-250580.5162403539</v>
      </c>
      <c r="I10" s="737"/>
      <c r="J10" s="28">
        <f t="shared" ref="J10:J21" si="2">I10*E10</f>
        <v>0</v>
      </c>
      <c r="K10" s="737"/>
      <c r="L10" s="28">
        <f t="shared" ref="L10:L21" si="3">E10*K10</f>
        <v>0</v>
      </c>
      <c r="M10" s="738"/>
      <c r="N10" s="739"/>
      <c r="O10" s="734"/>
      <c r="P10" s="734"/>
      <c r="Q10" s="734"/>
      <c r="R10" s="740"/>
    </row>
    <row r="11" spans="1:20" ht="20.100000000000001" customHeight="1">
      <c r="A11" s="714">
        <f t="shared" si="0"/>
        <v>3</v>
      </c>
      <c r="B11" s="703" t="s">
        <v>728</v>
      </c>
      <c r="C11" s="705" t="s">
        <v>306</v>
      </c>
      <c r="D11" s="735">
        <f>+D10</f>
        <v>0</v>
      </c>
      <c r="E11" s="736">
        <f>307/365</f>
        <v>0.84109589041095889</v>
      </c>
      <c r="F11" s="234">
        <f t="shared" ref="F11:F21" si="4">G11</f>
        <v>-273020.56247083336</v>
      </c>
      <c r="G11" s="234">
        <v>-273020.56247083336</v>
      </c>
      <c r="H11" s="715">
        <f t="shared" si="1"/>
        <v>-229636.4730919064</v>
      </c>
      <c r="I11" s="737"/>
      <c r="J11" s="28">
        <f t="shared" si="2"/>
        <v>0</v>
      </c>
      <c r="K11" s="737"/>
      <c r="L11" s="28">
        <f t="shared" si="3"/>
        <v>0</v>
      </c>
      <c r="M11" s="738"/>
      <c r="N11" s="738"/>
      <c r="O11" s="734"/>
      <c r="P11" s="734"/>
      <c r="Q11" s="734"/>
      <c r="R11" s="740"/>
    </row>
    <row r="12" spans="1:20" ht="20.100000000000001" customHeight="1">
      <c r="A12" s="714">
        <f t="shared" si="0"/>
        <v>4</v>
      </c>
      <c r="B12" s="703" t="s">
        <v>728</v>
      </c>
      <c r="C12" s="705" t="s">
        <v>307</v>
      </c>
      <c r="D12" s="735">
        <f t="shared" ref="D12:D21" si="5">+D11</f>
        <v>0</v>
      </c>
      <c r="E12" s="736">
        <f>276/365</f>
        <v>0.75616438356164384</v>
      </c>
      <c r="F12" s="234">
        <f t="shared" si="4"/>
        <v>-273020.56247083336</v>
      </c>
      <c r="G12" s="234">
        <v>-273020.56247083336</v>
      </c>
      <c r="H12" s="715">
        <f t="shared" si="1"/>
        <v>-206448.42532041098</v>
      </c>
      <c r="I12" s="737"/>
      <c r="J12" s="28">
        <f t="shared" si="2"/>
        <v>0</v>
      </c>
      <c r="K12" s="737"/>
      <c r="L12" s="28">
        <f t="shared" si="3"/>
        <v>0</v>
      </c>
      <c r="M12" s="738"/>
      <c r="N12" s="738"/>
      <c r="O12" s="734"/>
      <c r="P12" s="734"/>
      <c r="Q12" s="734"/>
      <c r="R12" s="740"/>
    </row>
    <row r="13" spans="1:20" ht="20.100000000000001" customHeight="1">
      <c r="A13" s="714">
        <f t="shared" si="0"/>
        <v>5</v>
      </c>
      <c r="B13" s="703" t="s">
        <v>728</v>
      </c>
      <c r="C13" s="705" t="s">
        <v>308</v>
      </c>
      <c r="D13" s="735">
        <f t="shared" si="5"/>
        <v>0</v>
      </c>
      <c r="E13" s="736">
        <f>246/365</f>
        <v>0.67397260273972603</v>
      </c>
      <c r="F13" s="234">
        <f t="shared" si="4"/>
        <v>-273020.56247083336</v>
      </c>
      <c r="G13" s="234">
        <v>-273020.56247083336</v>
      </c>
      <c r="H13" s="715">
        <f t="shared" si="1"/>
        <v>-184008.37908993152</v>
      </c>
      <c r="I13" s="737"/>
      <c r="J13" s="28">
        <f t="shared" si="2"/>
        <v>0</v>
      </c>
      <c r="K13" s="737"/>
      <c r="L13" s="28">
        <f t="shared" si="3"/>
        <v>0</v>
      </c>
      <c r="M13" s="738"/>
      <c r="N13" s="738"/>
      <c r="O13" s="734"/>
      <c r="P13" s="734"/>
      <c r="Q13" s="734"/>
      <c r="R13" s="740"/>
    </row>
    <row r="14" spans="1:20" ht="20.100000000000001" customHeight="1">
      <c r="A14" s="714">
        <f t="shared" si="0"/>
        <v>6</v>
      </c>
      <c r="B14" s="703" t="s">
        <v>728</v>
      </c>
      <c r="C14" s="705" t="s">
        <v>309</v>
      </c>
      <c r="D14" s="735">
        <f t="shared" si="5"/>
        <v>0</v>
      </c>
      <c r="E14" s="736">
        <f>215/365</f>
        <v>0.58904109589041098</v>
      </c>
      <c r="F14" s="234">
        <f t="shared" si="4"/>
        <v>-273020.56247083336</v>
      </c>
      <c r="G14" s="234">
        <v>-273020.56247083336</v>
      </c>
      <c r="H14" s="715">
        <f t="shared" si="1"/>
        <v>-160820.3313184361</v>
      </c>
      <c r="I14" s="737"/>
      <c r="J14" s="28">
        <f t="shared" si="2"/>
        <v>0</v>
      </c>
      <c r="K14" s="737"/>
      <c r="L14" s="28">
        <f t="shared" si="3"/>
        <v>0</v>
      </c>
      <c r="M14" s="738"/>
      <c r="N14" s="738"/>
      <c r="O14" s="734"/>
      <c r="P14" s="734"/>
      <c r="Q14" s="734"/>
      <c r="R14" s="740"/>
    </row>
    <row r="15" spans="1:20" ht="20.100000000000001" customHeight="1">
      <c r="A15" s="714">
        <f t="shared" si="0"/>
        <v>7</v>
      </c>
      <c r="B15" s="703" t="s">
        <v>728</v>
      </c>
      <c r="C15" s="705" t="s">
        <v>471</v>
      </c>
      <c r="D15" s="735">
        <f t="shared" si="5"/>
        <v>0</v>
      </c>
      <c r="E15" s="736">
        <f>185/365</f>
        <v>0.50684931506849318</v>
      </c>
      <c r="F15" s="234">
        <f t="shared" si="4"/>
        <v>-273020.56247083336</v>
      </c>
      <c r="G15" s="234">
        <v>-273020.56247083336</v>
      </c>
      <c r="H15" s="715">
        <f t="shared" si="1"/>
        <v>-138380.28508795664</v>
      </c>
      <c r="I15" s="737"/>
      <c r="J15" s="28">
        <f t="shared" si="2"/>
        <v>0</v>
      </c>
      <c r="K15" s="737"/>
      <c r="L15" s="28">
        <f t="shared" si="3"/>
        <v>0</v>
      </c>
      <c r="M15" s="738"/>
      <c r="N15" s="738"/>
      <c r="O15" s="734"/>
      <c r="P15" s="734"/>
      <c r="Q15" s="734"/>
      <c r="R15" s="740"/>
    </row>
    <row r="16" spans="1:20" ht="20.100000000000001" customHeight="1">
      <c r="A16" s="714">
        <f t="shared" si="0"/>
        <v>8</v>
      </c>
      <c r="B16" s="703" t="s">
        <v>728</v>
      </c>
      <c r="C16" s="705" t="s">
        <v>311</v>
      </c>
      <c r="D16" s="735">
        <f t="shared" si="5"/>
        <v>0</v>
      </c>
      <c r="E16" s="736">
        <f>154/365</f>
        <v>0.42191780821917807</v>
      </c>
      <c r="F16" s="234">
        <f t="shared" si="4"/>
        <v>-273020.56247083336</v>
      </c>
      <c r="G16" s="234">
        <v>-273020.56247083336</v>
      </c>
      <c r="H16" s="715">
        <f t="shared" si="1"/>
        <v>-115192.23731646119</v>
      </c>
      <c r="I16" s="737"/>
      <c r="J16" s="28">
        <f t="shared" si="2"/>
        <v>0</v>
      </c>
      <c r="K16" s="737"/>
      <c r="L16" s="28">
        <f t="shared" si="3"/>
        <v>0</v>
      </c>
      <c r="M16" s="738"/>
      <c r="N16" s="738"/>
      <c r="O16" s="741"/>
      <c r="P16" s="734"/>
      <c r="Q16" s="738"/>
      <c r="R16" s="740"/>
    </row>
    <row r="17" spans="1:20" ht="20.100000000000001" customHeight="1">
      <c r="A17" s="714">
        <f t="shared" si="0"/>
        <v>9</v>
      </c>
      <c r="B17" s="703" t="s">
        <v>728</v>
      </c>
      <c r="C17" s="705" t="s">
        <v>312</v>
      </c>
      <c r="D17" s="735">
        <f t="shared" si="5"/>
        <v>0</v>
      </c>
      <c r="E17" s="736">
        <f>123/365</f>
        <v>0.33698630136986302</v>
      </c>
      <c r="F17" s="234">
        <f t="shared" si="4"/>
        <v>-273020.56247083336</v>
      </c>
      <c r="G17" s="234">
        <v>-273020.56247083336</v>
      </c>
      <c r="H17" s="715">
        <f t="shared" si="1"/>
        <v>-92004.18954496576</v>
      </c>
      <c r="I17" s="737"/>
      <c r="J17" s="28">
        <f t="shared" si="2"/>
        <v>0</v>
      </c>
      <c r="K17" s="737"/>
      <c r="L17" s="28">
        <f t="shared" si="3"/>
        <v>0</v>
      </c>
      <c r="M17" s="738"/>
      <c r="N17" s="738"/>
      <c r="O17" s="741"/>
      <c r="P17" s="734"/>
      <c r="Q17" s="738"/>
      <c r="R17" s="740"/>
    </row>
    <row r="18" spans="1:20" ht="20.100000000000001" customHeight="1">
      <c r="A18" s="714">
        <f t="shared" si="0"/>
        <v>10</v>
      </c>
      <c r="B18" s="703" t="s">
        <v>728</v>
      </c>
      <c r="C18" s="705" t="s">
        <v>313</v>
      </c>
      <c r="D18" s="735">
        <f t="shared" si="5"/>
        <v>0</v>
      </c>
      <c r="E18" s="736">
        <f>93/365</f>
        <v>0.25479452054794521</v>
      </c>
      <c r="F18" s="234">
        <f t="shared" si="4"/>
        <v>-273020.56247083336</v>
      </c>
      <c r="G18" s="234">
        <v>-273020.56247083336</v>
      </c>
      <c r="H18" s="715">
        <f t="shared" si="1"/>
        <v>-69564.143314486311</v>
      </c>
      <c r="I18" s="737"/>
      <c r="J18" s="28">
        <f t="shared" si="2"/>
        <v>0</v>
      </c>
      <c r="K18" s="737"/>
      <c r="L18" s="28">
        <f t="shared" si="3"/>
        <v>0</v>
      </c>
      <c r="M18" s="738"/>
      <c r="N18" s="738"/>
      <c r="O18" s="741"/>
      <c r="P18" s="734"/>
      <c r="Q18" s="738"/>
      <c r="R18" s="740"/>
    </row>
    <row r="19" spans="1:20" ht="20.100000000000001" customHeight="1">
      <c r="A19" s="714">
        <f t="shared" si="0"/>
        <v>11</v>
      </c>
      <c r="B19" s="703" t="s">
        <v>728</v>
      </c>
      <c r="C19" s="705" t="s">
        <v>320</v>
      </c>
      <c r="D19" s="735">
        <f t="shared" si="5"/>
        <v>0</v>
      </c>
      <c r="E19" s="736">
        <f>62/365</f>
        <v>0.16986301369863013</v>
      </c>
      <c r="F19" s="234">
        <f t="shared" si="4"/>
        <v>-273020.56247083336</v>
      </c>
      <c r="G19" s="234">
        <v>-273020.56247083336</v>
      </c>
      <c r="H19" s="715">
        <f t="shared" si="1"/>
        <v>-46376.095542990872</v>
      </c>
      <c r="I19" s="737"/>
      <c r="J19" s="28">
        <f t="shared" si="2"/>
        <v>0</v>
      </c>
      <c r="K19" s="737"/>
      <c r="L19" s="28">
        <f t="shared" si="3"/>
        <v>0</v>
      </c>
      <c r="M19" s="738"/>
      <c r="N19" s="738"/>
      <c r="O19" s="741"/>
      <c r="P19" s="734"/>
      <c r="Q19" s="738"/>
      <c r="R19" s="740"/>
    </row>
    <row r="20" spans="1:20" ht="20.100000000000001" customHeight="1">
      <c r="A20" s="714">
        <f t="shared" si="0"/>
        <v>12</v>
      </c>
      <c r="B20" s="703" t="s">
        <v>728</v>
      </c>
      <c r="C20" s="705" t="s">
        <v>315</v>
      </c>
      <c r="D20" s="735">
        <f t="shared" si="5"/>
        <v>0</v>
      </c>
      <c r="E20" s="736">
        <f>32/365</f>
        <v>8.7671232876712329E-2</v>
      </c>
      <c r="F20" s="234">
        <f t="shared" si="4"/>
        <v>-273020.56247083336</v>
      </c>
      <c r="G20" s="234">
        <v>-273020.56247083336</v>
      </c>
      <c r="H20" s="715">
        <f>E20*G20</f>
        <v>-23936.049312511419</v>
      </c>
      <c r="I20" s="737"/>
      <c r="J20" s="28">
        <f t="shared" si="2"/>
        <v>0</v>
      </c>
      <c r="K20" s="737"/>
      <c r="L20" s="28">
        <f t="shared" si="3"/>
        <v>0</v>
      </c>
      <c r="M20" s="738"/>
      <c r="N20" s="738"/>
      <c r="O20" s="741"/>
      <c r="P20" s="734"/>
      <c r="Q20" s="738"/>
      <c r="R20" s="740"/>
    </row>
    <row r="21" spans="1:20" ht="20.100000000000001" customHeight="1">
      <c r="A21" s="714">
        <f t="shared" si="0"/>
        <v>13</v>
      </c>
      <c r="B21" s="703" t="s">
        <v>728</v>
      </c>
      <c r="C21" s="705" t="s">
        <v>302</v>
      </c>
      <c r="D21" s="735">
        <f t="shared" si="5"/>
        <v>0</v>
      </c>
      <c r="E21" s="736">
        <f>1/365</f>
        <v>2.7397260273972603E-3</v>
      </c>
      <c r="F21" s="234">
        <f t="shared" si="4"/>
        <v>-273020.56247083336</v>
      </c>
      <c r="G21" s="234">
        <v>-273020.56247083336</v>
      </c>
      <c r="H21" s="715">
        <f t="shared" si="1"/>
        <v>-748.00154101598184</v>
      </c>
      <c r="I21" s="737"/>
      <c r="J21" s="28">
        <f t="shared" si="2"/>
        <v>0</v>
      </c>
      <c r="K21" s="737"/>
      <c r="L21" s="28">
        <f t="shared" si="3"/>
        <v>0</v>
      </c>
      <c r="M21" s="738"/>
      <c r="N21" s="738"/>
      <c r="O21" s="741"/>
      <c r="P21" s="734"/>
      <c r="Q21" s="738"/>
      <c r="R21" s="740"/>
    </row>
    <row r="22" spans="1:20" ht="20.100000000000001" customHeight="1">
      <c r="A22" s="714">
        <f t="shared" si="0"/>
        <v>14</v>
      </c>
      <c r="B22" s="703" t="s">
        <v>729</v>
      </c>
      <c r="F22" s="715">
        <f>SUM(F9:F21)</f>
        <v>-3276246.7496500001</v>
      </c>
      <c r="G22" s="715">
        <f>SUM(G9:G21)</f>
        <v>-13752173.920749996</v>
      </c>
      <c r="H22" s="715">
        <f>SUM(H9:H21)</f>
        <v>-11993622.29782143</v>
      </c>
      <c r="I22" s="28">
        <f>SUM(I9:I21)</f>
        <v>0</v>
      </c>
      <c r="J22" s="28">
        <f t="shared" ref="J22:L22" si="6">SUM(J9:J21)</f>
        <v>0</v>
      </c>
      <c r="K22" s="28">
        <f>SUM(K9:K21)</f>
        <v>0</v>
      </c>
      <c r="L22" s="28">
        <f t="shared" si="6"/>
        <v>0</v>
      </c>
    </row>
    <row r="23" spans="1:20">
      <c r="A23" s="714"/>
      <c r="G23" s="742">
        <f>G22-'6d- ADIT EOY'!E50</f>
        <v>0</v>
      </c>
      <c r="I23" s="727">
        <f>I22-'6d- ADIT EOY'!F50</f>
        <v>0</v>
      </c>
      <c r="K23" s="727">
        <f>K22-'6d- ADIT EOY'!G50</f>
        <v>0</v>
      </c>
    </row>
    <row r="24" spans="1:20">
      <c r="A24" s="705" t="s">
        <v>730</v>
      </c>
      <c r="D24" s="732"/>
      <c r="E24" s="704"/>
      <c r="F24" s="704"/>
      <c r="G24" s="704"/>
      <c r="T24" s="708"/>
    </row>
    <row r="25" spans="1:20" ht="20.100000000000001" customHeight="1">
      <c r="A25" s="714">
        <f>A22+1</f>
        <v>15</v>
      </c>
      <c r="B25" s="703" t="s">
        <v>731</v>
      </c>
      <c r="C25" s="705" t="s">
        <v>302</v>
      </c>
      <c r="D25" s="735" t="s">
        <v>704</v>
      </c>
      <c r="E25" s="736">
        <f>365/365</f>
        <v>1</v>
      </c>
      <c r="F25" s="717">
        <f>'6c- ADIT BOY'!C74</f>
        <v>0</v>
      </c>
      <c r="G25" s="715">
        <f>'6c- ADIT BOY'!E74</f>
        <v>0</v>
      </c>
      <c r="H25" s="715">
        <f>E25*G25</f>
        <v>0</v>
      </c>
      <c r="I25" s="28">
        <f>'6c- ADIT BOY'!F74</f>
        <v>0</v>
      </c>
      <c r="J25" s="28">
        <f>I25*E25</f>
        <v>0</v>
      </c>
      <c r="K25" s="28">
        <f>'6c- ADIT BOY'!G74</f>
        <v>0</v>
      </c>
      <c r="L25" s="28">
        <f>E25*K25</f>
        <v>0</v>
      </c>
    </row>
    <row r="26" spans="1:20" ht="20.100000000000001" customHeight="1">
      <c r="A26" s="714">
        <f t="shared" ref="A26:A38" si="7">+A25+1</f>
        <v>16</v>
      </c>
      <c r="B26" s="703" t="s">
        <v>728</v>
      </c>
      <c r="C26" s="705" t="s">
        <v>304</v>
      </c>
      <c r="D26" s="735" t="s">
        <v>704</v>
      </c>
      <c r="E26" s="736">
        <f>335/365</f>
        <v>0.9178082191780822</v>
      </c>
      <c r="F26" s="743">
        <v>0</v>
      </c>
      <c r="G26" s="234">
        <v>0</v>
      </c>
      <c r="H26" s="715">
        <f>E26*G26</f>
        <v>0</v>
      </c>
      <c r="I26" s="234"/>
      <c r="J26" s="28">
        <f t="shared" ref="J26:J37" si="8">I26*E26</f>
        <v>0</v>
      </c>
      <c r="K26" s="234"/>
      <c r="L26" s="28">
        <f t="shared" ref="L26:L37" si="9">E26*K26</f>
        <v>0</v>
      </c>
    </row>
    <row r="27" spans="1:20" ht="20.100000000000001" customHeight="1">
      <c r="A27" s="714">
        <f t="shared" si="7"/>
        <v>17</v>
      </c>
      <c r="B27" s="703" t="s">
        <v>728</v>
      </c>
      <c r="C27" s="705" t="s">
        <v>306</v>
      </c>
      <c r="D27" s="735" t="s">
        <v>704</v>
      </c>
      <c r="E27" s="736">
        <f>307/365</f>
        <v>0.84109589041095889</v>
      </c>
      <c r="F27" s="743">
        <v>0</v>
      </c>
      <c r="G27" s="234">
        <v>0</v>
      </c>
      <c r="H27" s="715">
        <f t="shared" ref="H27:H37" si="10">E27*G27</f>
        <v>0</v>
      </c>
      <c r="I27" s="234"/>
      <c r="J27" s="28">
        <f t="shared" si="8"/>
        <v>0</v>
      </c>
      <c r="K27" s="234"/>
      <c r="L27" s="28">
        <f t="shared" si="9"/>
        <v>0</v>
      </c>
    </row>
    <row r="28" spans="1:20" ht="20.100000000000001" customHeight="1">
      <c r="A28" s="714">
        <f t="shared" si="7"/>
        <v>18</v>
      </c>
      <c r="B28" s="703" t="s">
        <v>728</v>
      </c>
      <c r="C28" s="705" t="s">
        <v>307</v>
      </c>
      <c r="D28" s="735" t="s">
        <v>704</v>
      </c>
      <c r="E28" s="736">
        <f>276/365</f>
        <v>0.75616438356164384</v>
      </c>
      <c r="F28" s="743">
        <v>0</v>
      </c>
      <c r="G28" s="234">
        <v>0</v>
      </c>
      <c r="H28" s="715">
        <f t="shared" si="10"/>
        <v>0</v>
      </c>
      <c r="I28" s="234"/>
      <c r="J28" s="28">
        <f t="shared" si="8"/>
        <v>0</v>
      </c>
      <c r="K28" s="234"/>
      <c r="L28" s="28">
        <f t="shared" si="9"/>
        <v>0</v>
      </c>
    </row>
    <row r="29" spans="1:20" ht="20.100000000000001" customHeight="1">
      <c r="A29" s="714">
        <f t="shared" si="7"/>
        <v>19</v>
      </c>
      <c r="B29" s="703" t="s">
        <v>728</v>
      </c>
      <c r="C29" s="705" t="s">
        <v>308</v>
      </c>
      <c r="D29" s="735" t="s">
        <v>704</v>
      </c>
      <c r="E29" s="736">
        <f>246/365</f>
        <v>0.67397260273972603</v>
      </c>
      <c r="F29" s="743">
        <v>0</v>
      </c>
      <c r="G29" s="234">
        <v>0</v>
      </c>
      <c r="H29" s="715">
        <f t="shared" si="10"/>
        <v>0</v>
      </c>
      <c r="I29" s="234"/>
      <c r="J29" s="28">
        <f t="shared" si="8"/>
        <v>0</v>
      </c>
      <c r="K29" s="234"/>
      <c r="L29" s="28">
        <f t="shared" si="9"/>
        <v>0</v>
      </c>
    </row>
    <row r="30" spans="1:20" ht="20.100000000000001" customHeight="1">
      <c r="A30" s="714">
        <f t="shared" si="7"/>
        <v>20</v>
      </c>
      <c r="B30" s="703" t="s">
        <v>728</v>
      </c>
      <c r="C30" s="705" t="s">
        <v>309</v>
      </c>
      <c r="D30" s="735" t="s">
        <v>704</v>
      </c>
      <c r="E30" s="736">
        <f>215/365</f>
        <v>0.58904109589041098</v>
      </c>
      <c r="F30" s="743">
        <v>0</v>
      </c>
      <c r="G30" s="234">
        <v>0</v>
      </c>
      <c r="H30" s="715">
        <f t="shared" si="10"/>
        <v>0</v>
      </c>
      <c r="I30" s="234"/>
      <c r="J30" s="28">
        <f t="shared" si="8"/>
        <v>0</v>
      </c>
      <c r="K30" s="234"/>
      <c r="L30" s="28">
        <f t="shared" si="9"/>
        <v>0</v>
      </c>
    </row>
    <row r="31" spans="1:20" ht="20.100000000000001" customHeight="1">
      <c r="A31" s="714">
        <f t="shared" si="7"/>
        <v>21</v>
      </c>
      <c r="B31" s="703" t="s">
        <v>728</v>
      </c>
      <c r="C31" s="705" t="s">
        <v>471</v>
      </c>
      <c r="D31" s="735" t="s">
        <v>704</v>
      </c>
      <c r="E31" s="736">
        <f>185/365</f>
        <v>0.50684931506849318</v>
      </c>
      <c r="F31" s="743">
        <v>0</v>
      </c>
      <c r="G31" s="234">
        <v>0</v>
      </c>
      <c r="H31" s="715">
        <f t="shared" si="10"/>
        <v>0</v>
      </c>
      <c r="I31" s="234"/>
      <c r="J31" s="28">
        <f t="shared" si="8"/>
        <v>0</v>
      </c>
      <c r="K31" s="234"/>
      <c r="L31" s="28">
        <f t="shared" si="9"/>
        <v>0</v>
      </c>
    </row>
    <row r="32" spans="1:20" ht="20.100000000000001" customHeight="1">
      <c r="A32" s="714">
        <f t="shared" si="7"/>
        <v>22</v>
      </c>
      <c r="B32" s="703" t="s">
        <v>728</v>
      </c>
      <c r="C32" s="705" t="s">
        <v>311</v>
      </c>
      <c r="D32" s="735" t="s">
        <v>704</v>
      </c>
      <c r="E32" s="736">
        <f>154/365</f>
        <v>0.42191780821917807</v>
      </c>
      <c r="F32" s="743">
        <v>0</v>
      </c>
      <c r="G32" s="234">
        <v>0</v>
      </c>
      <c r="H32" s="715">
        <f t="shared" si="10"/>
        <v>0</v>
      </c>
      <c r="I32" s="234"/>
      <c r="J32" s="28">
        <f t="shared" si="8"/>
        <v>0</v>
      </c>
      <c r="K32" s="234"/>
      <c r="L32" s="28">
        <f t="shared" si="9"/>
        <v>0</v>
      </c>
    </row>
    <row r="33" spans="1:20" ht="20.100000000000001" customHeight="1">
      <c r="A33" s="714">
        <f t="shared" si="7"/>
        <v>23</v>
      </c>
      <c r="B33" s="703" t="s">
        <v>728</v>
      </c>
      <c r="C33" s="705" t="s">
        <v>312</v>
      </c>
      <c r="D33" s="735" t="s">
        <v>704</v>
      </c>
      <c r="E33" s="736">
        <f>123/365</f>
        <v>0.33698630136986302</v>
      </c>
      <c r="F33" s="743">
        <v>0</v>
      </c>
      <c r="G33" s="234">
        <v>0</v>
      </c>
      <c r="H33" s="715">
        <f t="shared" si="10"/>
        <v>0</v>
      </c>
      <c r="I33" s="234"/>
      <c r="J33" s="28">
        <f t="shared" si="8"/>
        <v>0</v>
      </c>
      <c r="K33" s="234"/>
      <c r="L33" s="28">
        <f t="shared" si="9"/>
        <v>0</v>
      </c>
    </row>
    <row r="34" spans="1:20" ht="20.100000000000001" customHeight="1">
      <c r="A34" s="714">
        <f t="shared" si="7"/>
        <v>24</v>
      </c>
      <c r="B34" s="703" t="s">
        <v>728</v>
      </c>
      <c r="C34" s="705" t="s">
        <v>313</v>
      </c>
      <c r="D34" s="735" t="s">
        <v>704</v>
      </c>
      <c r="E34" s="736">
        <f>93/365</f>
        <v>0.25479452054794521</v>
      </c>
      <c r="F34" s="743">
        <v>0</v>
      </c>
      <c r="G34" s="234">
        <v>0</v>
      </c>
      <c r="H34" s="715">
        <f t="shared" si="10"/>
        <v>0</v>
      </c>
      <c r="I34" s="234"/>
      <c r="J34" s="28">
        <f t="shared" si="8"/>
        <v>0</v>
      </c>
      <c r="K34" s="234"/>
      <c r="L34" s="28">
        <f t="shared" si="9"/>
        <v>0</v>
      </c>
    </row>
    <row r="35" spans="1:20" ht="20.100000000000001" customHeight="1">
      <c r="A35" s="714">
        <f t="shared" si="7"/>
        <v>25</v>
      </c>
      <c r="B35" s="703" t="s">
        <v>728</v>
      </c>
      <c r="C35" s="705" t="s">
        <v>320</v>
      </c>
      <c r="D35" s="735" t="s">
        <v>704</v>
      </c>
      <c r="E35" s="736">
        <f>62/365</f>
        <v>0.16986301369863013</v>
      </c>
      <c r="F35" s="743">
        <v>0</v>
      </c>
      <c r="G35" s="234">
        <v>0</v>
      </c>
      <c r="H35" s="715">
        <f t="shared" si="10"/>
        <v>0</v>
      </c>
      <c r="I35" s="234"/>
      <c r="J35" s="28">
        <f t="shared" si="8"/>
        <v>0</v>
      </c>
      <c r="K35" s="234"/>
      <c r="L35" s="28">
        <f t="shared" si="9"/>
        <v>0</v>
      </c>
    </row>
    <row r="36" spans="1:20" ht="20.100000000000001" customHeight="1">
      <c r="A36" s="714">
        <f t="shared" si="7"/>
        <v>26</v>
      </c>
      <c r="B36" s="703" t="s">
        <v>728</v>
      </c>
      <c r="C36" s="705" t="s">
        <v>315</v>
      </c>
      <c r="D36" s="735" t="s">
        <v>704</v>
      </c>
      <c r="E36" s="736">
        <f>32/365</f>
        <v>8.7671232876712329E-2</v>
      </c>
      <c r="F36" s="743">
        <v>0</v>
      </c>
      <c r="G36" s="234">
        <v>0</v>
      </c>
      <c r="H36" s="715">
        <f t="shared" si="10"/>
        <v>0</v>
      </c>
      <c r="I36" s="234"/>
      <c r="J36" s="28">
        <f t="shared" si="8"/>
        <v>0</v>
      </c>
      <c r="K36" s="234"/>
      <c r="L36" s="28">
        <f t="shared" si="9"/>
        <v>0</v>
      </c>
    </row>
    <row r="37" spans="1:20" ht="20.100000000000001" customHeight="1">
      <c r="A37" s="714">
        <f t="shared" si="7"/>
        <v>27</v>
      </c>
      <c r="B37" s="703" t="s">
        <v>728</v>
      </c>
      <c r="C37" s="705" t="s">
        <v>302</v>
      </c>
      <c r="D37" s="735" t="s">
        <v>704</v>
      </c>
      <c r="E37" s="736">
        <f>1/365</f>
        <v>2.7397260273972603E-3</v>
      </c>
      <c r="F37" s="743">
        <v>0</v>
      </c>
      <c r="G37" s="234">
        <v>0</v>
      </c>
      <c r="H37" s="715">
        <f t="shared" si="10"/>
        <v>0</v>
      </c>
      <c r="I37" s="234"/>
      <c r="J37" s="28">
        <f t="shared" si="8"/>
        <v>0</v>
      </c>
      <c r="K37" s="234"/>
      <c r="L37" s="28">
        <f t="shared" si="9"/>
        <v>0</v>
      </c>
    </row>
    <row r="38" spans="1:20" ht="20.100000000000001" customHeight="1">
      <c r="A38" s="714">
        <f t="shared" si="7"/>
        <v>28</v>
      </c>
      <c r="B38" s="703" t="s">
        <v>732</v>
      </c>
      <c r="F38" s="718">
        <f>SUM(F25:F37)</f>
        <v>0</v>
      </c>
      <c r="G38" s="715">
        <f>SUM(G25:G37)</f>
        <v>0</v>
      </c>
      <c r="H38" s="715">
        <f t="shared" ref="H38:L38" si="11">SUM(H25:H37)</f>
        <v>0</v>
      </c>
      <c r="I38" s="28">
        <f t="shared" si="11"/>
        <v>0</v>
      </c>
      <c r="J38" s="28">
        <f t="shared" si="11"/>
        <v>0</v>
      </c>
      <c r="K38" s="28">
        <f>SUM(K25:K37)</f>
        <v>0</v>
      </c>
      <c r="L38" s="28">
        <f t="shared" si="11"/>
        <v>0</v>
      </c>
    </row>
    <row r="39" spans="1:20">
      <c r="A39" s="714"/>
      <c r="F39" s="718"/>
      <c r="G39" s="715">
        <f>G38-'6d- ADIT EOY'!E74</f>
        <v>0</v>
      </c>
      <c r="H39" s="715"/>
      <c r="I39" s="28">
        <f>I38-'6d- ADIT EOY'!F74</f>
        <v>0</v>
      </c>
      <c r="J39" s="29"/>
      <c r="K39" s="28">
        <f>K38-'6d- ADIT EOY'!G74</f>
        <v>0</v>
      </c>
      <c r="L39" s="29"/>
    </row>
    <row r="40" spans="1:20">
      <c r="A40" s="705" t="s">
        <v>733</v>
      </c>
      <c r="D40" s="732"/>
      <c r="E40" s="704"/>
      <c r="F40" s="704"/>
      <c r="G40" s="744"/>
      <c r="H40" s="715"/>
      <c r="I40" s="29"/>
      <c r="J40" s="38"/>
      <c r="K40" s="38"/>
      <c r="L40" s="38"/>
      <c r="T40" s="708"/>
    </row>
    <row r="41" spans="1:20" ht="20.100000000000001" customHeight="1">
      <c r="A41" s="714">
        <f>A38+1</f>
        <v>29</v>
      </c>
      <c r="B41" s="703" t="s">
        <v>734</v>
      </c>
      <c r="C41" s="705" t="s">
        <v>302</v>
      </c>
      <c r="D41" s="735" t="s">
        <v>704</v>
      </c>
      <c r="E41" s="736">
        <f>365/365</f>
        <v>1</v>
      </c>
      <c r="F41" s="717">
        <f>'6c- ADIT BOY'!C28</f>
        <v>0</v>
      </c>
      <c r="G41" s="715">
        <f>'6c- ADIT BOY'!E28</f>
        <v>0</v>
      </c>
      <c r="H41" s="715">
        <f t="shared" ref="H41:H53" si="12">E41*G41</f>
        <v>0</v>
      </c>
      <c r="I41" s="28">
        <f>'6c- ADIT BOY'!F28</f>
        <v>0</v>
      </c>
      <c r="J41" s="28">
        <f t="shared" ref="J41:J53" si="13">I41*E41</f>
        <v>0</v>
      </c>
      <c r="K41" s="28">
        <f>'6c- ADIT BOY'!G28</f>
        <v>0</v>
      </c>
      <c r="L41" s="28">
        <f t="shared" ref="L41:L53" si="14">E41*K41</f>
        <v>0</v>
      </c>
    </row>
    <row r="42" spans="1:20" ht="20.100000000000001" customHeight="1">
      <c r="A42" s="714">
        <f t="shared" ref="A42:A54" si="15">+A41+1</f>
        <v>30</v>
      </c>
      <c r="B42" s="703" t="s">
        <v>728</v>
      </c>
      <c r="C42" s="705" t="s">
        <v>304</v>
      </c>
      <c r="D42" s="735" t="s">
        <v>704</v>
      </c>
      <c r="E42" s="736">
        <f>335/365</f>
        <v>0.9178082191780822</v>
      </c>
      <c r="F42" s="743">
        <v>0</v>
      </c>
      <c r="G42" s="234">
        <v>0</v>
      </c>
      <c r="H42" s="715">
        <f>E42*G42</f>
        <v>0</v>
      </c>
      <c r="I42" s="737"/>
      <c r="J42" s="28">
        <f t="shared" si="13"/>
        <v>0</v>
      </c>
      <c r="K42" s="737"/>
      <c r="L42" s="28">
        <f>E42*K42</f>
        <v>0</v>
      </c>
    </row>
    <row r="43" spans="1:20" ht="20.100000000000001" customHeight="1">
      <c r="A43" s="714">
        <f t="shared" si="15"/>
        <v>31</v>
      </c>
      <c r="B43" s="703" t="s">
        <v>728</v>
      </c>
      <c r="C43" s="705" t="s">
        <v>306</v>
      </c>
      <c r="D43" s="735" t="s">
        <v>704</v>
      </c>
      <c r="E43" s="736">
        <f>307/365</f>
        <v>0.84109589041095889</v>
      </c>
      <c r="F43" s="743">
        <v>0</v>
      </c>
      <c r="G43" s="234">
        <v>0</v>
      </c>
      <c r="H43" s="715">
        <f t="shared" si="12"/>
        <v>0</v>
      </c>
      <c r="I43" s="737"/>
      <c r="J43" s="28">
        <f t="shared" si="13"/>
        <v>0</v>
      </c>
      <c r="K43" s="737"/>
      <c r="L43" s="28">
        <f t="shared" si="14"/>
        <v>0</v>
      </c>
    </row>
    <row r="44" spans="1:20" ht="20.100000000000001" customHeight="1">
      <c r="A44" s="714">
        <f t="shared" si="15"/>
        <v>32</v>
      </c>
      <c r="B44" s="703" t="s">
        <v>728</v>
      </c>
      <c r="C44" s="705" t="s">
        <v>307</v>
      </c>
      <c r="D44" s="735" t="s">
        <v>704</v>
      </c>
      <c r="E44" s="736">
        <f>276/365</f>
        <v>0.75616438356164384</v>
      </c>
      <c r="F44" s="743">
        <v>0</v>
      </c>
      <c r="G44" s="234">
        <v>0</v>
      </c>
      <c r="H44" s="715">
        <f t="shared" si="12"/>
        <v>0</v>
      </c>
      <c r="I44" s="737"/>
      <c r="J44" s="28">
        <f t="shared" si="13"/>
        <v>0</v>
      </c>
      <c r="K44" s="737"/>
      <c r="L44" s="28">
        <f t="shared" si="14"/>
        <v>0</v>
      </c>
    </row>
    <row r="45" spans="1:20" ht="20.100000000000001" customHeight="1">
      <c r="A45" s="714">
        <f t="shared" si="15"/>
        <v>33</v>
      </c>
      <c r="B45" s="703" t="s">
        <v>728</v>
      </c>
      <c r="C45" s="705" t="s">
        <v>308</v>
      </c>
      <c r="D45" s="735" t="s">
        <v>704</v>
      </c>
      <c r="E45" s="736">
        <f>246/365</f>
        <v>0.67397260273972603</v>
      </c>
      <c r="F45" s="743">
        <v>0</v>
      </c>
      <c r="G45" s="234">
        <v>0</v>
      </c>
      <c r="H45" s="715">
        <f t="shared" si="12"/>
        <v>0</v>
      </c>
      <c r="I45" s="737"/>
      <c r="J45" s="28">
        <f t="shared" si="13"/>
        <v>0</v>
      </c>
      <c r="K45" s="737"/>
      <c r="L45" s="28">
        <f t="shared" si="14"/>
        <v>0</v>
      </c>
    </row>
    <row r="46" spans="1:20" ht="20.100000000000001" customHeight="1">
      <c r="A46" s="714">
        <f t="shared" si="15"/>
        <v>34</v>
      </c>
      <c r="B46" s="703" t="s">
        <v>728</v>
      </c>
      <c r="C46" s="705" t="s">
        <v>309</v>
      </c>
      <c r="D46" s="735" t="s">
        <v>704</v>
      </c>
      <c r="E46" s="736">
        <f>215/365</f>
        <v>0.58904109589041098</v>
      </c>
      <c r="F46" s="743">
        <v>0</v>
      </c>
      <c r="G46" s="234">
        <v>0</v>
      </c>
      <c r="H46" s="715">
        <f t="shared" si="12"/>
        <v>0</v>
      </c>
      <c r="I46" s="737"/>
      <c r="J46" s="28">
        <f t="shared" si="13"/>
        <v>0</v>
      </c>
      <c r="K46" s="737"/>
      <c r="L46" s="28">
        <f t="shared" si="14"/>
        <v>0</v>
      </c>
    </row>
    <row r="47" spans="1:20" ht="20.100000000000001" customHeight="1">
      <c r="A47" s="714">
        <f t="shared" si="15"/>
        <v>35</v>
      </c>
      <c r="B47" s="703" t="s">
        <v>728</v>
      </c>
      <c r="C47" s="705" t="s">
        <v>471</v>
      </c>
      <c r="D47" s="735" t="s">
        <v>704</v>
      </c>
      <c r="E47" s="736">
        <f>185/365</f>
        <v>0.50684931506849318</v>
      </c>
      <c r="F47" s="743">
        <v>0</v>
      </c>
      <c r="G47" s="234">
        <v>0</v>
      </c>
      <c r="H47" s="715">
        <f t="shared" si="12"/>
        <v>0</v>
      </c>
      <c r="I47" s="737"/>
      <c r="J47" s="28">
        <f t="shared" si="13"/>
        <v>0</v>
      </c>
      <c r="K47" s="737"/>
      <c r="L47" s="28">
        <f t="shared" si="14"/>
        <v>0</v>
      </c>
    </row>
    <row r="48" spans="1:20" ht="20.100000000000001" customHeight="1">
      <c r="A48" s="714">
        <f t="shared" si="15"/>
        <v>36</v>
      </c>
      <c r="B48" s="703" t="s">
        <v>728</v>
      </c>
      <c r="C48" s="705" t="s">
        <v>311</v>
      </c>
      <c r="D48" s="735" t="s">
        <v>704</v>
      </c>
      <c r="E48" s="736">
        <f>154/365</f>
        <v>0.42191780821917807</v>
      </c>
      <c r="F48" s="743">
        <v>0</v>
      </c>
      <c r="G48" s="234">
        <v>0</v>
      </c>
      <c r="H48" s="715">
        <f t="shared" si="12"/>
        <v>0</v>
      </c>
      <c r="I48" s="737"/>
      <c r="J48" s="28">
        <f t="shared" si="13"/>
        <v>0</v>
      </c>
      <c r="K48" s="737"/>
      <c r="L48" s="28">
        <f t="shared" si="14"/>
        <v>0</v>
      </c>
    </row>
    <row r="49" spans="1:12" ht="20.100000000000001" customHeight="1">
      <c r="A49" s="714">
        <f t="shared" si="15"/>
        <v>37</v>
      </c>
      <c r="B49" s="703" t="s">
        <v>728</v>
      </c>
      <c r="C49" s="705" t="s">
        <v>312</v>
      </c>
      <c r="D49" s="735" t="s">
        <v>704</v>
      </c>
      <c r="E49" s="736">
        <f>123/365</f>
        <v>0.33698630136986302</v>
      </c>
      <c r="F49" s="743">
        <v>0</v>
      </c>
      <c r="G49" s="234">
        <v>0</v>
      </c>
      <c r="H49" s="715">
        <f t="shared" si="12"/>
        <v>0</v>
      </c>
      <c r="I49" s="737"/>
      <c r="J49" s="28">
        <f t="shared" si="13"/>
        <v>0</v>
      </c>
      <c r="K49" s="737"/>
      <c r="L49" s="28">
        <f t="shared" si="14"/>
        <v>0</v>
      </c>
    </row>
    <row r="50" spans="1:12" ht="20.100000000000001" customHeight="1">
      <c r="A50" s="714">
        <f t="shared" si="15"/>
        <v>38</v>
      </c>
      <c r="B50" s="703" t="s">
        <v>728</v>
      </c>
      <c r="C50" s="705" t="s">
        <v>313</v>
      </c>
      <c r="D50" s="735" t="s">
        <v>704</v>
      </c>
      <c r="E50" s="736">
        <f>93/365</f>
        <v>0.25479452054794521</v>
      </c>
      <c r="F50" s="743">
        <v>0</v>
      </c>
      <c r="G50" s="234">
        <v>0</v>
      </c>
      <c r="H50" s="715">
        <f t="shared" si="12"/>
        <v>0</v>
      </c>
      <c r="I50" s="737"/>
      <c r="J50" s="28">
        <f t="shared" si="13"/>
        <v>0</v>
      </c>
      <c r="K50" s="737"/>
      <c r="L50" s="28">
        <f t="shared" si="14"/>
        <v>0</v>
      </c>
    </row>
    <row r="51" spans="1:12" ht="20.100000000000001" customHeight="1">
      <c r="A51" s="714">
        <f t="shared" si="15"/>
        <v>39</v>
      </c>
      <c r="B51" s="703" t="s">
        <v>728</v>
      </c>
      <c r="C51" s="705" t="s">
        <v>320</v>
      </c>
      <c r="D51" s="735" t="s">
        <v>704</v>
      </c>
      <c r="E51" s="736">
        <f>62/365</f>
        <v>0.16986301369863013</v>
      </c>
      <c r="F51" s="743">
        <v>0</v>
      </c>
      <c r="G51" s="234">
        <v>0</v>
      </c>
      <c r="H51" s="715">
        <f t="shared" si="12"/>
        <v>0</v>
      </c>
      <c r="I51" s="737"/>
      <c r="J51" s="28">
        <f t="shared" si="13"/>
        <v>0</v>
      </c>
      <c r="K51" s="737"/>
      <c r="L51" s="28">
        <f t="shared" si="14"/>
        <v>0</v>
      </c>
    </row>
    <row r="52" spans="1:12" ht="20.100000000000001" customHeight="1">
      <c r="A52" s="714">
        <f t="shared" si="15"/>
        <v>40</v>
      </c>
      <c r="B52" s="703" t="s">
        <v>728</v>
      </c>
      <c r="C52" s="705" t="s">
        <v>315</v>
      </c>
      <c r="D52" s="735" t="s">
        <v>704</v>
      </c>
      <c r="E52" s="736">
        <f>32/365</f>
        <v>8.7671232876712329E-2</v>
      </c>
      <c r="F52" s="743">
        <v>0</v>
      </c>
      <c r="G52" s="234">
        <v>0</v>
      </c>
      <c r="H52" s="715">
        <f t="shared" si="12"/>
        <v>0</v>
      </c>
      <c r="I52" s="737"/>
      <c r="J52" s="28">
        <f t="shared" si="13"/>
        <v>0</v>
      </c>
      <c r="K52" s="737"/>
      <c r="L52" s="28">
        <f t="shared" si="14"/>
        <v>0</v>
      </c>
    </row>
    <row r="53" spans="1:12" ht="20.100000000000001" customHeight="1">
      <c r="A53" s="714">
        <f t="shared" si="15"/>
        <v>41</v>
      </c>
      <c r="B53" s="703" t="s">
        <v>728</v>
      </c>
      <c r="C53" s="705" t="s">
        <v>302</v>
      </c>
      <c r="D53" s="735" t="s">
        <v>704</v>
      </c>
      <c r="E53" s="736">
        <f>1/365</f>
        <v>2.7397260273972603E-3</v>
      </c>
      <c r="F53" s="743">
        <v>0</v>
      </c>
      <c r="G53" s="234">
        <v>0</v>
      </c>
      <c r="H53" s="715">
        <f t="shared" si="12"/>
        <v>0</v>
      </c>
      <c r="I53" s="737"/>
      <c r="J53" s="28">
        <f t="shared" si="13"/>
        <v>0</v>
      </c>
      <c r="K53" s="737"/>
      <c r="L53" s="28">
        <f t="shared" si="14"/>
        <v>0</v>
      </c>
    </row>
    <row r="54" spans="1:12" ht="20.100000000000001" customHeight="1">
      <c r="A54" s="714">
        <f t="shared" si="15"/>
        <v>42</v>
      </c>
      <c r="B54" s="703" t="s">
        <v>735</v>
      </c>
      <c r="F54" s="718">
        <f>SUM(F41:F53)</f>
        <v>0</v>
      </c>
      <c r="G54" s="715">
        <f>SUM(G41:G53)</f>
        <v>0</v>
      </c>
      <c r="H54" s="715">
        <f t="shared" ref="H54:L54" si="16">SUM(H41:H53)</f>
        <v>0</v>
      </c>
      <c r="I54" s="28">
        <f t="shared" si="16"/>
        <v>0</v>
      </c>
      <c r="J54" s="28">
        <f t="shared" si="16"/>
        <v>0</v>
      </c>
      <c r="K54" s="28">
        <f t="shared" si="16"/>
        <v>0</v>
      </c>
      <c r="L54" s="28">
        <f t="shared" si="16"/>
        <v>0</v>
      </c>
    </row>
    <row r="55" spans="1:12">
      <c r="B55" s="705"/>
      <c r="G55" s="742">
        <f>G54-'6d- ADIT EOY'!E28</f>
        <v>0</v>
      </c>
      <c r="I55" s="727">
        <f>I54-'6d- ADIT EOY'!F28</f>
        <v>0</v>
      </c>
      <c r="K55" s="727">
        <f>K54-'6d- ADIT EOY'!G28</f>
        <v>0</v>
      </c>
    </row>
    <row r="56" spans="1:12">
      <c r="B56" s="705"/>
    </row>
    <row r="57" spans="1:12" ht="15.75" customHeight="1">
      <c r="A57" s="745" t="s">
        <v>266</v>
      </c>
      <c r="B57" s="705" t="s">
        <v>736</v>
      </c>
    </row>
    <row r="58" spans="1:12">
      <c r="A58" s="745" t="s">
        <v>268</v>
      </c>
      <c r="B58" s="705" t="s">
        <v>737</v>
      </c>
      <c r="D58" s="732"/>
      <c r="E58" s="746"/>
      <c r="F58" s="746"/>
      <c r="G58" s="746"/>
      <c r="H58" s="746"/>
      <c r="I58" s="747"/>
    </row>
    <row r="59" spans="1:12">
      <c r="A59" s="748" t="s">
        <v>196</v>
      </c>
      <c r="B59" s="705" t="s">
        <v>738</v>
      </c>
      <c r="D59" s="732"/>
      <c r="E59" s="746"/>
      <c r="F59" s="746"/>
      <c r="G59" s="746"/>
      <c r="H59" s="746"/>
      <c r="I59" s="747"/>
    </row>
    <row r="60" spans="1:12">
      <c r="A60" s="748" t="s">
        <v>199</v>
      </c>
      <c r="B60" s="705" t="s">
        <v>739</v>
      </c>
      <c r="D60" s="732"/>
      <c r="E60" s="746"/>
      <c r="F60" s="746"/>
      <c r="G60" s="746"/>
      <c r="H60" s="746"/>
      <c r="I60" s="747"/>
    </row>
    <row r="61" spans="1:12">
      <c r="A61" s="748" t="s">
        <v>201</v>
      </c>
      <c r="B61" s="703" t="s">
        <v>740</v>
      </c>
      <c r="D61" s="732"/>
      <c r="E61" s="704"/>
    </row>
    <row r="62" spans="1:12">
      <c r="D62" s="749"/>
      <c r="E62" s="728"/>
    </row>
    <row r="63" spans="1:12">
      <c r="D63" s="749"/>
      <c r="E63" s="728"/>
    </row>
    <row r="64" spans="1:12">
      <c r="D64" s="749"/>
      <c r="E64" s="728"/>
    </row>
    <row r="65" spans="2:5">
      <c r="D65" s="749"/>
      <c r="E65" s="728"/>
    </row>
    <row r="66" spans="2:5">
      <c r="D66" s="749"/>
      <c r="E66" s="728"/>
    </row>
    <row r="67" spans="2:5">
      <c r="D67" s="749"/>
      <c r="E67" s="728"/>
    </row>
    <row r="68" spans="2:5">
      <c r="D68" s="749"/>
      <c r="E68" s="728"/>
    </row>
    <row r="69" spans="2:5">
      <c r="D69" s="749"/>
      <c r="E69" s="728"/>
    </row>
    <row r="70" spans="2:5">
      <c r="D70" s="749"/>
      <c r="E70" s="728"/>
    </row>
    <row r="71" spans="2:5">
      <c r="D71" s="749"/>
      <c r="E71" s="728"/>
    </row>
    <row r="72" spans="2:5">
      <c r="B72" s="705"/>
      <c r="D72" s="749"/>
      <c r="E72" s="728"/>
    </row>
    <row r="73" spans="2:5">
      <c r="D73" s="749"/>
      <c r="E73" s="728"/>
    </row>
    <row r="74" spans="2:5">
      <c r="B74" s="705"/>
      <c r="D74" s="749"/>
      <c r="E74" s="728"/>
    </row>
    <row r="178" spans="9:9">
      <c r="I178" s="729"/>
    </row>
  </sheetData>
  <mergeCells count="2">
    <mergeCell ref="A2:L2"/>
    <mergeCell ref="A3:L3"/>
  </mergeCells>
  <printOptions horizontalCentered="1"/>
  <pageMargins left="0.25" right="0.25" top="0.5" bottom="0.5" header="0.3" footer="0.3"/>
  <pageSetup scale="44" orientation="landscape" cellComments="asDisplayed" r:id="rId1"/>
  <headerFooter alignWithMargins="0">
    <oddFooter>&amp;R&amp;A</oddFooter>
  </headerFooter>
  <customProperties>
    <customPr name="_pios_id" r:id="rId2"/>
  </customPropertie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51C039-303E-4558-8AFA-DAC0BA2580D5}">
  <sheetPr>
    <tabColor rgb="FFFFC000"/>
  </sheetPr>
  <dimension ref="A1:U210"/>
  <sheetViews>
    <sheetView zoomScale="50" zoomScaleNormal="50" zoomScaleSheetLayoutView="100" workbookViewId="0">
      <selection activeCell="K12" sqref="K12"/>
    </sheetView>
  </sheetViews>
  <sheetFormatPr defaultColWidth="8.81640625" defaultRowHeight="15.6"/>
  <cols>
    <col min="1" max="1" width="5.1796875" style="705" customWidth="1"/>
    <col min="2" max="2" width="51.453125" style="703" customWidth="1"/>
    <col min="3" max="3" width="22.08984375" style="705" customWidth="1"/>
    <col min="4" max="4" width="16.1796875" style="705" customWidth="1"/>
    <col min="5" max="5" width="11.81640625" style="705" customWidth="1"/>
    <col min="6" max="6" width="13.81640625" style="705" customWidth="1"/>
    <col min="7" max="7" width="13.1796875" style="705" customWidth="1"/>
    <col min="8" max="8" width="77.81640625" style="705" customWidth="1"/>
    <col min="9" max="16384" width="8.81640625" style="706"/>
  </cols>
  <sheetData>
    <row r="1" spans="1:21" ht="17.399999999999999">
      <c r="B1" s="1265" t="s">
        <v>741</v>
      </c>
      <c r="C1" s="1265"/>
      <c r="D1" s="1265"/>
      <c r="E1" s="1265"/>
      <c r="F1" s="1265"/>
      <c r="G1" s="1265"/>
      <c r="H1" s="1265"/>
      <c r="I1" s="709"/>
      <c r="J1" s="709"/>
    </row>
    <row r="2" spans="1:21" ht="17.399999999999999">
      <c r="B2" s="1265" t="str">
        <f>'6b-ADIT Projection Proration'!A3</f>
        <v>Projection For the 12 months ended 12/31/2025</v>
      </c>
      <c r="C2" s="1265"/>
      <c r="D2" s="1265"/>
      <c r="E2" s="1265"/>
      <c r="F2" s="1265"/>
      <c r="G2" s="1265"/>
      <c r="H2" s="1265"/>
      <c r="I2" s="709"/>
      <c r="J2" s="709"/>
    </row>
    <row r="3" spans="1:21" ht="17.399999999999999">
      <c r="B3" s="1265" t="s">
        <v>362</v>
      </c>
      <c r="C3" s="1265"/>
      <c r="D3" s="1265"/>
      <c r="E3" s="1265"/>
      <c r="F3" s="1265"/>
      <c r="G3" s="1265"/>
      <c r="H3" s="1265"/>
      <c r="I3" s="709"/>
      <c r="J3" s="709"/>
    </row>
    <row r="4" spans="1:21" ht="17.399999999999999">
      <c r="B4" s="705"/>
      <c r="I4" s="709"/>
      <c r="J4" s="709"/>
    </row>
    <row r="5" spans="1:21">
      <c r="D5" s="704"/>
      <c r="E5" s="704"/>
      <c r="G5" s="704"/>
    </row>
    <row r="6" spans="1:21">
      <c r="D6" s="706"/>
      <c r="E6" s="706"/>
      <c r="F6" s="706"/>
      <c r="G6" s="706"/>
      <c r="U6" s="708"/>
    </row>
    <row r="7" spans="1:21" ht="34.5" customHeight="1">
      <c r="A7" s="710" t="s">
        <v>683</v>
      </c>
      <c r="B7" s="710" t="s">
        <v>684</v>
      </c>
      <c r="C7" s="711"/>
      <c r="D7" s="712"/>
      <c r="E7" s="713" t="s">
        <v>404</v>
      </c>
      <c r="F7" s="713" t="s">
        <v>685</v>
      </c>
      <c r="G7" s="710" t="s">
        <v>686</v>
      </c>
      <c r="H7" s="711"/>
      <c r="U7" s="708"/>
    </row>
    <row r="8" spans="1:21">
      <c r="B8" s="714"/>
      <c r="D8" s="706"/>
    </row>
    <row r="9" spans="1:21" ht="20.100000000000001" customHeight="1">
      <c r="A9" s="705">
        <v>1</v>
      </c>
      <c r="B9" s="705" t="s">
        <v>702</v>
      </c>
      <c r="D9" s="706"/>
      <c r="E9" s="715">
        <f>+E54</f>
        <v>-10475927.171100002</v>
      </c>
      <c r="F9" s="715">
        <f>+F54</f>
        <v>0</v>
      </c>
      <c r="G9" s="715">
        <f>+G54</f>
        <v>0</v>
      </c>
      <c r="H9" s="705" t="s">
        <v>742</v>
      </c>
    </row>
    <row r="10" spans="1:21" ht="20.100000000000001" customHeight="1">
      <c r="A10" s="705">
        <f>+A9+1</f>
        <v>2</v>
      </c>
      <c r="B10" s="705" t="s">
        <v>709</v>
      </c>
      <c r="D10" s="706"/>
      <c r="E10" s="715">
        <f>+E78</f>
        <v>0</v>
      </c>
      <c r="F10" s="715">
        <f>+F78</f>
        <v>0</v>
      </c>
      <c r="G10" s="715">
        <f>+G78</f>
        <v>0</v>
      </c>
      <c r="H10" s="705" t="s">
        <v>743</v>
      </c>
    </row>
    <row r="11" spans="1:21" ht="20.100000000000001" customHeight="1">
      <c r="A11" s="705">
        <f>+A10+1</f>
        <v>3</v>
      </c>
      <c r="B11" s="705" t="s">
        <v>689</v>
      </c>
      <c r="D11" s="706"/>
      <c r="E11" s="715">
        <f>E32</f>
        <v>0</v>
      </c>
      <c r="F11" s="715">
        <f>F32</f>
        <v>0</v>
      </c>
      <c r="G11" s="715">
        <f>G32</f>
        <v>0</v>
      </c>
      <c r="H11" s="705" t="s">
        <v>744</v>
      </c>
    </row>
    <row r="12" spans="1:21" ht="20.100000000000001" customHeight="1">
      <c r="A12" s="705">
        <f>+A11+1</f>
        <v>4</v>
      </c>
      <c r="B12" s="705" t="s">
        <v>690</v>
      </c>
      <c r="D12" s="706"/>
      <c r="E12" s="715">
        <f>SUM(E9:E11)</f>
        <v>-10475927.171100002</v>
      </c>
      <c r="F12" s="715">
        <f>SUM(F9:F11)</f>
        <v>0</v>
      </c>
      <c r="G12" s="715">
        <f>SUM(G9:G11)</f>
        <v>0</v>
      </c>
      <c r="H12" s="716" t="s">
        <v>745</v>
      </c>
    </row>
    <row r="13" spans="1:21">
      <c r="B13" s="705"/>
      <c r="D13" s="716"/>
      <c r="H13" s="715"/>
    </row>
    <row r="14" spans="1:21">
      <c r="B14" s="705"/>
      <c r="H14" s="718"/>
    </row>
    <row r="15" spans="1:21" ht="33" customHeight="1">
      <c r="B15" s="1267" t="s">
        <v>746</v>
      </c>
      <c r="C15" s="1267"/>
      <c r="D15" s="1267"/>
      <c r="E15" s="1267"/>
      <c r="F15" s="1267"/>
      <c r="G15" s="1267"/>
      <c r="H15" s="1267"/>
    </row>
    <row r="16" spans="1:21">
      <c r="C16" s="706"/>
      <c r="D16" s="704"/>
      <c r="E16" s="704"/>
      <c r="F16" s="704"/>
      <c r="G16" s="704"/>
    </row>
    <row r="17" spans="1:8">
      <c r="B17" s="704" t="s">
        <v>196</v>
      </c>
      <c r="C17" s="704" t="s">
        <v>199</v>
      </c>
      <c r="D17" s="704" t="s">
        <v>201</v>
      </c>
      <c r="E17" s="704" t="s">
        <v>204</v>
      </c>
      <c r="F17" s="704" t="s">
        <v>211</v>
      </c>
      <c r="G17" s="704" t="s">
        <v>215</v>
      </c>
      <c r="H17" s="704" t="s">
        <v>231</v>
      </c>
    </row>
    <row r="18" spans="1:8" ht="31.2">
      <c r="B18" s="703" t="s">
        <v>689</v>
      </c>
      <c r="C18" s="750" t="s">
        <v>37</v>
      </c>
      <c r="D18" s="750" t="s">
        <v>747</v>
      </c>
      <c r="E18" s="750" t="s">
        <v>404</v>
      </c>
      <c r="F18" s="750" t="s">
        <v>685</v>
      </c>
      <c r="G18" s="750" t="s">
        <v>686</v>
      </c>
      <c r="H18" s="750" t="s">
        <v>748</v>
      </c>
    </row>
    <row r="19" spans="1:8" ht="30" customHeight="1">
      <c r="A19" s="705">
        <f>A12+1</f>
        <v>5</v>
      </c>
      <c r="B19" s="751"/>
      <c r="C19" s="752"/>
      <c r="D19" s="753"/>
      <c r="E19" s="753"/>
      <c r="F19" s="753"/>
      <c r="G19" s="753"/>
      <c r="H19" s="754"/>
    </row>
    <row r="20" spans="1:8" ht="30" customHeight="1">
      <c r="A20" s="705">
        <f t="shared" ref="A20:A32" si="0">+A19+1</f>
        <v>6</v>
      </c>
      <c r="B20" s="755"/>
      <c r="C20" s="752"/>
      <c r="D20" s="753"/>
      <c r="E20" s="753"/>
      <c r="F20" s="753"/>
      <c r="G20" s="753"/>
      <c r="H20" s="754"/>
    </row>
    <row r="21" spans="1:8" ht="30" customHeight="1">
      <c r="A21" s="705">
        <f t="shared" si="0"/>
        <v>7</v>
      </c>
      <c r="B21" s="755"/>
      <c r="C21" s="752"/>
      <c r="D21" s="753"/>
      <c r="E21" s="753"/>
      <c r="F21" s="753"/>
      <c r="G21" s="753"/>
      <c r="H21" s="754"/>
    </row>
    <row r="22" spans="1:8" ht="30" customHeight="1">
      <c r="A22" s="705">
        <f t="shared" si="0"/>
        <v>8</v>
      </c>
      <c r="B22" s="755"/>
      <c r="C22" s="752"/>
      <c r="D22" s="753"/>
      <c r="E22" s="753"/>
      <c r="F22" s="753"/>
      <c r="G22" s="753"/>
      <c r="H22" s="754"/>
    </row>
    <row r="23" spans="1:8" ht="30" customHeight="1">
      <c r="A23" s="705">
        <f t="shared" si="0"/>
        <v>9</v>
      </c>
      <c r="B23" s="755"/>
      <c r="C23" s="752"/>
      <c r="D23" s="753"/>
      <c r="E23" s="753"/>
      <c r="F23" s="753"/>
      <c r="G23" s="753"/>
      <c r="H23" s="754"/>
    </row>
    <row r="24" spans="1:8" ht="30" customHeight="1">
      <c r="A24" s="705">
        <f t="shared" si="0"/>
        <v>10</v>
      </c>
      <c r="B24" s="755"/>
      <c r="C24" s="752"/>
      <c r="D24" s="753"/>
      <c r="E24" s="753"/>
      <c r="F24" s="753"/>
      <c r="G24" s="753"/>
      <c r="H24" s="754"/>
    </row>
    <row r="25" spans="1:8" ht="30" customHeight="1">
      <c r="A25" s="705">
        <f t="shared" si="0"/>
        <v>11</v>
      </c>
      <c r="B25" s="755"/>
      <c r="C25" s="752"/>
      <c r="D25" s="753"/>
      <c r="E25" s="753"/>
      <c r="F25" s="753"/>
      <c r="G25" s="753"/>
      <c r="H25" s="754"/>
    </row>
    <row r="26" spans="1:8" ht="30" customHeight="1">
      <c r="A26" s="705">
        <f t="shared" si="0"/>
        <v>12</v>
      </c>
      <c r="B26" s="755"/>
      <c r="C26" s="752"/>
      <c r="D26" s="756"/>
      <c r="E26" s="753"/>
      <c r="F26" s="753"/>
      <c r="G26" s="753"/>
      <c r="H26" s="754"/>
    </row>
    <row r="27" spans="1:8" ht="30" customHeight="1">
      <c r="A27" s="705">
        <f t="shared" si="0"/>
        <v>13</v>
      </c>
      <c r="B27" s="755"/>
      <c r="C27" s="752"/>
      <c r="D27" s="753"/>
      <c r="E27" s="753"/>
      <c r="F27" s="753"/>
      <c r="G27" s="753"/>
      <c r="H27" s="754"/>
    </row>
    <row r="28" spans="1:8" ht="30" customHeight="1">
      <c r="A28" s="705">
        <f t="shared" si="0"/>
        <v>14</v>
      </c>
      <c r="B28" s="757" t="s">
        <v>749</v>
      </c>
      <c r="C28" s="758"/>
      <c r="D28" s="758"/>
      <c r="E28" s="758"/>
      <c r="F28" s="758"/>
      <c r="G28" s="758"/>
      <c r="H28" s="759" t="s">
        <v>750</v>
      </c>
    </row>
    <row r="29" spans="1:8" ht="20.100000000000001" customHeight="1">
      <c r="A29" s="705">
        <f t="shared" si="0"/>
        <v>15</v>
      </c>
      <c r="B29" s="760" t="s">
        <v>751</v>
      </c>
      <c r="C29" s="761">
        <f>SUBTOTAL(9,C19:C28)</f>
        <v>0</v>
      </c>
      <c r="D29" s="762">
        <f>SUM(D19:D28)</f>
        <v>0</v>
      </c>
      <c r="E29" s="762">
        <f>SUM(E19:E28)</f>
        <v>0</v>
      </c>
      <c r="F29" s="762">
        <f>SUM(F19:F28)</f>
        <v>0</v>
      </c>
      <c r="G29" s="762">
        <f>SUM(G19:G28)</f>
        <v>0</v>
      </c>
      <c r="H29" s="763"/>
    </row>
    <row r="30" spans="1:8" ht="20.100000000000001" customHeight="1">
      <c r="A30" s="705">
        <f t="shared" si="0"/>
        <v>16</v>
      </c>
      <c r="B30" s="764" t="s">
        <v>752</v>
      </c>
      <c r="C30" s="765"/>
      <c r="D30" s="765"/>
      <c r="E30" s="765"/>
      <c r="F30" s="766"/>
      <c r="G30" s="767"/>
      <c r="H30" s="754"/>
    </row>
    <row r="31" spans="1:8" ht="20.100000000000001" customHeight="1">
      <c r="A31" s="705">
        <f t="shared" si="0"/>
        <v>17</v>
      </c>
      <c r="B31" s="768" t="s">
        <v>753</v>
      </c>
      <c r="C31" s="769"/>
      <c r="D31" s="769"/>
      <c r="E31" s="769"/>
      <c r="F31" s="769"/>
      <c r="G31" s="769"/>
      <c r="H31" s="770"/>
    </row>
    <row r="32" spans="1:8" ht="20.100000000000001" customHeight="1" thickBot="1">
      <c r="A32" s="705">
        <f t="shared" si="0"/>
        <v>18</v>
      </c>
      <c r="B32" s="771" t="s">
        <v>37</v>
      </c>
      <c r="C32" s="772">
        <f>+C29-C30-C31</f>
        <v>0</v>
      </c>
      <c r="D32" s="772">
        <f>+D29-D30-D31</f>
        <v>0</v>
      </c>
      <c r="E32" s="772">
        <f>+E29-E30-E31</f>
        <v>0</v>
      </c>
      <c r="F32" s="772">
        <f>+F29-F30-F31</f>
        <v>0</v>
      </c>
      <c r="G32" s="772">
        <f>+G29-G30-G31</f>
        <v>0</v>
      </c>
      <c r="H32" s="773"/>
    </row>
    <row r="33" spans="1:8" ht="20.100000000000001" customHeight="1" thickTop="1">
      <c r="B33" s="705" t="s">
        <v>754</v>
      </c>
      <c r="C33" s="716"/>
      <c r="D33" s="774"/>
      <c r="E33" s="704"/>
      <c r="G33" s="775"/>
    </row>
    <row r="34" spans="1:8" ht="20.100000000000001" customHeight="1">
      <c r="B34" s="1266" t="s">
        <v>755</v>
      </c>
      <c r="C34" s="1266"/>
      <c r="D34" s="1266"/>
      <c r="E34" s="1266"/>
      <c r="F34" s="1266"/>
      <c r="G34" s="1266"/>
    </row>
    <row r="35" spans="1:8" ht="20.100000000000001" customHeight="1">
      <c r="B35" s="703" t="s">
        <v>756</v>
      </c>
      <c r="F35" s="704"/>
      <c r="G35" s="704"/>
    </row>
    <row r="36" spans="1:8" ht="20.100000000000001" customHeight="1">
      <c r="B36" s="703" t="s">
        <v>757</v>
      </c>
      <c r="F36" s="704"/>
      <c r="G36" s="704"/>
    </row>
    <row r="37" spans="1:8" ht="20.100000000000001" customHeight="1">
      <c r="B37" s="703" t="s">
        <v>758</v>
      </c>
      <c r="F37" s="704"/>
      <c r="G37" s="704"/>
    </row>
    <row r="38" spans="1:8" ht="35.25" customHeight="1">
      <c r="B38" s="1266" t="s">
        <v>759</v>
      </c>
      <c r="C38" s="1266"/>
      <c r="D38" s="1266"/>
      <c r="E38" s="1266"/>
      <c r="F38" s="1266"/>
      <c r="G38" s="1266"/>
      <c r="H38" s="776"/>
    </row>
    <row r="39" spans="1:8">
      <c r="B39" s="776"/>
      <c r="C39" s="776"/>
      <c r="D39" s="776"/>
      <c r="E39" s="776"/>
      <c r="F39" s="776"/>
      <c r="G39" s="776"/>
      <c r="H39" s="776"/>
    </row>
    <row r="40" spans="1:8">
      <c r="B40" s="705"/>
    </row>
    <row r="41" spans="1:8">
      <c r="B41" s="704" t="s">
        <v>196</v>
      </c>
      <c r="C41" s="704" t="s">
        <v>199</v>
      </c>
      <c r="D41" s="704" t="s">
        <v>201</v>
      </c>
      <c r="E41" s="704" t="s">
        <v>204</v>
      </c>
      <c r="F41" s="704" t="s">
        <v>211</v>
      </c>
      <c r="G41" s="704" t="s">
        <v>215</v>
      </c>
      <c r="H41" s="704" t="s">
        <v>231</v>
      </c>
    </row>
    <row r="42" spans="1:8" ht="31.2">
      <c r="B42" s="705" t="s">
        <v>760</v>
      </c>
      <c r="C42" s="750" t="s">
        <v>37</v>
      </c>
      <c r="D42" s="750" t="s">
        <v>747</v>
      </c>
      <c r="E42" s="750" t="s">
        <v>404</v>
      </c>
      <c r="F42" s="750" t="s">
        <v>685</v>
      </c>
      <c r="G42" s="750" t="s">
        <v>686</v>
      </c>
      <c r="H42" s="750" t="s">
        <v>748</v>
      </c>
    </row>
    <row r="43" spans="1:8" ht="30" customHeight="1">
      <c r="A43" s="705">
        <f>A32+1</f>
        <v>19</v>
      </c>
      <c r="B43" s="777" t="s">
        <v>761</v>
      </c>
      <c r="C43" s="752"/>
      <c r="D43" s="753"/>
      <c r="E43" s="753">
        <v>-10475927.171100002</v>
      </c>
      <c r="F43" s="753"/>
      <c r="G43" s="753"/>
      <c r="H43" s="754"/>
    </row>
    <row r="44" spans="1:8" ht="30" customHeight="1">
      <c r="A44" s="705">
        <f t="shared" ref="A44:A54" si="1">+A43+1</f>
        <v>20</v>
      </c>
      <c r="B44" s="755"/>
      <c r="C44" s="752"/>
      <c r="D44" s="753"/>
      <c r="E44" s="753"/>
      <c r="F44" s="753"/>
      <c r="G44" s="753"/>
      <c r="H44" s="754"/>
    </row>
    <row r="45" spans="1:8" ht="30" customHeight="1">
      <c r="A45" s="705">
        <f t="shared" si="1"/>
        <v>21</v>
      </c>
      <c r="B45" s="755"/>
      <c r="C45" s="752"/>
      <c r="D45" s="753"/>
      <c r="E45" s="753"/>
      <c r="F45" s="753"/>
      <c r="G45" s="753"/>
      <c r="H45" s="754"/>
    </row>
    <row r="46" spans="1:8" ht="30" customHeight="1">
      <c r="A46" s="705">
        <f t="shared" si="1"/>
        <v>22</v>
      </c>
      <c r="B46" s="755"/>
      <c r="C46" s="753"/>
      <c r="D46" s="753"/>
      <c r="E46" s="753"/>
      <c r="F46" s="753"/>
      <c r="G46" s="753"/>
      <c r="H46" s="754"/>
    </row>
    <row r="47" spans="1:8" ht="30" customHeight="1">
      <c r="A47" s="705">
        <f t="shared" si="1"/>
        <v>23</v>
      </c>
      <c r="B47" s="755"/>
      <c r="C47" s="753"/>
      <c r="D47" s="753"/>
      <c r="E47" s="753"/>
      <c r="F47" s="753"/>
      <c r="G47" s="753"/>
      <c r="H47" s="754"/>
    </row>
    <row r="48" spans="1:8" ht="30" customHeight="1">
      <c r="A48" s="705">
        <f t="shared" si="1"/>
        <v>24</v>
      </c>
      <c r="B48" s="778"/>
      <c r="C48" s="779"/>
      <c r="D48" s="779"/>
      <c r="E48" s="779"/>
      <c r="F48" s="779"/>
      <c r="G48" s="779"/>
      <c r="H48" s="754"/>
    </row>
    <row r="49" spans="1:8" ht="30" customHeight="1">
      <c r="A49" s="705">
        <f t="shared" si="1"/>
        <v>25</v>
      </c>
      <c r="B49" s="780"/>
      <c r="C49" s="779"/>
      <c r="D49" s="779"/>
      <c r="E49" s="779"/>
      <c r="F49" s="779"/>
      <c r="G49" s="779"/>
      <c r="H49" s="754"/>
    </row>
    <row r="50" spans="1:8" ht="30" customHeight="1">
      <c r="A50" s="705">
        <f t="shared" si="1"/>
        <v>26</v>
      </c>
      <c r="B50" s="757" t="s">
        <v>762</v>
      </c>
      <c r="C50" s="781"/>
      <c r="D50" s="781"/>
      <c r="E50" s="781"/>
      <c r="F50" s="781"/>
      <c r="G50" s="781"/>
      <c r="H50" s="759" t="s">
        <v>750</v>
      </c>
    </row>
    <row r="51" spans="1:8" ht="20.100000000000001" customHeight="1">
      <c r="A51" s="705">
        <f t="shared" si="1"/>
        <v>27</v>
      </c>
      <c r="B51" s="782" t="s">
        <v>763</v>
      </c>
      <c r="C51" s="762">
        <f>SUBTOTAL(9,C43:C50)</f>
        <v>0</v>
      </c>
      <c r="D51" s="762">
        <f>SUM(D43:D50)</f>
        <v>0</v>
      </c>
      <c r="E51" s="762">
        <f>SUM(E43:E50)</f>
        <v>-10475927.171100002</v>
      </c>
      <c r="F51" s="762">
        <f>SUM(F43:F50)</f>
        <v>0</v>
      </c>
      <c r="G51" s="762">
        <f>SUM(G43:G50)</f>
        <v>0</v>
      </c>
      <c r="H51" s="763"/>
    </row>
    <row r="52" spans="1:8" ht="20.100000000000001" customHeight="1">
      <c r="A52" s="705">
        <f t="shared" si="1"/>
        <v>28</v>
      </c>
      <c r="B52" s="782" t="s">
        <v>752</v>
      </c>
      <c r="C52" s="765"/>
      <c r="D52" s="765"/>
      <c r="E52" s="765"/>
      <c r="F52" s="765"/>
      <c r="G52" s="765"/>
      <c r="H52" s="754"/>
    </row>
    <row r="53" spans="1:8" ht="20.100000000000001" customHeight="1">
      <c r="A53" s="705">
        <f t="shared" si="1"/>
        <v>29</v>
      </c>
      <c r="B53" s="783" t="s">
        <v>753</v>
      </c>
      <c r="C53" s="769"/>
      <c r="D53" s="769"/>
      <c r="E53" s="769"/>
      <c r="F53" s="769"/>
      <c r="G53" s="769"/>
      <c r="H53" s="770"/>
    </row>
    <row r="54" spans="1:8" ht="20.100000000000001" customHeight="1" thickBot="1">
      <c r="A54" s="705">
        <f t="shared" si="1"/>
        <v>30</v>
      </c>
      <c r="B54" s="771" t="s">
        <v>37</v>
      </c>
      <c r="C54" s="772">
        <f>+C51-C52-C53</f>
        <v>0</v>
      </c>
      <c r="D54" s="772">
        <f>+D51-D52-D53</f>
        <v>0</v>
      </c>
      <c r="E54" s="772">
        <f>+E51-E52-E53</f>
        <v>-10475927.171100002</v>
      </c>
      <c r="F54" s="772">
        <f>+F51-F52-F53</f>
        <v>0</v>
      </c>
      <c r="G54" s="772">
        <f>+G51-G52-G53</f>
        <v>0</v>
      </c>
      <c r="H54" s="773"/>
    </row>
    <row r="55" spans="1:8" ht="20.100000000000001" customHeight="1" thickTop="1">
      <c r="B55" s="705" t="s">
        <v>764</v>
      </c>
      <c r="D55" s="704"/>
      <c r="E55" s="774"/>
      <c r="G55" s="776"/>
    </row>
    <row r="56" spans="1:8" ht="20.100000000000001" customHeight="1">
      <c r="B56" s="1266" t="s">
        <v>755</v>
      </c>
      <c r="C56" s="1266"/>
      <c r="D56" s="1266"/>
      <c r="E56" s="1266"/>
      <c r="F56" s="1266"/>
      <c r="G56" s="1266"/>
    </row>
    <row r="57" spans="1:8" ht="20.100000000000001" customHeight="1">
      <c r="B57" s="703" t="s">
        <v>756</v>
      </c>
      <c r="F57" s="704"/>
      <c r="G57" s="704"/>
    </row>
    <row r="58" spans="1:8" ht="20.100000000000001" customHeight="1">
      <c r="B58" s="703" t="s">
        <v>757</v>
      </c>
      <c r="F58" s="704"/>
      <c r="G58" s="704"/>
    </row>
    <row r="59" spans="1:8" ht="20.100000000000001" customHeight="1">
      <c r="B59" s="703" t="s">
        <v>758</v>
      </c>
      <c r="F59" s="704"/>
      <c r="G59" s="704"/>
    </row>
    <row r="60" spans="1:8" ht="35.1" customHeight="1">
      <c r="B60" s="1266" t="s">
        <v>759</v>
      </c>
      <c r="C60" s="1266"/>
      <c r="D60" s="1266"/>
      <c r="E60" s="1266"/>
      <c r="F60" s="1266"/>
      <c r="G60" s="1266"/>
      <c r="H60" s="776"/>
    </row>
    <row r="61" spans="1:8">
      <c r="H61" s="776"/>
    </row>
    <row r="62" spans="1:8">
      <c r="H62" s="776"/>
    </row>
    <row r="63" spans="1:8">
      <c r="B63" s="704" t="s">
        <v>196</v>
      </c>
      <c r="C63" s="704" t="s">
        <v>199</v>
      </c>
      <c r="D63" s="704" t="s">
        <v>201</v>
      </c>
      <c r="E63" s="704" t="s">
        <v>204</v>
      </c>
      <c r="F63" s="704" t="s">
        <v>211</v>
      </c>
      <c r="G63" s="704" t="s">
        <v>215</v>
      </c>
      <c r="H63" s="704" t="s">
        <v>231</v>
      </c>
    </row>
    <row r="64" spans="1:8" ht="31.2">
      <c r="B64" s="705" t="s">
        <v>765</v>
      </c>
      <c r="C64" s="750" t="s">
        <v>37</v>
      </c>
      <c r="D64" s="750" t="s">
        <v>747</v>
      </c>
      <c r="E64" s="750" t="s">
        <v>404</v>
      </c>
      <c r="F64" s="750" t="s">
        <v>685</v>
      </c>
      <c r="G64" s="750" t="s">
        <v>686</v>
      </c>
      <c r="H64" s="750" t="s">
        <v>748</v>
      </c>
    </row>
    <row r="65" spans="1:8" ht="30" customHeight="1">
      <c r="A65" s="705">
        <f>A54+1</f>
        <v>31</v>
      </c>
      <c r="B65" s="784"/>
      <c r="C65" s="752"/>
      <c r="D65" s="753"/>
      <c r="E65" s="753"/>
      <c r="F65" s="753"/>
      <c r="G65" s="753"/>
      <c r="H65" s="754"/>
    </row>
    <row r="66" spans="1:8" ht="30" customHeight="1">
      <c r="A66" s="705">
        <f t="shared" ref="A66:A78" si="2">+A65+1</f>
        <v>32</v>
      </c>
      <c r="B66" s="755"/>
      <c r="C66" s="752"/>
      <c r="D66" s="753"/>
      <c r="E66" s="753"/>
      <c r="F66" s="753"/>
      <c r="G66" s="753"/>
      <c r="H66" s="754"/>
    </row>
    <row r="67" spans="1:8" ht="30" customHeight="1">
      <c r="A67" s="705">
        <f t="shared" si="2"/>
        <v>33</v>
      </c>
      <c r="B67" s="755"/>
      <c r="C67" s="752"/>
      <c r="D67" s="753"/>
      <c r="E67" s="753"/>
      <c r="F67" s="753"/>
      <c r="G67" s="753"/>
      <c r="H67" s="754"/>
    </row>
    <row r="68" spans="1:8" ht="30" customHeight="1">
      <c r="A68" s="705">
        <f t="shared" si="2"/>
        <v>34</v>
      </c>
      <c r="B68" s="755"/>
      <c r="C68" s="752"/>
      <c r="D68" s="753"/>
      <c r="E68" s="753"/>
      <c r="F68" s="753"/>
      <c r="G68" s="753"/>
      <c r="H68" s="754"/>
    </row>
    <row r="69" spans="1:8" ht="30" customHeight="1">
      <c r="A69" s="705">
        <f t="shared" si="2"/>
        <v>35</v>
      </c>
      <c r="B69" s="755"/>
      <c r="C69" s="753"/>
      <c r="D69" s="779"/>
      <c r="E69" s="753"/>
      <c r="F69" s="753"/>
      <c r="G69" s="753"/>
      <c r="H69" s="754"/>
    </row>
    <row r="70" spans="1:8" ht="30" customHeight="1">
      <c r="A70" s="705">
        <f t="shared" si="2"/>
        <v>36</v>
      </c>
      <c r="B70" s="755"/>
      <c r="C70" s="753"/>
      <c r="D70" s="779"/>
      <c r="E70" s="753"/>
      <c r="F70" s="753"/>
      <c r="G70" s="753"/>
      <c r="H70" s="754"/>
    </row>
    <row r="71" spans="1:8" ht="30" customHeight="1">
      <c r="A71" s="705">
        <f t="shared" si="2"/>
        <v>37</v>
      </c>
      <c r="B71" s="755"/>
      <c r="C71" s="753"/>
      <c r="D71" s="779"/>
      <c r="E71" s="753"/>
      <c r="F71" s="753"/>
      <c r="G71" s="753"/>
      <c r="H71" s="754"/>
    </row>
    <row r="72" spans="1:8" ht="30" customHeight="1">
      <c r="A72" s="705">
        <f t="shared" si="2"/>
        <v>38</v>
      </c>
      <c r="B72" s="755"/>
      <c r="C72" s="753"/>
      <c r="D72" s="756"/>
      <c r="E72" s="753"/>
      <c r="F72" s="753"/>
      <c r="G72" s="753"/>
      <c r="H72" s="754"/>
    </row>
    <row r="73" spans="1:8" ht="30" customHeight="1">
      <c r="A73" s="705">
        <f t="shared" si="2"/>
        <v>39</v>
      </c>
      <c r="B73" s="755"/>
      <c r="C73" s="753"/>
      <c r="D73" s="753"/>
      <c r="E73" s="753"/>
      <c r="F73" s="753"/>
      <c r="G73" s="753"/>
      <c r="H73" s="754"/>
    </row>
    <row r="74" spans="1:8" ht="30" customHeight="1">
      <c r="A74" s="705">
        <f t="shared" si="2"/>
        <v>40</v>
      </c>
      <c r="B74" s="757" t="s">
        <v>762</v>
      </c>
      <c r="C74" s="781"/>
      <c r="D74" s="781"/>
      <c r="E74" s="781"/>
      <c r="F74" s="781"/>
      <c r="G74" s="781"/>
      <c r="H74" s="759" t="s">
        <v>750</v>
      </c>
    </row>
    <row r="75" spans="1:8" ht="20.100000000000001" customHeight="1">
      <c r="A75" s="705">
        <f t="shared" si="2"/>
        <v>41</v>
      </c>
      <c r="B75" s="760" t="s">
        <v>766</v>
      </c>
      <c r="C75" s="761">
        <f>SUBTOTAL(9,C65:C74)</f>
        <v>0</v>
      </c>
      <c r="D75" s="761">
        <f>SUM(D65:D74)</f>
        <v>0</v>
      </c>
      <c r="E75" s="762">
        <f>SUM(E65:E74)</f>
        <v>0</v>
      </c>
      <c r="F75" s="761">
        <f>SUM(F65:F74)</f>
        <v>0</v>
      </c>
      <c r="G75" s="761">
        <f>SUM(G65:G74)</f>
        <v>0</v>
      </c>
      <c r="H75" s="754"/>
    </row>
    <row r="76" spans="1:8" ht="20.100000000000001" customHeight="1">
      <c r="A76" s="705">
        <f t="shared" si="2"/>
        <v>42</v>
      </c>
      <c r="B76" s="760" t="s">
        <v>752</v>
      </c>
      <c r="C76" s="766"/>
      <c r="D76" s="766"/>
      <c r="E76" s="766"/>
      <c r="F76" s="766"/>
      <c r="G76" s="766"/>
      <c r="H76" s="754"/>
    </row>
    <row r="77" spans="1:8" ht="20.100000000000001" customHeight="1">
      <c r="A77" s="705">
        <f t="shared" si="2"/>
        <v>43</v>
      </c>
      <c r="B77" s="785" t="s">
        <v>753</v>
      </c>
      <c r="C77" s="786"/>
      <c r="D77" s="786"/>
      <c r="E77" s="786"/>
      <c r="F77" s="786"/>
      <c r="G77" s="786"/>
      <c r="H77" s="770"/>
    </row>
    <row r="78" spans="1:8" ht="20.100000000000001" customHeight="1" thickBot="1">
      <c r="A78" s="705">
        <f t="shared" si="2"/>
        <v>44</v>
      </c>
      <c r="B78" s="771" t="s">
        <v>37</v>
      </c>
      <c r="C78" s="787">
        <f>+C75-C76-C77</f>
        <v>0</v>
      </c>
      <c r="D78" s="787">
        <f>+D75-D76-D77</f>
        <v>0</v>
      </c>
      <c r="E78" s="787">
        <f>+E75-E76-E77</f>
        <v>0</v>
      </c>
      <c r="F78" s="787">
        <f>+F75-F76-F77</f>
        <v>0</v>
      </c>
      <c r="G78" s="787">
        <f>+G75-G76-G77</f>
        <v>0</v>
      </c>
      <c r="H78" s="773"/>
    </row>
    <row r="79" spans="1:8" ht="20.100000000000001" customHeight="1" thickTop="1">
      <c r="B79" s="705" t="s">
        <v>767</v>
      </c>
      <c r="E79" s="704"/>
      <c r="F79" s="704"/>
      <c r="H79" s="788"/>
    </row>
    <row r="80" spans="1:8" ht="20.100000000000001" customHeight="1">
      <c r="B80" s="1266" t="s">
        <v>755</v>
      </c>
      <c r="C80" s="1266"/>
      <c r="D80" s="1266"/>
      <c r="E80" s="1266"/>
      <c r="F80" s="1266"/>
      <c r="G80" s="1266"/>
    </row>
    <row r="81" spans="2:9" ht="20.100000000000001" customHeight="1">
      <c r="B81" s="703" t="s">
        <v>756</v>
      </c>
      <c r="F81" s="704"/>
      <c r="G81" s="704"/>
    </row>
    <row r="82" spans="2:9" ht="20.100000000000001" customHeight="1">
      <c r="B82" s="703" t="s">
        <v>757</v>
      </c>
      <c r="F82" s="704"/>
      <c r="G82" s="704"/>
    </row>
    <row r="83" spans="2:9" ht="20.100000000000001" customHeight="1">
      <c r="B83" s="703" t="s">
        <v>758</v>
      </c>
      <c r="F83" s="704"/>
      <c r="G83" s="704"/>
    </row>
    <row r="84" spans="2:9" ht="35.1" customHeight="1">
      <c r="B84" s="1266" t="s">
        <v>759</v>
      </c>
      <c r="C84" s="1266"/>
      <c r="D84" s="1266"/>
      <c r="E84" s="1266"/>
      <c r="F84" s="1266"/>
      <c r="G84" s="1266"/>
    </row>
    <row r="86" spans="2:9" ht="15.75" customHeight="1">
      <c r="B86" s="789"/>
      <c r="C86" s="789"/>
      <c r="D86" s="789"/>
      <c r="E86" s="789"/>
      <c r="F86" s="789"/>
      <c r="G86" s="789"/>
      <c r="H86" s="789"/>
    </row>
    <row r="87" spans="2:9">
      <c r="B87" s="1265"/>
      <c r="C87" s="1265"/>
      <c r="D87" s="1265"/>
      <c r="E87" s="1265"/>
      <c r="F87" s="1265"/>
      <c r="G87" s="1265"/>
      <c r="H87" s="1265"/>
    </row>
    <row r="88" spans="2:9">
      <c r="B88" s="705"/>
    </row>
    <row r="89" spans="2:9">
      <c r="B89" s="705"/>
    </row>
    <row r="90" spans="2:9" ht="15.75" customHeight="1">
      <c r="B90" s="705"/>
    </row>
    <row r="91" spans="2:9">
      <c r="B91" s="705"/>
      <c r="D91" s="746"/>
      <c r="E91" s="746"/>
      <c r="F91" s="746"/>
      <c r="G91" s="746"/>
      <c r="H91" s="746"/>
      <c r="I91" s="747"/>
    </row>
    <row r="92" spans="2:9">
      <c r="B92" s="705"/>
      <c r="D92" s="746"/>
      <c r="E92" s="746"/>
      <c r="F92" s="746"/>
      <c r="G92" s="746"/>
      <c r="H92" s="746"/>
      <c r="I92" s="747"/>
    </row>
    <row r="93" spans="2:9">
      <c r="D93" s="704"/>
      <c r="E93" s="704"/>
    </row>
    <row r="94" spans="2:9">
      <c r="D94" s="728"/>
      <c r="E94" s="728"/>
    </row>
    <row r="95" spans="2:9">
      <c r="D95" s="728"/>
      <c r="E95" s="728"/>
    </row>
    <row r="96" spans="2:9">
      <c r="D96" s="728"/>
      <c r="E96" s="728"/>
    </row>
    <row r="97" spans="2:5">
      <c r="D97" s="728"/>
      <c r="E97" s="728"/>
    </row>
    <row r="98" spans="2:5">
      <c r="D98" s="728"/>
      <c r="E98" s="728"/>
    </row>
    <row r="99" spans="2:5">
      <c r="D99" s="728"/>
      <c r="E99" s="728"/>
    </row>
    <row r="100" spans="2:5">
      <c r="D100" s="728"/>
      <c r="E100" s="728"/>
    </row>
    <row r="101" spans="2:5">
      <c r="D101" s="728"/>
      <c r="E101" s="728"/>
    </row>
    <row r="102" spans="2:5">
      <c r="D102" s="728"/>
      <c r="E102" s="728"/>
    </row>
    <row r="103" spans="2:5">
      <c r="D103" s="728"/>
      <c r="E103" s="728"/>
    </row>
    <row r="104" spans="2:5">
      <c r="B104" s="705"/>
      <c r="D104" s="728"/>
      <c r="E104" s="728"/>
    </row>
    <row r="105" spans="2:5">
      <c r="D105" s="728"/>
      <c r="E105" s="728"/>
    </row>
    <row r="106" spans="2:5">
      <c r="B106" s="705"/>
      <c r="D106" s="728"/>
      <c r="E106" s="728"/>
    </row>
    <row r="210" spans="9:9">
      <c r="I210" s="729"/>
    </row>
  </sheetData>
  <mergeCells count="11">
    <mergeCell ref="B38:G38"/>
    <mergeCell ref="B1:H1"/>
    <mergeCell ref="B2:H2"/>
    <mergeCell ref="B3:H3"/>
    <mergeCell ref="B15:H15"/>
    <mergeCell ref="B34:G34"/>
    <mergeCell ref="B56:G56"/>
    <mergeCell ref="B60:G60"/>
    <mergeCell ref="B80:G80"/>
    <mergeCell ref="B84:G84"/>
    <mergeCell ref="B87:H87"/>
  </mergeCells>
  <printOptions horizontalCentered="1"/>
  <pageMargins left="0.5" right="0.5" top="0.5" bottom="0.5" header="0.3" footer="0.3"/>
  <pageSetup scale="46" fitToHeight="2" orientation="landscape" r:id="rId1"/>
  <headerFooter alignWithMargins="0">
    <oddFooter>&amp;R&amp;A</oddFooter>
  </headerFooter>
  <rowBreaks count="2" manualBreakCount="2">
    <brk id="40" max="16383" man="1"/>
    <brk id="84" max="16383" man="1"/>
  </rowBreaks>
  <customProperties>
    <customPr name="_pios_id" r:id="rId2"/>
  </customPropertie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1563DF-2BDB-4711-B047-54FCBA5322E5}">
  <sheetPr>
    <tabColor rgb="FFFFC000"/>
  </sheetPr>
  <dimension ref="A1:U210"/>
  <sheetViews>
    <sheetView zoomScale="85" zoomScaleNormal="85" zoomScaleSheetLayoutView="100" workbookViewId="0">
      <selection activeCell="K12" sqref="K12"/>
    </sheetView>
  </sheetViews>
  <sheetFormatPr defaultColWidth="8.81640625" defaultRowHeight="15.6"/>
  <cols>
    <col min="1" max="1" width="5.1796875" style="705" customWidth="1"/>
    <col min="2" max="2" width="49.1796875" style="703" customWidth="1"/>
    <col min="3" max="3" width="22.08984375" style="705" customWidth="1"/>
    <col min="4" max="4" width="15.1796875" style="705" customWidth="1"/>
    <col min="5" max="5" width="12.54296875" style="705" customWidth="1"/>
    <col min="6" max="6" width="11.54296875" style="705" customWidth="1"/>
    <col min="7" max="7" width="14.81640625" style="705" customWidth="1"/>
    <col min="8" max="8" width="79.453125" style="705" customWidth="1"/>
    <col min="9" max="16384" width="8.81640625" style="706"/>
  </cols>
  <sheetData>
    <row r="1" spans="1:21" ht="17.399999999999999">
      <c r="A1" s="703"/>
      <c r="B1" s="1265" t="s">
        <v>768</v>
      </c>
      <c r="C1" s="1265"/>
      <c r="D1" s="1265"/>
      <c r="E1" s="1265"/>
      <c r="F1" s="1265"/>
      <c r="G1" s="1265"/>
      <c r="H1" s="1265"/>
      <c r="I1" s="709"/>
      <c r="J1" s="709"/>
    </row>
    <row r="2" spans="1:21" ht="17.399999999999999">
      <c r="B2" s="1265" t="str">
        <f>'6c- ADIT BOY'!B2</f>
        <v>Projection For the 12 months ended 12/31/2025</v>
      </c>
      <c r="C2" s="1268"/>
      <c r="D2" s="1268"/>
      <c r="E2" s="1268"/>
      <c r="F2" s="1268"/>
      <c r="G2" s="1268"/>
      <c r="H2" s="1268"/>
      <c r="I2" s="709"/>
      <c r="J2" s="709"/>
    </row>
    <row r="3" spans="1:21" ht="17.399999999999999">
      <c r="B3" s="1265" t="s">
        <v>363</v>
      </c>
      <c r="C3" s="1265"/>
      <c r="D3" s="1265"/>
      <c r="E3" s="1265"/>
      <c r="F3" s="1265"/>
      <c r="G3" s="1265"/>
      <c r="H3" s="1265"/>
      <c r="I3" s="709"/>
      <c r="J3" s="709"/>
    </row>
    <row r="4" spans="1:21" ht="17.399999999999999">
      <c r="I4" s="709"/>
      <c r="J4" s="709"/>
    </row>
    <row r="5" spans="1:21">
      <c r="D5" s="704"/>
      <c r="E5" s="704"/>
      <c r="G5" s="704"/>
    </row>
    <row r="6" spans="1:21">
      <c r="D6" s="704"/>
      <c r="E6" s="704"/>
      <c r="F6" s="704"/>
      <c r="G6" s="704"/>
      <c r="U6" s="708"/>
    </row>
    <row r="7" spans="1:21" ht="34.5" customHeight="1">
      <c r="A7" s="790" t="s">
        <v>683</v>
      </c>
      <c r="B7" s="790" t="s">
        <v>684</v>
      </c>
      <c r="C7" s="791"/>
      <c r="D7" s="792"/>
      <c r="E7" s="793" t="s">
        <v>404</v>
      </c>
      <c r="F7" s="794" t="s">
        <v>685</v>
      </c>
      <c r="G7" s="794" t="s">
        <v>686</v>
      </c>
      <c r="H7" s="791"/>
      <c r="U7" s="708"/>
    </row>
    <row r="8" spans="1:21">
      <c r="A8" s="714"/>
    </row>
    <row r="9" spans="1:21" ht="20.100000000000001" customHeight="1">
      <c r="A9" s="714">
        <v>1</v>
      </c>
      <c r="B9" s="705" t="s">
        <v>760</v>
      </c>
      <c r="E9" s="717">
        <f>+E54</f>
        <v>-13752173.92075</v>
      </c>
      <c r="F9" s="717">
        <f>+F54</f>
        <v>0</v>
      </c>
      <c r="G9" s="717">
        <f>+G54</f>
        <v>0</v>
      </c>
      <c r="H9" s="705" t="s">
        <v>742</v>
      </c>
    </row>
    <row r="10" spans="1:21" ht="20.100000000000001" customHeight="1">
      <c r="A10" s="714">
        <f>+A9+1</f>
        <v>2</v>
      </c>
      <c r="B10" s="705" t="s">
        <v>709</v>
      </c>
      <c r="E10" s="717">
        <f>+E78</f>
        <v>0</v>
      </c>
      <c r="F10" s="717">
        <f>+F78</f>
        <v>0</v>
      </c>
      <c r="G10" s="717">
        <f>+G78</f>
        <v>0</v>
      </c>
      <c r="H10" s="705" t="s">
        <v>743</v>
      </c>
    </row>
    <row r="11" spans="1:21" ht="20.100000000000001" customHeight="1">
      <c r="A11" s="714">
        <f>+A10+1</f>
        <v>3</v>
      </c>
      <c r="B11" s="705" t="s">
        <v>689</v>
      </c>
      <c r="E11" s="717">
        <f>E32</f>
        <v>0</v>
      </c>
      <c r="F11" s="717">
        <f>F32</f>
        <v>0</v>
      </c>
      <c r="G11" s="717">
        <f>G32</f>
        <v>0</v>
      </c>
      <c r="H11" s="705" t="s">
        <v>744</v>
      </c>
    </row>
    <row r="12" spans="1:21" ht="20.100000000000001" customHeight="1">
      <c r="A12" s="714">
        <f>+A11+1</f>
        <v>4</v>
      </c>
      <c r="B12" s="705" t="s">
        <v>690</v>
      </c>
      <c r="E12" s="717">
        <f>SUM(E9:E11)</f>
        <v>-13752173.92075</v>
      </c>
      <c r="F12" s="717">
        <f>SUM(F9:F11)</f>
        <v>0</v>
      </c>
      <c r="G12" s="717">
        <f>SUM(G9:G11)</f>
        <v>0</v>
      </c>
      <c r="H12" s="716" t="s">
        <v>745</v>
      </c>
    </row>
    <row r="13" spans="1:21">
      <c r="A13" s="714"/>
      <c r="B13" s="705"/>
      <c r="D13" s="716"/>
      <c r="H13" s="715"/>
    </row>
    <row r="14" spans="1:21">
      <c r="A14" s="714"/>
      <c r="B14" s="705"/>
      <c r="H14" s="718"/>
    </row>
    <row r="15" spans="1:21" ht="30" customHeight="1">
      <c r="A15" s="714"/>
      <c r="B15" s="1267" t="s">
        <v>746</v>
      </c>
      <c r="C15" s="1267"/>
      <c r="D15" s="1267"/>
      <c r="E15" s="1267"/>
      <c r="F15" s="1267"/>
      <c r="G15" s="1267"/>
      <c r="H15" s="1267"/>
    </row>
    <row r="16" spans="1:21">
      <c r="A16" s="714"/>
    </row>
    <row r="17" spans="1:8">
      <c r="A17" s="714"/>
      <c r="B17" s="704" t="s">
        <v>196</v>
      </c>
      <c r="C17" s="704" t="s">
        <v>199</v>
      </c>
      <c r="D17" s="704" t="s">
        <v>201</v>
      </c>
      <c r="E17" s="704" t="s">
        <v>204</v>
      </c>
      <c r="F17" s="704" t="s">
        <v>211</v>
      </c>
      <c r="G17" s="704" t="s">
        <v>215</v>
      </c>
      <c r="H17" s="704" t="s">
        <v>231</v>
      </c>
    </row>
    <row r="18" spans="1:8" ht="31.2">
      <c r="A18" s="714"/>
      <c r="B18" s="703" t="s">
        <v>689</v>
      </c>
      <c r="C18" s="750" t="s">
        <v>37</v>
      </c>
      <c r="D18" s="750" t="s">
        <v>747</v>
      </c>
      <c r="E18" s="750" t="s">
        <v>404</v>
      </c>
      <c r="F18" s="750" t="s">
        <v>685</v>
      </c>
      <c r="G18" s="750" t="s">
        <v>686</v>
      </c>
      <c r="H18" s="750" t="s">
        <v>748</v>
      </c>
    </row>
    <row r="19" spans="1:8" ht="30" customHeight="1">
      <c r="A19" s="714">
        <f>A12+1</f>
        <v>5</v>
      </c>
      <c r="B19" s="751"/>
      <c r="C19" s="752"/>
      <c r="D19" s="753"/>
      <c r="E19" s="753"/>
      <c r="F19" s="753"/>
      <c r="G19" s="753"/>
      <c r="H19" s="754"/>
    </row>
    <row r="20" spans="1:8" ht="30" customHeight="1">
      <c r="A20" s="714">
        <f t="shared" ref="A20:A32" si="0">+A19+1</f>
        <v>6</v>
      </c>
      <c r="B20" s="755"/>
      <c r="C20" s="752"/>
      <c r="D20" s="753"/>
      <c r="E20" s="753"/>
      <c r="F20" s="753"/>
      <c r="G20" s="753"/>
      <c r="H20" s="754"/>
    </row>
    <row r="21" spans="1:8" ht="30" customHeight="1">
      <c r="A21" s="714">
        <f t="shared" si="0"/>
        <v>7</v>
      </c>
      <c r="B21" s="755"/>
      <c r="C21" s="752"/>
      <c r="D21" s="753"/>
      <c r="E21" s="753"/>
      <c r="F21" s="753"/>
      <c r="G21" s="753"/>
      <c r="H21" s="754"/>
    </row>
    <row r="22" spans="1:8" ht="30" customHeight="1">
      <c r="A22" s="714">
        <f t="shared" si="0"/>
        <v>8</v>
      </c>
      <c r="B22" s="755"/>
      <c r="C22" s="752"/>
      <c r="D22" s="753"/>
      <c r="E22" s="753"/>
      <c r="F22" s="753"/>
      <c r="G22" s="753"/>
      <c r="H22" s="754"/>
    </row>
    <row r="23" spans="1:8" ht="30" customHeight="1">
      <c r="A23" s="714">
        <f t="shared" si="0"/>
        <v>9</v>
      </c>
      <c r="B23" s="755"/>
      <c r="C23" s="752"/>
      <c r="D23" s="753"/>
      <c r="E23" s="753"/>
      <c r="F23" s="753"/>
      <c r="G23" s="753"/>
      <c r="H23" s="754"/>
    </row>
    <row r="24" spans="1:8" ht="30" customHeight="1">
      <c r="A24" s="714">
        <f t="shared" si="0"/>
        <v>10</v>
      </c>
      <c r="B24" s="755"/>
      <c r="C24" s="752"/>
      <c r="D24" s="753"/>
      <c r="E24" s="753"/>
      <c r="F24" s="753"/>
      <c r="G24" s="753"/>
      <c r="H24" s="754"/>
    </row>
    <row r="25" spans="1:8" ht="30" customHeight="1">
      <c r="A25" s="714">
        <f t="shared" si="0"/>
        <v>11</v>
      </c>
      <c r="B25" s="755"/>
      <c r="C25" s="752"/>
      <c r="D25" s="753"/>
      <c r="E25" s="753"/>
      <c r="F25" s="753"/>
      <c r="G25" s="753"/>
      <c r="H25" s="754"/>
    </row>
    <row r="26" spans="1:8" ht="30" customHeight="1">
      <c r="A26" s="714">
        <f t="shared" si="0"/>
        <v>12</v>
      </c>
      <c r="B26" s="755"/>
      <c r="C26" s="752"/>
      <c r="D26" s="756"/>
      <c r="E26" s="753"/>
      <c r="F26" s="753"/>
      <c r="G26" s="753"/>
      <c r="H26" s="754"/>
    </row>
    <row r="27" spans="1:8" ht="30" customHeight="1">
      <c r="A27" s="714">
        <f t="shared" si="0"/>
        <v>13</v>
      </c>
      <c r="B27" s="755"/>
      <c r="C27" s="752"/>
      <c r="D27" s="753"/>
      <c r="E27" s="753"/>
      <c r="F27" s="753"/>
      <c r="G27" s="753"/>
      <c r="H27" s="754"/>
    </row>
    <row r="28" spans="1:8" ht="30" customHeight="1">
      <c r="A28" s="714">
        <f t="shared" si="0"/>
        <v>14</v>
      </c>
      <c r="B28" s="757" t="s">
        <v>749</v>
      </c>
      <c r="C28" s="758"/>
      <c r="D28" s="758"/>
      <c r="E28" s="758"/>
      <c r="F28" s="758"/>
      <c r="G28" s="758"/>
      <c r="H28" s="759" t="s">
        <v>750</v>
      </c>
    </row>
    <row r="29" spans="1:8" ht="20.100000000000001" customHeight="1">
      <c r="A29" s="714">
        <f t="shared" si="0"/>
        <v>15</v>
      </c>
      <c r="B29" s="760" t="s">
        <v>769</v>
      </c>
      <c r="C29" s="761">
        <f>SUBTOTAL(9,C19:C28)</f>
        <v>0</v>
      </c>
      <c r="D29" s="762">
        <f>SUM(D19:D28)</f>
        <v>0</v>
      </c>
      <c r="E29" s="762">
        <f>SUM(E19:E28)</f>
        <v>0</v>
      </c>
      <c r="F29" s="762">
        <f>SUM(F19:F28)</f>
        <v>0</v>
      </c>
      <c r="G29" s="762">
        <f>SUM(G19:G28)</f>
        <v>0</v>
      </c>
      <c r="H29" s="763"/>
    </row>
    <row r="30" spans="1:8" ht="20.100000000000001" customHeight="1">
      <c r="A30" s="714">
        <f t="shared" si="0"/>
        <v>16</v>
      </c>
      <c r="B30" s="764" t="s">
        <v>752</v>
      </c>
      <c r="C30" s="765"/>
      <c r="D30" s="765"/>
      <c r="E30" s="765"/>
      <c r="F30" s="766"/>
      <c r="G30" s="767"/>
      <c r="H30" s="754"/>
    </row>
    <row r="31" spans="1:8" ht="20.100000000000001" customHeight="1">
      <c r="A31" s="714">
        <f t="shared" si="0"/>
        <v>17</v>
      </c>
      <c r="B31" s="768" t="s">
        <v>753</v>
      </c>
      <c r="C31" s="769"/>
      <c r="D31" s="769"/>
      <c r="E31" s="769"/>
      <c r="F31" s="769"/>
      <c r="G31" s="769"/>
      <c r="H31" s="770"/>
    </row>
    <row r="32" spans="1:8" ht="20.100000000000001" customHeight="1" thickBot="1">
      <c r="A32" s="714">
        <f t="shared" si="0"/>
        <v>18</v>
      </c>
      <c r="B32" s="771" t="s">
        <v>37</v>
      </c>
      <c r="C32" s="772">
        <f>+C29-C30-C31</f>
        <v>0</v>
      </c>
      <c r="D32" s="772">
        <f>+D29-D30-D31</f>
        <v>0</v>
      </c>
      <c r="E32" s="772">
        <f>+E29-E30-E31</f>
        <v>0</v>
      </c>
      <c r="F32" s="772">
        <f>+F29-F30-F31</f>
        <v>0</v>
      </c>
      <c r="G32" s="772">
        <f>+G29-G30-G31</f>
        <v>0</v>
      </c>
      <c r="H32" s="773"/>
    </row>
    <row r="33" spans="1:8" ht="20.100000000000001" customHeight="1" thickTop="1">
      <c r="A33" s="714"/>
      <c r="B33" s="705" t="s">
        <v>754</v>
      </c>
      <c r="C33" s="716"/>
      <c r="D33" s="774"/>
      <c r="E33" s="704"/>
      <c r="G33" s="775"/>
    </row>
    <row r="34" spans="1:8" ht="20.100000000000001" customHeight="1">
      <c r="A34" s="714"/>
      <c r="B34" s="1266" t="s">
        <v>755</v>
      </c>
      <c r="C34" s="1266"/>
      <c r="D34" s="1266"/>
      <c r="E34" s="1266"/>
      <c r="F34" s="1266"/>
      <c r="G34" s="1266"/>
    </row>
    <row r="35" spans="1:8" ht="20.100000000000001" customHeight="1">
      <c r="A35" s="714"/>
      <c r="B35" s="703" t="s">
        <v>756</v>
      </c>
      <c r="F35" s="704"/>
      <c r="G35" s="704"/>
    </row>
    <row r="36" spans="1:8" ht="20.100000000000001" customHeight="1">
      <c r="A36" s="714"/>
      <c r="B36" s="703" t="s">
        <v>757</v>
      </c>
      <c r="F36" s="704"/>
      <c r="G36" s="704"/>
    </row>
    <row r="37" spans="1:8" ht="20.100000000000001" customHeight="1">
      <c r="A37" s="714"/>
      <c r="B37" s="703" t="s">
        <v>758</v>
      </c>
      <c r="F37" s="704"/>
      <c r="G37" s="704"/>
    </row>
    <row r="38" spans="1:8" ht="33" customHeight="1">
      <c r="A38" s="714"/>
      <c r="B38" s="1266" t="s">
        <v>770</v>
      </c>
      <c r="C38" s="1266"/>
      <c r="D38" s="1266"/>
      <c r="E38" s="1266"/>
      <c r="F38" s="1266"/>
      <c r="G38" s="1266"/>
      <c r="H38" s="776"/>
    </row>
    <row r="39" spans="1:8">
      <c r="A39" s="714"/>
      <c r="B39" s="776"/>
      <c r="C39" s="776"/>
      <c r="D39" s="776"/>
      <c r="E39" s="776"/>
      <c r="F39" s="776"/>
      <c r="G39" s="776"/>
      <c r="H39" s="776"/>
    </row>
    <row r="40" spans="1:8">
      <c r="A40" s="714"/>
      <c r="B40" s="705"/>
    </row>
    <row r="41" spans="1:8">
      <c r="A41" s="714"/>
      <c r="B41" s="704" t="s">
        <v>196</v>
      </c>
      <c r="C41" s="704" t="s">
        <v>199</v>
      </c>
      <c r="D41" s="704" t="s">
        <v>201</v>
      </c>
      <c r="E41" s="704" t="s">
        <v>204</v>
      </c>
      <c r="F41" s="704" t="s">
        <v>211</v>
      </c>
      <c r="G41" s="704" t="s">
        <v>215</v>
      </c>
      <c r="H41" s="704" t="s">
        <v>231</v>
      </c>
    </row>
    <row r="42" spans="1:8" ht="31.2">
      <c r="A42" s="714"/>
      <c r="B42" s="703" t="s">
        <v>702</v>
      </c>
      <c r="C42" s="750" t="s">
        <v>37</v>
      </c>
      <c r="D42" s="750" t="s">
        <v>747</v>
      </c>
      <c r="E42" s="750" t="s">
        <v>404</v>
      </c>
      <c r="F42" s="750" t="s">
        <v>685</v>
      </c>
      <c r="G42" s="750" t="s">
        <v>686</v>
      </c>
      <c r="H42" s="750" t="s">
        <v>748</v>
      </c>
    </row>
    <row r="43" spans="1:8" ht="30" customHeight="1">
      <c r="A43" s="714">
        <f>A32+1</f>
        <v>19</v>
      </c>
      <c r="B43" s="777" t="s">
        <v>761</v>
      </c>
      <c r="C43" s="752"/>
      <c r="D43" s="753"/>
      <c r="E43" s="753"/>
      <c r="F43" s="753"/>
      <c r="G43" s="753"/>
      <c r="H43" s="754"/>
    </row>
    <row r="44" spans="1:8" ht="30" customHeight="1">
      <c r="A44" s="714">
        <f t="shared" ref="A44:A54" si="1">+A43+1</f>
        <v>20</v>
      </c>
      <c r="B44" s="755"/>
      <c r="C44" s="752"/>
      <c r="D44" s="753"/>
      <c r="E44" s="753"/>
      <c r="F44" s="753"/>
      <c r="G44" s="753"/>
      <c r="H44" s="754"/>
    </row>
    <row r="45" spans="1:8" ht="30" customHeight="1">
      <c r="A45" s="714">
        <f t="shared" si="1"/>
        <v>21</v>
      </c>
      <c r="B45" s="755"/>
      <c r="C45" s="752"/>
      <c r="D45" s="753"/>
      <c r="E45" s="753"/>
      <c r="F45" s="753"/>
      <c r="G45" s="753"/>
      <c r="H45" s="754"/>
    </row>
    <row r="46" spans="1:8" ht="30" customHeight="1">
      <c r="A46" s="714">
        <f t="shared" si="1"/>
        <v>22</v>
      </c>
      <c r="B46" s="755"/>
      <c r="C46" s="752"/>
      <c r="D46" s="753"/>
      <c r="E46" s="753"/>
      <c r="F46" s="753"/>
      <c r="G46" s="753"/>
      <c r="H46" s="754"/>
    </row>
    <row r="47" spans="1:8" ht="30" customHeight="1">
      <c r="A47" s="714">
        <f t="shared" si="1"/>
        <v>23</v>
      </c>
      <c r="B47" s="755"/>
      <c r="C47" s="753"/>
      <c r="D47" s="753"/>
      <c r="E47" s="753"/>
      <c r="F47" s="753"/>
      <c r="G47" s="753"/>
      <c r="H47" s="754"/>
    </row>
    <row r="48" spans="1:8" ht="30" customHeight="1">
      <c r="A48" s="714">
        <f t="shared" si="1"/>
        <v>24</v>
      </c>
      <c r="B48" s="755"/>
      <c r="C48" s="753"/>
      <c r="D48" s="753"/>
      <c r="E48" s="753"/>
      <c r="F48" s="753"/>
      <c r="G48" s="753"/>
      <c r="H48" s="754"/>
    </row>
    <row r="49" spans="1:8" ht="30" customHeight="1">
      <c r="A49" s="714">
        <f t="shared" si="1"/>
        <v>25</v>
      </c>
      <c r="B49" s="778"/>
      <c r="C49" s="779"/>
      <c r="D49" s="779"/>
      <c r="E49" s="779"/>
      <c r="F49" s="779"/>
      <c r="G49" s="779"/>
      <c r="H49" s="754"/>
    </row>
    <row r="50" spans="1:8" ht="30" customHeight="1">
      <c r="A50" s="714">
        <f t="shared" si="1"/>
        <v>26</v>
      </c>
      <c r="B50" s="757" t="s">
        <v>762</v>
      </c>
      <c r="C50" s="781">
        <v>-13752173.92075</v>
      </c>
      <c r="D50" s="781"/>
      <c r="E50" s="781">
        <f>+C50+D50</f>
        <v>-13752173.92075</v>
      </c>
      <c r="F50" s="781"/>
      <c r="G50" s="781"/>
      <c r="H50" s="759" t="s">
        <v>750</v>
      </c>
    </row>
    <row r="51" spans="1:8" ht="20.100000000000001" customHeight="1">
      <c r="A51" s="714">
        <f t="shared" si="1"/>
        <v>27</v>
      </c>
      <c r="B51" s="782" t="s">
        <v>771</v>
      </c>
      <c r="C51" s="762">
        <f>SUBTOTAL(9,C43:C50)</f>
        <v>-13752173.92075</v>
      </c>
      <c r="D51" s="762">
        <f>SUM(D43:D50)</f>
        <v>0</v>
      </c>
      <c r="E51" s="762">
        <f>SUM(E43:E50)</f>
        <v>-13752173.92075</v>
      </c>
      <c r="F51" s="762">
        <f>SUM(F43:F50)</f>
        <v>0</v>
      </c>
      <c r="G51" s="762">
        <f>SUM(G43:G50)</f>
        <v>0</v>
      </c>
      <c r="H51" s="763"/>
    </row>
    <row r="52" spans="1:8" ht="20.100000000000001" customHeight="1">
      <c r="A52" s="714">
        <f t="shared" si="1"/>
        <v>28</v>
      </c>
      <c r="B52" s="782" t="s">
        <v>752</v>
      </c>
      <c r="C52" s="765"/>
      <c r="D52" s="765"/>
      <c r="E52" s="765"/>
      <c r="F52" s="765"/>
      <c r="G52" s="765"/>
      <c r="H52" s="754"/>
    </row>
    <row r="53" spans="1:8" ht="20.100000000000001" customHeight="1">
      <c r="A53" s="714">
        <f t="shared" si="1"/>
        <v>29</v>
      </c>
      <c r="B53" s="783" t="s">
        <v>753</v>
      </c>
      <c r="C53" s="769"/>
      <c r="D53" s="769"/>
      <c r="E53" s="769"/>
      <c r="F53" s="769"/>
      <c r="G53" s="769"/>
      <c r="H53" s="770"/>
    </row>
    <row r="54" spans="1:8" ht="20.100000000000001" customHeight="1" thickBot="1">
      <c r="A54" s="714">
        <f t="shared" si="1"/>
        <v>30</v>
      </c>
      <c r="B54" s="771" t="s">
        <v>37</v>
      </c>
      <c r="C54" s="772">
        <f>+C51-C52-C53</f>
        <v>-13752173.92075</v>
      </c>
      <c r="D54" s="772">
        <f>+D51-D52-D53</f>
        <v>0</v>
      </c>
      <c r="E54" s="772">
        <f>+E51-E52-E53</f>
        <v>-13752173.92075</v>
      </c>
      <c r="F54" s="772">
        <f>+F51-F52-F53</f>
        <v>0</v>
      </c>
      <c r="G54" s="772">
        <f>+G51-G52-G53</f>
        <v>0</v>
      </c>
      <c r="H54" s="773"/>
    </row>
    <row r="55" spans="1:8" ht="20.100000000000001" customHeight="1" thickTop="1">
      <c r="A55" s="714"/>
      <c r="B55" s="705" t="s">
        <v>764</v>
      </c>
      <c r="D55" s="704"/>
      <c r="E55" s="774"/>
      <c r="G55" s="776"/>
    </row>
    <row r="56" spans="1:8" ht="20.100000000000001" customHeight="1">
      <c r="A56" s="714"/>
      <c r="B56" s="1266" t="s">
        <v>755</v>
      </c>
      <c r="C56" s="1266"/>
      <c r="D56" s="1266"/>
      <c r="E56" s="1266"/>
      <c r="F56" s="1266"/>
      <c r="G56" s="1266"/>
    </row>
    <row r="57" spans="1:8" ht="20.100000000000001" customHeight="1">
      <c r="A57" s="714"/>
      <c r="B57" s="703" t="s">
        <v>756</v>
      </c>
      <c r="F57" s="704"/>
      <c r="G57" s="704"/>
    </row>
    <row r="58" spans="1:8" ht="20.100000000000001" customHeight="1">
      <c r="A58" s="714"/>
      <c r="B58" s="703" t="s">
        <v>757</v>
      </c>
      <c r="F58" s="704"/>
      <c r="G58" s="704"/>
    </row>
    <row r="59" spans="1:8" ht="20.100000000000001" customHeight="1">
      <c r="A59" s="714"/>
      <c r="B59" s="703" t="s">
        <v>758</v>
      </c>
      <c r="F59" s="704"/>
      <c r="G59" s="704"/>
    </row>
    <row r="60" spans="1:8" ht="33.75" customHeight="1">
      <c r="A60" s="714"/>
      <c r="B60" s="1266" t="s">
        <v>759</v>
      </c>
      <c r="C60" s="1266"/>
      <c r="D60" s="1266"/>
      <c r="E60" s="1266"/>
      <c r="F60" s="1266"/>
      <c r="G60" s="1266"/>
      <c r="H60" s="776"/>
    </row>
    <row r="61" spans="1:8">
      <c r="A61" s="714"/>
      <c r="H61" s="776"/>
    </row>
    <row r="62" spans="1:8">
      <c r="A62" s="714"/>
      <c r="H62" s="776"/>
    </row>
    <row r="63" spans="1:8">
      <c r="A63" s="714"/>
      <c r="B63" s="704" t="s">
        <v>196</v>
      </c>
      <c r="C63" s="704" t="s">
        <v>199</v>
      </c>
      <c r="D63" s="704" t="s">
        <v>201</v>
      </c>
      <c r="E63" s="704" t="s">
        <v>204</v>
      </c>
      <c r="F63" s="704" t="s">
        <v>211</v>
      </c>
      <c r="G63" s="704" t="s">
        <v>215</v>
      </c>
      <c r="H63" s="704" t="s">
        <v>231</v>
      </c>
    </row>
    <row r="64" spans="1:8" ht="31.2">
      <c r="A64" s="714"/>
      <c r="B64" s="703" t="s">
        <v>709</v>
      </c>
      <c r="C64" s="750" t="s">
        <v>37</v>
      </c>
      <c r="D64" s="750" t="s">
        <v>747</v>
      </c>
      <c r="E64" s="750" t="s">
        <v>404</v>
      </c>
      <c r="F64" s="750" t="s">
        <v>685</v>
      </c>
      <c r="G64" s="750" t="s">
        <v>686</v>
      </c>
      <c r="H64" s="750" t="s">
        <v>748</v>
      </c>
    </row>
    <row r="65" spans="1:8" ht="30" customHeight="1">
      <c r="A65" s="714">
        <f>A54+1</f>
        <v>31</v>
      </c>
      <c r="B65" s="784"/>
      <c r="C65" s="752"/>
      <c r="D65" s="753"/>
      <c r="E65" s="753"/>
      <c r="F65" s="753"/>
      <c r="G65" s="753"/>
      <c r="H65" s="754"/>
    </row>
    <row r="66" spans="1:8" ht="30" customHeight="1">
      <c r="A66" s="714">
        <f t="shared" ref="A66:A78" si="2">+A65+1</f>
        <v>32</v>
      </c>
      <c r="B66" s="755"/>
      <c r="C66" s="752"/>
      <c r="D66" s="753"/>
      <c r="E66" s="753"/>
      <c r="F66" s="753"/>
      <c r="G66" s="753"/>
      <c r="H66" s="754"/>
    </row>
    <row r="67" spans="1:8" ht="30" customHeight="1">
      <c r="A67" s="714">
        <f t="shared" si="2"/>
        <v>33</v>
      </c>
      <c r="B67" s="755"/>
      <c r="C67" s="752"/>
      <c r="D67" s="753"/>
      <c r="E67" s="753"/>
      <c r="F67" s="753"/>
      <c r="G67" s="753"/>
      <c r="H67" s="754"/>
    </row>
    <row r="68" spans="1:8" ht="30" customHeight="1">
      <c r="A68" s="714">
        <f t="shared" si="2"/>
        <v>34</v>
      </c>
      <c r="B68" s="755"/>
      <c r="C68" s="752"/>
      <c r="D68" s="753"/>
      <c r="E68" s="753"/>
      <c r="F68" s="753"/>
      <c r="G68" s="753"/>
      <c r="H68" s="754"/>
    </row>
    <row r="69" spans="1:8" ht="30" customHeight="1">
      <c r="A69" s="714">
        <f t="shared" si="2"/>
        <v>35</v>
      </c>
      <c r="B69" s="755"/>
      <c r="C69" s="753"/>
      <c r="D69" s="779"/>
      <c r="E69" s="753"/>
      <c r="F69" s="753"/>
      <c r="G69" s="753"/>
      <c r="H69" s="754"/>
    </row>
    <row r="70" spans="1:8" ht="30" customHeight="1">
      <c r="A70" s="714">
        <f t="shared" si="2"/>
        <v>36</v>
      </c>
      <c r="B70" s="755"/>
      <c r="C70" s="753"/>
      <c r="D70" s="779"/>
      <c r="E70" s="753"/>
      <c r="F70" s="753"/>
      <c r="G70" s="753"/>
      <c r="H70" s="754"/>
    </row>
    <row r="71" spans="1:8" ht="30" customHeight="1">
      <c r="A71" s="714">
        <f t="shared" si="2"/>
        <v>37</v>
      </c>
      <c r="B71" s="755"/>
      <c r="C71" s="753"/>
      <c r="D71" s="779"/>
      <c r="E71" s="753"/>
      <c r="F71" s="753"/>
      <c r="G71" s="753"/>
      <c r="H71" s="754"/>
    </row>
    <row r="72" spans="1:8" ht="30" customHeight="1">
      <c r="A72" s="714">
        <f t="shared" si="2"/>
        <v>38</v>
      </c>
      <c r="B72" s="755"/>
      <c r="C72" s="753"/>
      <c r="D72" s="756"/>
      <c r="E72" s="753"/>
      <c r="F72" s="753"/>
      <c r="G72" s="753"/>
      <c r="H72" s="754"/>
    </row>
    <row r="73" spans="1:8" ht="30" customHeight="1">
      <c r="A73" s="714">
        <f t="shared" si="2"/>
        <v>39</v>
      </c>
      <c r="B73" s="755"/>
      <c r="C73" s="753"/>
      <c r="D73" s="753"/>
      <c r="E73" s="753"/>
      <c r="F73" s="753"/>
      <c r="G73" s="753"/>
      <c r="H73" s="754"/>
    </row>
    <row r="74" spans="1:8" ht="30" customHeight="1">
      <c r="A74" s="714">
        <f t="shared" si="2"/>
        <v>40</v>
      </c>
      <c r="B74" s="757" t="s">
        <v>762</v>
      </c>
      <c r="C74" s="781"/>
      <c r="D74" s="781"/>
      <c r="E74" s="781"/>
      <c r="F74" s="781"/>
      <c r="G74" s="781"/>
      <c r="H74" s="759" t="s">
        <v>750</v>
      </c>
    </row>
    <row r="75" spans="1:8" ht="20.100000000000001" customHeight="1">
      <c r="A75" s="714">
        <f t="shared" si="2"/>
        <v>41</v>
      </c>
      <c r="B75" s="760" t="s">
        <v>772</v>
      </c>
      <c r="C75" s="761">
        <f>SUBTOTAL(9,C65:C74)</f>
        <v>0</v>
      </c>
      <c r="D75" s="761">
        <f>SUM(D65:D74)</f>
        <v>0</v>
      </c>
      <c r="E75" s="762">
        <f>SUM(E65:E74)</f>
        <v>0</v>
      </c>
      <c r="F75" s="761">
        <f>SUM(F65:F74)</f>
        <v>0</v>
      </c>
      <c r="G75" s="761">
        <f>SUM(G65:G74)</f>
        <v>0</v>
      </c>
      <c r="H75" s="754"/>
    </row>
    <row r="76" spans="1:8" ht="20.100000000000001" customHeight="1">
      <c r="A76" s="714">
        <f t="shared" si="2"/>
        <v>42</v>
      </c>
      <c r="B76" s="760" t="s">
        <v>752</v>
      </c>
      <c r="C76" s="766"/>
      <c r="D76" s="766"/>
      <c r="E76" s="766"/>
      <c r="F76" s="766"/>
      <c r="G76" s="766"/>
      <c r="H76" s="754"/>
    </row>
    <row r="77" spans="1:8" ht="20.100000000000001" customHeight="1">
      <c r="A77" s="714">
        <f t="shared" si="2"/>
        <v>43</v>
      </c>
      <c r="B77" s="785" t="s">
        <v>753</v>
      </c>
      <c r="C77" s="786"/>
      <c r="D77" s="786"/>
      <c r="E77" s="786"/>
      <c r="F77" s="786"/>
      <c r="G77" s="786"/>
      <c r="H77" s="770"/>
    </row>
    <row r="78" spans="1:8" ht="20.100000000000001" customHeight="1" thickBot="1">
      <c r="A78" s="714">
        <f t="shared" si="2"/>
        <v>44</v>
      </c>
      <c r="B78" s="771" t="s">
        <v>37</v>
      </c>
      <c r="C78" s="787">
        <f>+C75-C76-C77</f>
        <v>0</v>
      </c>
      <c r="D78" s="787">
        <f>+D75-D76-D77</f>
        <v>0</v>
      </c>
      <c r="E78" s="787">
        <f>+E75-E76-E77</f>
        <v>0</v>
      </c>
      <c r="F78" s="787">
        <f>+F75-F76-F77</f>
        <v>0</v>
      </c>
      <c r="G78" s="787">
        <f>+G75-G76-G77</f>
        <v>0</v>
      </c>
      <c r="H78" s="773"/>
    </row>
    <row r="79" spans="1:8" ht="20.100000000000001" customHeight="1" thickTop="1">
      <c r="A79" s="714"/>
      <c r="B79" s="705" t="s">
        <v>767</v>
      </c>
      <c r="E79" s="704"/>
      <c r="F79" s="704"/>
      <c r="H79" s="788"/>
    </row>
    <row r="80" spans="1:8" ht="20.100000000000001" customHeight="1">
      <c r="A80" s="714"/>
      <c r="B80" s="1266" t="s">
        <v>755</v>
      </c>
      <c r="C80" s="1266"/>
      <c r="D80" s="1266"/>
      <c r="E80" s="1266"/>
      <c r="F80" s="1266"/>
      <c r="G80" s="1266"/>
    </row>
    <row r="81" spans="1:9" ht="20.100000000000001" customHeight="1">
      <c r="A81" s="714"/>
      <c r="B81" s="703" t="s">
        <v>756</v>
      </c>
      <c r="F81" s="704"/>
      <c r="G81" s="704"/>
    </row>
    <row r="82" spans="1:9" ht="20.100000000000001" customHeight="1">
      <c r="A82" s="714"/>
      <c r="B82" s="703" t="s">
        <v>757</v>
      </c>
      <c r="F82" s="704"/>
      <c r="G82" s="704"/>
    </row>
    <row r="83" spans="1:9" ht="20.100000000000001" customHeight="1">
      <c r="A83" s="714"/>
      <c r="B83" s="703" t="s">
        <v>758</v>
      </c>
      <c r="F83" s="704"/>
      <c r="G83" s="704"/>
    </row>
    <row r="84" spans="1:9" ht="32.25" customHeight="1">
      <c r="A84" s="714"/>
      <c r="B84" s="1266" t="s">
        <v>759</v>
      </c>
      <c r="C84" s="1266"/>
      <c r="D84" s="1266"/>
      <c r="E84" s="1266"/>
      <c r="F84" s="1266"/>
      <c r="G84" s="1266"/>
    </row>
    <row r="86" spans="1:9" ht="15.75" customHeight="1">
      <c r="B86" s="789"/>
      <c r="C86" s="789"/>
      <c r="D86" s="789"/>
      <c r="E86" s="789"/>
      <c r="F86" s="789"/>
      <c r="G86" s="789"/>
      <c r="H86" s="789"/>
    </row>
    <row r="87" spans="1:9">
      <c r="B87" s="1265"/>
      <c r="C87" s="1265"/>
      <c r="D87" s="1265"/>
      <c r="E87" s="1265"/>
      <c r="F87" s="1265"/>
      <c r="G87" s="1265"/>
      <c r="H87" s="1265"/>
    </row>
    <row r="88" spans="1:9">
      <c r="B88" s="705"/>
    </row>
    <row r="89" spans="1:9">
      <c r="B89" s="705"/>
    </row>
    <row r="90" spans="1:9" ht="15.75" customHeight="1">
      <c r="B90" s="705"/>
    </row>
    <row r="91" spans="1:9">
      <c r="B91" s="705"/>
      <c r="D91" s="746"/>
      <c r="E91" s="746"/>
      <c r="F91" s="746"/>
      <c r="G91" s="746"/>
      <c r="H91" s="746"/>
      <c r="I91" s="747"/>
    </row>
    <row r="92" spans="1:9">
      <c r="B92" s="705"/>
      <c r="D92" s="746"/>
      <c r="E92" s="746"/>
      <c r="F92" s="746"/>
      <c r="G92" s="746"/>
      <c r="H92" s="746"/>
      <c r="I92" s="747"/>
    </row>
    <row r="93" spans="1:9">
      <c r="D93" s="704"/>
      <c r="E93" s="704"/>
    </row>
    <row r="94" spans="1:9">
      <c r="D94" s="728"/>
      <c r="E94" s="728"/>
    </row>
    <row r="95" spans="1:9">
      <c r="D95" s="728"/>
      <c r="E95" s="728"/>
    </row>
    <row r="96" spans="1:9">
      <c r="D96" s="728"/>
      <c r="E96" s="728"/>
    </row>
    <row r="97" spans="2:5">
      <c r="D97" s="728"/>
      <c r="E97" s="728"/>
    </row>
    <row r="98" spans="2:5">
      <c r="D98" s="728"/>
      <c r="E98" s="728"/>
    </row>
    <row r="99" spans="2:5">
      <c r="D99" s="728"/>
      <c r="E99" s="728"/>
    </row>
    <row r="100" spans="2:5">
      <c r="D100" s="728"/>
      <c r="E100" s="728"/>
    </row>
    <row r="101" spans="2:5">
      <c r="D101" s="728"/>
      <c r="E101" s="728"/>
    </row>
    <row r="102" spans="2:5">
      <c r="D102" s="728"/>
      <c r="E102" s="728"/>
    </row>
    <row r="103" spans="2:5">
      <c r="D103" s="728"/>
      <c r="E103" s="728"/>
    </row>
    <row r="104" spans="2:5">
      <c r="B104" s="705"/>
      <c r="D104" s="728"/>
      <c r="E104" s="728"/>
    </row>
    <row r="105" spans="2:5">
      <c r="D105" s="728"/>
      <c r="E105" s="728"/>
    </row>
    <row r="106" spans="2:5">
      <c r="B106" s="705"/>
      <c r="D106" s="728"/>
      <c r="E106" s="728"/>
    </row>
    <row r="210" spans="9:9">
      <c r="I210" s="729"/>
    </row>
  </sheetData>
  <mergeCells count="11">
    <mergeCell ref="B38:G38"/>
    <mergeCell ref="B1:H1"/>
    <mergeCell ref="B2:H2"/>
    <mergeCell ref="B3:H3"/>
    <mergeCell ref="B15:H15"/>
    <mergeCell ref="B34:G34"/>
    <mergeCell ref="B56:G56"/>
    <mergeCell ref="B60:G60"/>
    <mergeCell ref="B80:G80"/>
    <mergeCell ref="B84:G84"/>
    <mergeCell ref="B87:H87"/>
  </mergeCells>
  <printOptions horizontalCentered="1"/>
  <pageMargins left="0.5" right="0.5" top="0.5" bottom="0.5" header="0.33" footer="0.5"/>
  <pageSetup scale="48" fitToHeight="2" orientation="landscape" r:id="rId1"/>
  <headerFooter alignWithMargins="0">
    <oddFooter>&amp;R&amp;A</oddFooter>
  </headerFooter>
  <rowBreaks count="1" manualBreakCount="1">
    <brk id="40" max="7" man="1"/>
  </rowBreaks>
  <customProperties>
    <customPr name="_pios_id" r:id="rId2"/>
  </customPropertie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1CEBDC-8E59-4E19-B4DB-7CF780EF2C4B}">
  <sheetPr>
    <tabColor rgb="FFFFC000"/>
    <pageSetUpPr fitToPage="1"/>
  </sheetPr>
  <dimension ref="A1:T167"/>
  <sheetViews>
    <sheetView zoomScaleNormal="100" zoomScaleSheetLayoutView="80" workbookViewId="0">
      <selection activeCell="B1" sqref="B1"/>
    </sheetView>
  </sheetViews>
  <sheetFormatPr defaultColWidth="8.81640625" defaultRowHeight="15.6"/>
  <cols>
    <col min="1" max="1" width="5.81640625" style="705" customWidth="1"/>
    <col min="2" max="2" width="54.1796875" style="703" bestFit="1" customWidth="1"/>
    <col min="3" max="3" width="10.81640625" style="705" bestFit="1" customWidth="1"/>
    <col min="4" max="4" width="9.81640625" style="705" bestFit="1" customWidth="1"/>
    <col min="5" max="5" width="16.1796875" style="705" customWidth="1"/>
    <col min="6" max="6" width="12.08984375" style="705" customWidth="1"/>
    <col min="7" max="7" width="11.81640625" style="705" customWidth="1"/>
    <col min="8" max="8" width="14.08984375" style="706" customWidth="1"/>
    <col min="9" max="9" width="33.81640625" style="706" customWidth="1"/>
    <col min="10" max="10" width="8.81640625" style="706"/>
    <col min="11" max="11" width="12.1796875" style="706" customWidth="1"/>
    <col min="12" max="12" width="12.81640625" style="706" customWidth="1"/>
    <col min="13" max="16384" width="8.81640625" style="706"/>
  </cols>
  <sheetData>
    <row r="1" spans="1:20" ht="18" customHeight="1">
      <c r="A1" s="704" t="s">
        <v>773</v>
      </c>
      <c r="B1" s="704"/>
      <c r="C1" s="704"/>
      <c r="D1" s="704"/>
      <c r="E1" s="704"/>
      <c r="F1" s="704"/>
      <c r="G1" s="704"/>
      <c r="H1" s="704"/>
      <c r="I1" s="704"/>
      <c r="J1" s="705"/>
      <c r="K1" s="705"/>
      <c r="L1" s="705"/>
    </row>
    <row r="2" spans="1:20" ht="18" customHeight="1">
      <c r="A2" s="1264" t="str">
        <f>+'5 - True-Up'!A3:J3</f>
        <v>NextEra Energy Transmission New York, Inc.</v>
      </c>
      <c r="B2" s="1264"/>
      <c r="C2" s="1264"/>
      <c r="D2" s="1264"/>
      <c r="E2" s="1264"/>
      <c r="F2" s="1264"/>
      <c r="G2" s="1264"/>
      <c r="H2" s="1264"/>
      <c r="I2" s="1264"/>
      <c r="J2" s="707"/>
      <c r="K2" s="707"/>
      <c r="L2" s="707"/>
    </row>
    <row r="3" spans="1:20" ht="18" customHeight="1">
      <c r="A3" s="1265" t="str">
        <f>'6d- ADIT EOY'!B2</f>
        <v>Projection For the 12 months ended 12/31/2025</v>
      </c>
      <c r="B3" s="1265"/>
      <c r="C3" s="1265"/>
      <c r="D3" s="1265"/>
      <c r="E3" s="1265"/>
      <c r="F3" s="1265"/>
      <c r="G3" s="1265"/>
      <c r="H3" s="1265"/>
      <c r="I3" s="1265"/>
      <c r="J3" s="705"/>
      <c r="K3" s="705"/>
      <c r="L3" s="705"/>
    </row>
    <row r="4" spans="1:20" ht="18" customHeight="1">
      <c r="A4" s="704"/>
      <c r="B4" s="704"/>
      <c r="C4" s="704"/>
      <c r="D4" s="704"/>
      <c r="E4" s="704"/>
      <c r="F4" s="704"/>
      <c r="G4" s="704"/>
      <c r="H4" s="704"/>
      <c r="I4" s="704"/>
      <c r="J4" s="705"/>
      <c r="K4" s="705"/>
      <c r="L4" s="705"/>
    </row>
    <row r="5" spans="1:20" ht="17.399999999999999">
      <c r="B5" s="704" t="s">
        <v>196</v>
      </c>
      <c r="C5" s="704"/>
      <c r="D5" s="708"/>
      <c r="E5" s="708" t="s">
        <v>199</v>
      </c>
      <c r="F5" s="708" t="s">
        <v>201</v>
      </c>
      <c r="G5" s="708" t="s">
        <v>204</v>
      </c>
      <c r="H5" s="708" t="s">
        <v>211</v>
      </c>
      <c r="I5" s="709"/>
    </row>
    <row r="6" spans="1:20">
      <c r="B6" s="706"/>
      <c r="C6" s="706"/>
      <c r="D6" s="706"/>
      <c r="E6" s="706"/>
      <c r="F6" s="706"/>
      <c r="G6" s="706"/>
      <c r="H6" s="708" t="s">
        <v>682</v>
      </c>
      <c r="I6" s="705"/>
      <c r="T6" s="708"/>
    </row>
    <row r="7" spans="1:20" ht="31.2">
      <c r="A7" s="790" t="s">
        <v>683</v>
      </c>
      <c r="B7" s="790" t="s">
        <v>684</v>
      </c>
      <c r="C7" s="791"/>
      <c r="D7" s="792"/>
      <c r="E7" s="794" t="s">
        <v>404</v>
      </c>
      <c r="F7" s="794" t="s">
        <v>685</v>
      </c>
      <c r="G7" s="794" t="s">
        <v>686</v>
      </c>
      <c r="H7" s="794" t="s">
        <v>774</v>
      </c>
      <c r="I7" s="791"/>
      <c r="T7" s="708"/>
    </row>
    <row r="8" spans="1:20">
      <c r="B8" s="714"/>
      <c r="D8" s="706"/>
      <c r="H8" s="705"/>
      <c r="I8" s="705"/>
    </row>
    <row r="9" spans="1:20" ht="20.100000000000001" customHeight="1">
      <c r="A9" s="705">
        <v>1</v>
      </c>
      <c r="B9" s="705" t="s">
        <v>702</v>
      </c>
      <c r="D9" s="706"/>
      <c r="E9" s="715">
        <f>F29</f>
        <v>-3479411.9626214281</v>
      </c>
      <c r="F9" s="715">
        <f>G29</f>
        <v>0</v>
      </c>
      <c r="G9" s="715">
        <f>H29</f>
        <v>0</v>
      </c>
      <c r="H9" s="715"/>
      <c r="I9" s="705" t="s">
        <v>775</v>
      </c>
    </row>
    <row r="10" spans="1:20" ht="20.100000000000001" customHeight="1">
      <c r="A10" s="705">
        <f t="shared" ref="A10:A16" si="0">+A9+1</f>
        <v>2</v>
      </c>
      <c r="B10" s="705" t="s">
        <v>709</v>
      </c>
      <c r="D10" s="706"/>
      <c r="E10" s="715">
        <f>F39</f>
        <v>0</v>
      </c>
      <c r="F10" s="715">
        <f>G39</f>
        <v>0</v>
      </c>
      <c r="G10" s="715">
        <f>H39</f>
        <v>0</v>
      </c>
      <c r="H10" s="715"/>
      <c r="I10" s="705" t="s">
        <v>776</v>
      </c>
    </row>
    <row r="11" spans="1:20" ht="20.100000000000001" customHeight="1">
      <c r="A11" s="705">
        <f t="shared" si="0"/>
        <v>3</v>
      </c>
      <c r="B11" s="705" t="s">
        <v>689</v>
      </c>
      <c r="D11" s="706"/>
      <c r="E11" s="715">
        <f>F49</f>
        <v>0</v>
      </c>
      <c r="F11" s="715">
        <f>G49</f>
        <v>0</v>
      </c>
      <c r="G11" s="715">
        <f>H49</f>
        <v>0</v>
      </c>
      <c r="H11" s="715"/>
      <c r="I11" s="705" t="s">
        <v>777</v>
      </c>
    </row>
    <row r="12" spans="1:20" ht="20.100000000000001" customHeight="1">
      <c r="A12" s="705">
        <f t="shared" si="0"/>
        <v>4</v>
      </c>
      <c r="B12" s="705" t="s">
        <v>690</v>
      </c>
      <c r="D12" s="706"/>
      <c r="E12" s="715">
        <f>SUM(E9:E11)</f>
        <v>-3479411.9626214281</v>
      </c>
      <c r="F12" s="715">
        <f>SUM(F9:F11)</f>
        <v>0</v>
      </c>
      <c r="G12" s="715">
        <f>SUM(G9:G11)</f>
        <v>0</v>
      </c>
      <c r="H12" s="715"/>
      <c r="I12" s="716" t="s">
        <v>691</v>
      </c>
    </row>
    <row r="13" spans="1:20" ht="20.100000000000001" customHeight="1">
      <c r="A13" s="705">
        <f t="shared" si="0"/>
        <v>5</v>
      </c>
      <c r="B13" s="705" t="s">
        <v>778</v>
      </c>
      <c r="D13" s="706"/>
      <c r="G13" s="717">
        <f>+'Appendix A'!J224</f>
        <v>1</v>
      </c>
      <c r="H13" s="705"/>
      <c r="I13" s="705" t="s">
        <v>693</v>
      </c>
    </row>
    <row r="14" spans="1:20" ht="20.100000000000001" customHeight="1">
      <c r="A14" s="705">
        <f t="shared" si="0"/>
        <v>6</v>
      </c>
      <c r="B14" s="705" t="s">
        <v>694</v>
      </c>
      <c r="D14" s="706"/>
      <c r="F14" s="718">
        <f>+'Appendix A'!H97</f>
        <v>1</v>
      </c>
      <c r="H14" s="705"/>
      <c r="I14" s="705" t="s">
        <v>695</v>
      </c>
    </row>
    <row r="15" spans="1:20" ht="20.100000000000001" customHeight="1">
      <c r="A15" s="705">
        <f t="shared" si="0"/>
        <v>7</v>
      </c>
      <c r="B15" s="705" t="s">
        <v>696</v>
      </c>
      <c r="D15" s="706"/>
      <c r="E15" s="718">
        <v>1</v>
      </c>
      <c r="F15" s="718"/>
      <c r="H15" s="705"/>
      <c r="I15" s="719">
        <v>1</v>
      </c>
    </row>
    <row r="16" spans="1:20" ht="20.100000000000001" customHeight="1">
      <c r="A16" s="705">
        <f t="shared" si="0"/>
        <v>8</v>
      </c>
      <c r="B16" s="705" t="s">
        <v>779</v>
      </c>
      <c r="D16" s="706"/>
      <c r="E16" s="715">
        <f>+E12*E15</f>
        <v>-3479411.9626214281</v>
      </c>
      <c r="F16" s="715">
        <f>+F14*F12</f>
        <v>0</v>
      </c>
      <c r="G16" s="715">
        <f>+G13*G12</f>
        <v>0</v>
      </c>
      <c r="H16" s="715">
        <f>+E16+F16+G16</f>
        <v>-3479411.9626214281</v>
      </c>
      <c r="I16" s="720" t="s">
        <v>698</v>
      </c>
    </row>
    <row r="17" spans="1:17">
      <c r="B17" s="705"/>
      <c r="D17" s="706"/>
      <c r="E17" s="715"/>
      <c r="F17" s="715"/>
      <c r="G17" s="715"/>
      <c r="H17" s="715"/>
      <c r="I17" s="720"/>
    </row>
    <row r="18" spans="1:17">
      <c r="B18" s="705"/>
      <c r="D18" s="716"/>
      <c r="G18" s="715"/>
      <c r="I18" s="708"/>
    </row>
    <row r="19" spans="1:17">
      <c r="B19" s="704" t="s">
        <v>175</v>
      </c>
      <c r="C19" s="704" t="s">
        <v>176</v>
      </c>
      <c r="D19" s="704" t="s">
        <v>177</v>
      </c>
      <c r="E19" s="704" t="s">
        <v>380</v>
      </c>
      <c r="F19" s="704" t="s">
        <v>381</v>
      </c>
      <c r="G19" s="708" t="s">
        <v>382</v>
      </c>
      <c r="H19" s="708" t="s">
        <v>383</v>
      </c>
      <c r="I19" s="708"/>
    </row>
    <row r="20" spans="1:17" ht="31.2">
      <c r="A20" s="795"/>
      <c r="B20" s="796" t="s">
        <v>699</v>
      </c>
      <c r="C20" s="796" t="s">
        <v>700</v>
      </c>
      <c r="D20" s="796" t="s">
        <v>300</v>
      </c>
      <c r="E20" s="796" t="s">
        <v>701</v>
      </c>
      <c r="F20" s="796" t="s">
        <v>404</v>
      </c>
      <c r="G20" s="796" t="s">
        <v>685</v>
      </c>
      <c r="H20" s="796" t="s">
        <v>686</v>
      </c>
      <c r="I20" s="796"/>
      <c r="Q20" s="708"/>
    </row>
    <row r="21" spans="1:17">
      <c r="A21" s="705" t="s">
        <v>702</v>
      </c>
      <c r="D21" s="704"/>
      <c r="E21" s="704"/>
      <c r="F21" s="704"/>
      <c r="G21" s="706"/>
      <c r="Q21" s="708"/>
    </row>
    <row r="22" spans="1:17" ht="20.100000000000001" customHeight="1">
      <c r="A22" s="724">
        <f>A16+1</f>
        <v>9</v>
      </c>
      <c r="B22" s="723" t="s">
        <v>703</v>
      </c>
      <c r="C22" s="706" t="s">
        <v>302</v>
      </c>
      <c r="D22" s="725" t="s">
        <v>704</v>
      </c>
      <c r="E22" s="28">
        <f t="shared" ref="E22:E28" si="1">SUM(F22:H22)</f>
        <v>-10475927.171100002</v>
      </c>
      <c r="F22" s="28">
        <f>'6c- ADIT BOY'!E54</f>
        <v>-10475927.171100002</v>
      </c>
      <c r="G22" s="28">
        <f>'6c- ADIT BOY'!F54</f>
        <v>0</v>
      </c>
      <c r="H22" s="28">
        <f>'6c- ADIT BOY'!G54</f>
        <v>0</v>
      </c>
      <c r="I22" s="726"/>
    </row>
    <row r="23" spans="1:17" ht="20.100000000000001" customHeight="1">
      <c r="A23" s="724">
        <f>A22+1</f>
        <v>10</v>
      </c>
      <c r="B23" s="723" t="str">
        <f>"Actual Balance, BOY, Non Prorated items (Line "&amp;A22&amp;" less Line "&amp;A24&amp;")"</f>
        <v>Actual Balance, BOY, Non Prorated items (Line 9 less Line 11)</v>
      </c>
      <c r="C23" s="706" t="s">
        <v>302</v>
      </c>
      <c r="D23" s="725" t="s">
        <v>704</v>
      </c>
      <c r="E23" s="28">
        <f t="shared" si="1"/>
        <v>-10475927.171100002</v>
      </c>
      <c r="F23" s="28">
        <f>F22-F24</f>
        <v>-10475927.171100002</v>
      </c>
      <c r="G23" s="28">
        <f>G22-G24</f>
        <v>0</v>
      </c>
      <c r="H23" s="28">
        <f>H22-H24</f>
        <v>0</v>
      </c>
      <c r="I23" s="726"/>
    </row>
    <row r="24" spans="1:17" ht="20.100000000000001" customHeight="1">
      <c r="A24" s="724">
        <f t="shared" ref="A24:A29" si="2">A23+1</f>
        <v>11</v>
      </c>
      <c r="B24" s="723" t="s">
        <v>705</v>
      </c>
      <c r="C24" s="706" t="s">
        <v>302</v>
      </c>
      <c r="D24" s="725" t="s">
        <v>704</v>
      </c>
      <c r="E24" s="28">
        <f t="shared" si="1"/>
        <v>0</v>
      </c>
      <c r="F24" s="28">
        <f>'6c- ADIT BOY'!E50</f>
        <v>0</v>
      </c>
      <c r="G24" s="28">
        <f>'6c- ADIT BOY'!F50</f>
        <v>0</v>
      </c>
      <c r="H24" s="28">
        <f>'6c- ADIT BOY'!G50</f>
        <v>0</v>
      </c>
      <c r="I24" s="726"/>
    </row>
    <row r="25" spans="1:17" ht="20.100000000000001" customHeight="1">
      <c r="A25" s="724">
        <f t="shared" si="2"/>
        <v>12</v>
      </c>
      <c r="B25" s="723" t="s">
        <v>706</v>
      </c>
      <c r="C25" s="706" t="s">
        <v>302</v>
      </c>
      <c r="D25" s="725" t="s">
        <v>704</v>
      </c>
      <c r="E25" s="28">
        <f t="shared" si="1"/>
        <v>-13752173.92075</v>
      </c>
      <c r="F25" s="28">
        <f>'6d- ADIT EOY'!E54</f>
        <v>-13752173.92075</v>
      </c>
      <c r="G25" s="28">
        <f>'6d- ADIT EOY'!F54</f>
        <v>0</v>
      </c>
      <c r="H25" s="28">
        <f>'6d- ADIT EOY'!G54</f>
        <v>0</v>
      </c>
      <c r="I25" s="726"/>
    </row>
    <row r="26" spans="1:17" ht="20.100000000000001" customHeight="1">
      <c r="A26" s="724">
        <f t="shared" si="2"/>
        <v>13</v>
      </c>
      <c r="B26" s="723" t="str">
        <f>"Actual Balance, EOY, Non Prorated items (Line "&amp;A25&amp;" less Line "&amp;A27&amp;")"</f>
        <v>Actual Balance, EOY, Non Prorated items (Line 12 less Line 14)</v>
      </c>
      <c r="C26" s="706" t="s">
        <v>302</v>
      </c>
      <c r="D26" s="725" t="s">
        <v>704</v>
      </c>
      <c r="E26" s="28">
        <f t="shared" si="1"/>
        <v>0</v>
      </c>
      <c r="F26" s="28">
        <f>F25-F27</f>
        <v>0</v>
      </c>
      <c r="G26" s="28">
        <f t="shared" ref="G26:H26" si="3">G25-G27</f>
        <v>0</v>
      </c>
      <c r="H26" s="28">
        <f t="shared" si="3"/>
        <v>0</v>
      </c>
      <c r="I26" s="726"/>
    </row>
    <row r="27" spans="1:17" ht="20.100000000000001" customHeight="1">
      <c r="A27" s="724">
        <f t="shared" si="2"/>
        <v>14</v>
      </c>
      <c r="B27" s="723" t="s">
        <v>707</v>
      </c>
      <c r="C27" s="706" t="s">
        <v>302</v>
      </c>
      <c r="D27" s="725" t="s">
        <v>704</v>
      </c>
      <c r="E27" s="28">
        <f t="shared" si="1"/>
        <v>-13752173.92075</v>
      </c>
      <c r="F27" s="28">
        <f>'6d- ADIT EOY'!E50</f>
        <v>-13752173.92075</v>
      </c>
      <c r="G27" s="28">
        <f>'6d- ADIT EOY'!F50</f>
        <v>0</v>
      </c>
      <c r="H27" s="28">
        <f>'6d- ADIT EOY'!G50</f>
        <v>0</v>
      </c>
      <c r="I27" s="726"/>
    </row>
    <row r="28" spans="1:17" ht="20.100000000000001" customHeight="1">
      <c r="A28" s="724">
        <f t="shared" si="2"/>
        <v>15</v>
      </c>
      <c r="B28" s="723" t="s">
        <v>780</v>
      </c>
      <c r="C28" s="706" t="s">
        <v>302</v>
      </c>
      <c r="D28" s="725" t="s">
        <v>704</v>
      </c>
      <c r="E28" s="28">
        <f t="shared" si="1"/>
        <v>1758551.6229285731</v>
      </c>
      <c r="F28" s="28">
        <f>'6f-ADIT True-up Proration'!N22</f>
        <v>1758551.6229285731</v>
      </c>
      <c r="G28" s="28">
        <f>'6f-ADIT True-up Proration'!W22</f>
        <v>0</v>
      </c>
      <c r="H28" s="28">
        <f>'6f-ADIT True-up Proration'!AF22</f>
        <v>0</v>
      </c>
      <c r="I28" s="726"/>
    </row>
    <row r="29" spans="1:17" ht="20.100000000000001" customHeight="1">
      <c r="A29" s="724">
        <f t="shared" si="2"/>
        <v>16</v>
      </c>
      <c r="B29" s="723" t="str">
        <f>"ADIT 282 ((Line "&amp;A23&amp;" plus Line "&amp;A26&amp;") / 2) plus Line "&amp;A28&amp;""</f>
        <v>ADIT 282 ((Line 10 plus Line 13) / 2) plus Line 15</v>
      </c>
      <c r="C29" s="706" t="s">
        <v>302</v>
      </c>
      <c r="D29" s="725" t="s">
        <v>704</v>
      </c>
      <c r="E29" s="28">
        <f>SUM(F29:H29)</f>
        <v>-3479411.9626214281</v>
      </c>
      <c r="F29" s="28">
        <f>((F23+F26)/2+F28)</f>
        <v>-3479411.9626214281</v>
      </c>
      <c r="G29" s="28">
        <f>((G23+G26)/2+G28)</f>
        <v>0</v>
      </c>
      <c r="H29" s="28">
        <f t="shared" ref="H29" si="4">((H23+H26)/2+H28)</f>
        <v>0</v>
      </c>
      <c r="I29" s="727"/>
    </row>
    <row r="30" spans="1:17" ht="15">
      <c r="A30" s="724"/>
      <c r="B30" s="723"/>
      <c r="C30" s="706"/>
      <c r="D30" s="706"/>
      <c r="E30" s="28"/>
      <c r="F30" s="28"/>
      <c r="G30" s="28"/>
      <c r="H30" s="28"/>
    </row>
    <row r="31" spans="1:17" ht="15">
      <c r="A31" s="706" t="s">
        <v>709</v>
      </c>
      <c r="B31" s="723"/>
      <c r="C31" s="706"/>
      <c r="D31" s="706"/>
      <c r="E31" s="28"/>
      <c r="F31" s="28"/>
      <c r="G31" s="28"/>
      <c r="H31" s="28"/>
    </row>
    <row r="32" spans="1:17" ht="20.100000000000001" customHeight="1">
      <c r="A32" s="724">
        <f>A29+1</f>
        <v>17</v>
      </c>
      <c r="B32" s="723" t="s">
        <v>710</v>
      </c>
      <c r="C32" s="706" t="s">
        <v>302</v>
      </c>
      <c r="D32" s="725" t="s">
        <v>704</v>
      </c>
      <c r="E32" s="28">
        <f t="shared" ref="E32:E39" si="5">SUM(F32:H32)</f>
        <v>0</v>
      </c>
      <c r="F32" s="28">
        <f>'6c- ADIT BOY'!E78</f>
        <v>0</v>
      </c>
      <c r="G32" s="28">
        <f>'6c- ADIT BOY'!F78</f>
        <v>0</v>
      </c>
      <c r="H32" s="28">
        <f>'6c- ADIT BOY'!G78</f>
        <v>0</v>
      </c>
      <c r="I32" s="726"/>
    </row>
    <row r="33" spans="1:9" ht="20.100000000000001" customHeight="1">
      <c r="A33" s="724">
        <f>A32+1</f>
        <v>18</v>
      </c>
      <c r="B33" s="723" t="str">
        <f>"Actual Balance, BOY, Non Prorated items (Line "&amp;A32&amp;" less Line "&amp;A34&amp;")"</f>
        <v>Actual Balance, BOY, Non Prorated items (Line 17 less Line 19)</v>
      </c>
      <c r="C33" s="706" t="s">
        <v>302</v>
      </c>
      <c r="D33" s="725" t="s">
        <v>704</v>
      </c>
      <c r="E33" s="28">
        <f t="shared" si="5"/>
        <v>0</v>
      </c>
      <c r="F33" s="28">
        <f>F32-F34</f>
        <v>0</v>
      </c>
      <c r="G33" s="28">
        <f t="shared" ref="G33:H33" si="6">G32-G34</f>
        <v>0</v>
      </c>
      <c r="H33" s="28">
        <f t="shared" si="6"/>
        <v>0</v>
      </c>
      <c r="I33" s="726"/>
    </row>
    <row r="34" spans="1:9" ht="20.100000000000001" customHeight="1">
      <c r="A34" s="724">
        <f t="shared" ref="A34:A39" si="7">A33+1</f>
        <v>19</v>
      </c>
      <c r="B34" s="723" t="s">
        <v>711</v>
      </c>
      <c r="C34" s="706" t="s">
        <v>302</v>
      </c>
      <c r="D34" s="725" t="s">
        <v>704</v>
      </c>
      <c r="E34" s="28">
        <f t="shared" si="5"/>
        <v>0</v>
      </c>
      <c r="F34" s="28">
        <f>'6c- ADIT BOY'!E74</f>
        <v>0</v>
      </c>
      <c r="G34" s="28">
        <f>'6c- ADIT BOY'!F74</f>
        <v>0</v>
      </c>
      <c r="H34" s="28">
        <f>'6c- ADIT BOY'!G74</f>
        <v>0</v>
      </c>
      <c r="I34" s="726"/>
    </row>
    <row r="35" spans="1:9" ht="20.100000000000001" customHeight="1">
      <c r="A35" s="724">
        <f t="shared" si="7"/>
        <v>20</v>
      </c>
      <c r="B35" s="723" t="s">
        <v>712</v>
      </c>
      <c r="C35" s="706" t="s">
        <v>302</v>
      </c>
      <c r="D35" s="725" t="s">
        <v>704</v>
      </c>
      <c r="E35" s="28">
        <f t="shared" si="5"/>
        <v>0</v>
      </c>
      <c r="F35" s="28">
        <f>'6d- ADIT EOY'!E78</f>
        <v>0</v>
      </c>
      <c r="G35" s="28">
        <f>'6d- ADIT EOY'!F78</f>
        <v>0</v>
      </c>
      <c r="H35" s="28">
        <f>'6d- ADIT EOY'!G78</f>
        <v>0</v>
      </c>
      <c r="I35" s="726"/>
    </row>
    <row r="36" spans="1:9" ht="20.100000000000001" customHeight="1">
      <c r="A36" s="724">
        <f t="shared" si="7"/>
        <v>21</v>
      </c>
      <c r="B36" s="723" t="str">
        <f>"Actual Balance, EOY, Non Prorated items (Line "&amp;A35&amp;" less Line "&amp;A37&amp;")"</f>
        <v>Actual Balance, EOY, Non Prorated items (Line 20 less Line 22)</v>
      </c>
      <c r="C36" s="706" t="s">
        <v>302</v>
      </c>
      <c r="D36" s="725" t="s">
        <v>704</v>
      </c>
      <c r="E36" s="28">
        <f t="shared" si="5"/>
        <v>0</v>
      </c>
      <c r="F36" s="28">
        <f>F35-F37</f>
        <v>0</v>
      </c>
      <c r="G36" s="28">
        <f t="shared" ref="G36:H36" si="8">G35-G37</f>
        <v>0</v>
      </c>
      <c r="H36" s="28">
        <f t="shared" si="8"/>
        <v>0</v>
      </c>
      <c r="I36" s="726"/>
    </row>
    <row r="37" spans="1:9" ht="20.100000000000001" customHeight="1">
      <c r="A37" s="724">
        <f t="shared" si="7"/>
        <v>22</v>
      </c>
      <c r="B37" s="723" t="s">
        <v>713</v>
      </c>
      <c r="C37" s="706" t="s">
        <v>302</v>
      </c>
      <c r="D37" s="725" t="s">
        <v>704</v>
      </c>
      <c r="E37" s="28">
        <f t="shared" si="5"/>
        <v>0</v>
      </c>
      <c r="F37" s="28">
        <f>'6d- ADIT EOY'!E74</f>
        <v>0</v>
      </c>
      <c r="G37" s="28">
        <f>'6d- ADIT EOY'!F74</f>
        <v>0</v>
      </c>
      <c r="H37" s="28">
        <f>'6d- ADIT EOY'!G74</f>
        <v>0</v>
      </c>
      <c r="I37" s="726"/>
    </row>
    <row r="38" spans="1:9" ht="20.100000000000001" customHeight="1">
      <c r="A38" s="724">
        <f t="shared" si="7"/>
        <v>23</v>
      </c>
      <c r="B38" s="723" t="s">
        <v>781</v>
      </c>
      <c r="C38" s="706" t="s">
        <v>302</v>
      </c>
      <c r="D38" s="725" t="s">
        <v>704</v>
      </c>
      <c r="E38" s="28">
        <f t="shared" si="5"/>
        <v>0</v>
      </c>
      <c r="F38" s="28">
        <f>'6f-ADIT True-up Proration'!N38</f>
        <v>0</v>
      </c>
      <c r="G38" s="28">
        <f>'6f-ADIT True-up Proration'!W38</f>
        <v>0</v>
      </c>
      <c r="H38" s="28">
        <f>'6f-ADIT True-up Proration'!AF38</f>
        <v>0</v>
      </c>
      <c r="I38" s="726"/>
    </row>
    <row r="39" spans="1:9" ht="20.100000000000001" customHeight="1">
      <c r="A39" s="724">
        <f t="shared" si="7"/>
        <v>24</v>
      </c>
      <c r="B39" s="723" t="str">
        <f>"ADIT 283 ((Line "&amp;A33&amp;" plus Line "&amp;A36&amp;") / 2) plus Line "&amp;A38&amp;""</f>
        <v>ADIT 283 ((Line 18 plus Line 21) / 2) plus Line 23</v>
      </c>
      <c r="C39" s="706" t="s">
        <v>302</v>
      </c>
      <c r="D39" s="725" t="s">
        <v>704</v>
      </c>
      <c r="E39" s="28">
        <f t="shared" si="5"/>
        <v>0</v>
      </c>
      <c r="F39" s="28">
        <f>((F33+F36)/2+F38)</f>
        <v>0</v>
      </c>
      <c r="G39" s="28">
        <f>((G33+G36)/2+G38)</f>
        <v>0</v>
      </c>
      <c r="H39" s="28">
        <f>((H33+H36)/2+H38)</f>
        <v>0</v>
      </c>
      <c r="I39" s="727"/>
    </row>
    <row r="40" spans="1:9" ht="15">
      <c r="A40" s="724"/>
      <c r="B40" s="723"/>
      <c r="C40" s="706"/>
      <c r="D40" s="706"/>
      <c r="E40" s="28"/>
      <c r="F40" s="28"/>
      <c r="G40" s="28"/>
      <c r="H40" s="28"/>
    </row>
    <row r="41" spans="1:9" ht="15">
      <c r="A41" s="706" t="s">
        <v>689</v>
      </c>
      <c r="B41" s="723"/>
      <c r="C41" s="706"/>
      <c r="D41" s="706"/>
      <c r="E41" s="28"/>
      <c r="F41" s="28"/>
      <c r="G41" s="28"/>
      <c r="H41" s="28"/>
    </row>
    <row r="42" spans="1:9" ht="20.100000000000001" customHeight="1">
      <c r="A42" s="724">
        <f>A39+1</f>
        <v>25</v>
      </c>
      <c r="B42" s="723" t="s">
        <v>715</v>
      </c>
      <c r="C42" s="706" t="s">
        <v>302</v>
      </c>
      <c r="D42" s="725" t="s">
        <v>704</v>
      </c>
      <c r="E42" s="28">
        <f t="shared" ref="E42:E49" si="9">SUM(F42:H42)</f>
        <v>0</v>
      </c>
      <c r="F42" s="28">
        <f>'6c- ADIT BOY'!E32</f>
        <v>0</v>
      </c>
      <c r="G42" s="28">
        <f>'6c- ADIT BOY'!F32</f>
        <v>0</v>
      </c>
      <c r="H42" s="28">
        <f>'6c- ADIT BOY'!G32</f>
        <v>0</v>
      </c>
      <c r="I42" s="726"/>
    </row>
    <row r="43" spans="1:9" ht="20.100000000000001" customHeight="1">
      <c r="A43" s="724">
        <f>A42+1</f>
        <v>26</v>
      </c>
      <c r="B43" s="723" t="str">
        <f>"Actual Balance, BOY, Non Prorated items (Line "&amp;A42&amp;" less Line "&amp;A44&amp;")"</f>
        <v>Actual Balance, BOY, Non Prorated items (Line 25 less Line 27)</v>
      </c>
      <c r="C43" s="706" t="s">
        <v>302</v>
      </c>
      <c r="D43" s="725" t="s">
        <v>704</v>
      </c>
      <c r="E43" s="28">
        <f t="shared" si="9"/>
        <v>0</v>
      </c>
      <c r="F43" s="28">
        <f>F42-F44</f>
        <v>0</v>
      </c>
      <c r="G43" s="28">
        <f>G42-G44</f>
        <v>0</v>
      </c>
      <c r="H43" s="28">
        <f>H42-H44</f>
        <v>0</v>
      </c>
      <c r="I43" s="726"/>
    </row>
    <row r="44" spans="1:9" ht="20.100000000000001" customHeight="1">
      <c r="A44" s="724">
        <f t="shared" ref="A44:A49" si="10">A43+1</f>
        <v>27</v>
      </c>
      <c r="B44" s="723" t="s">
        <v>716</v>
      </c>
      <c r="C44" s="706" t="s">
        <v>302</v>
      </c>
      <c r="D44" s="725" t="s">
        <v>704</v>
      </c>
      <c r="E44" s="28">
        <f t="shared" si="9"/>
        <v>0</v>
      </c>
      <c r="F44" s="28">
        <f>'6c- ADIT BOY'!E28</f>
        <v>0</v>
      </c>
      <c r="G44" s="28">
        <f>'6c- ADIT BOY'!F28</f>
        <v>0</v>
      </c>
      <c r="H44" s="28">
        <f>'6c- ADIT BOY'!G28</f>
        <v>0</v>
      </c>
      <c r="I44" s="726"/>
    </row>
    <row r="45" spans="1:9" ht="20.100000000000001" customHeight="1">
      <c r="A45" s="724">
        <f t="shared" si="10"/>
        <v>28</v>
      </c>
      <c r="B45" s="723" t="s">
        <v>717</v>
      </c>
      <c r="C45" s="706" t="s">
        <v>302</v>
      </c>
      <c r="D45" s="725" t="s">
        <v>704</v>
      </c>
      <c r="E45" s="28">
        <f t="shared" si="9"/>
        <v>0</v>
      </c>
      <c r="F45" s="28">
        <f>'6d- ADIT EOY'!E32</f>
        <v>0</v>
      </c>
      <c r="G45" s="28">
        <f>'6d- ADIT EOY'!F32</f>
        <v>0</v>
      </c>
      <c r="H45" s="28">
        <f>'6d- ADIT EOY'!G32</f>
        <v>0</v>
      </c>
      <c r="I45" s="726"/>
    </row>
    <row r="46" spans="1:9" ht="20.100000000000001" customHeight="1">
      <c r="A46" s="724">
        <f t="shared" si="10"/>
        <v>29</v>
      </c>
      <c r="B46" s="723" t="str">
        <f>"Actual Balance, EOY, Non Prorated items (Line "&amp;A45&amp;" less Line "&amp;A47&amp;")"</f>
        <v>Actual Balance, EOY, Non Prorated items (Line 28 less Line 30)</v>
      </c>
      <c r="C46" s="706" t="s">
        <v>302</v>
      </c>
      <c r="D46" s="725" t="s">
        <v>704</v>
      </c>
      <c r="E46" s="28">
        <f t="shared" si="9"/>
        <v>0</v>
      </c>
      <c r="F46" s="28">
        <f>F45-F47</f>
        <v>0</v>
      </c>
      <c r="G46" s="28">
        <f>G45-G47</f>
        <v>0</v>
      </c>
      <c r="H46" s="28">
        <f>H45-H47</f>
        <v>0</v>
      </c>
      <c r="I46" s="726"/>
    </row>
    <row r="47" spans="1:9" ht="20.100000000000001" customHeight="1">
      <c r="A47" s="724">
        <f t="shared" si="10"/>
        <v>30</v>
      </c>
      <c r="B47" s="723" t="s">
        <v>718</v>
      </c>
      <c r="C47" s="706" t="s">
        <v>302</v>
      </c>
      <c r="D47" s="725" t="s">
        <v>704</v>
      </c>
      <c r="E47" s="28">
        <f t="shared" si="9"/>
        <v>0</v>
      </c>
      <c r="F47" s="28">
        <f>'6d- ADIT EOY'!E28</f>
        <v>0</v>
      </c>
      <c r="G47" s="28">
        <f>'6d- ADIT EOY'!F28</f>
        <v>0</v>
      </c>
      <c r="H47" s="28">
        <f>'6d- ADIT EOY'!G28</f>
        <v>0</v>
      </c>
      <c r="I47" s="726"/>
    </row>
    <row r="48" spans="1:9" ht="20.100000000000001" customHeight="1">
      <c r="A48" s="724">
        <f t="shared" si="10"/>
        <v>31</v>
      </c>
      <c r="B48" s="723" t="s">
        <v>782</v>
      </c>
      <c r="C48" s="706" t="s">
        <v>302</v>
      </c>
      <c r="D48" s="725" t="s">
        <v>704</v>
      </c>
      <c r="E48" s="28">
        <f t="shared" si="9"/>
        <v>0</v>
      </c>
      <c r="F48" s="28">
        <f>'6f-ADIT True-up Proration'!N54</f>
        <v>0</v>
      </c>
      <c r="G48" s="28">
        <f>'6f-ADIT True-up Proration'!W54</f>
        <v>0</v>
      </c>
      <c r="H48" s="28">
        <f>'6f-ADIT True-up Proration'!AF54</f>
        <v>0</v>
      </c>
      <c r="I48" s="726"/>
    </row>
    <row r="49" spans="1:9" ht="20.100000000000001" customHeight="1">
      <c r="A49" s="724">
        <f t="shared" si="10"/>
        <v>32</v>
      </c>
      <c r="B49" s="723" t="str">
        <f>"ADIT 190 ((Line "&amp;A43&amp;" plus Line "&amp;A46&amp;") / 2) plus Line "&amp;A48&amp;""</f>
        <v>ADIT 190 ((Line 26 plus Line 29) / 2) plus Line 31</v>
      </c>
      <c r="C49" s="706" t="s">
        <v>302</v>
      </c>
      <c r="D49" s="725" t="s">
        <v>704</v>
      </c>
      <c r="E49" s="28">
        <f t="shared" si="9"/>
        <v>0</v>
      </c>
      <c r="F49" s="28">
        <f>((F43+F46)/2+F48)</f>
        <v>0</v>
      </c>
      <c r="G49" s="28">
        <f t="shared" ref="G49:H49" si="11">((G43+G46)/2+G48)</f>
        <v>0</v>
      </c>
      <c r="H49" s="28">
        <f t="shared" si="11"/>
        <v>0</v>
      </c>
      <c r="I49" s="727"/>
    </row>
    <row r="50" spans="1:9">
      <c r="D50" s="704"/>
    </row>
    <row r="51" spans="1:9">
      <c r="D51" s="728"/>
    </row>
    <row r="52" spans="1:9">
      <c r="D52" s="728"/>
    </row>
    <row r="53" spans="1:9">
      <c r="D53" s="728"/>
    </row>
    <row r="54" spans="1:9">
      <c r="D54" s="728"/>
    </row>
    <row r="55" spans="1:9">
      <c r="D55" s="728"/>
    </row>
    <row r="56" spans="1:9">
      <c r="D56" s="728"/>
    </row>
    <row r="57" spans="1:9">
      <c r="D57" s="728"/>
    </row>
    <row r="58" spans="1:9">
      <c r="D58" s="728"/>
    </row>
    <row r="59" spans="1:9">
      <c r="D59" s="728"/>
    </row>
    <row r="60" spans="1:9">
      <c r="D60" s="728"/>
    </row>
    <row r="61" spans="1:9">
      <c r="B61" s="705"/>
      <c r="D61" s="728"/>
    </row>
    <row r="62" spans="1:9">
      <c r="D62" s="728"/>
    </row>
    <row r="63" spans="1:9">
      <c r="B63" s="705"/>
      <c r="D63" s="728"/>
    </row>
    <row r="167" spans="8:8">
      <c r="H167" s="729"/>
    </row>
  </sheetData>
  <mergeCells count="2">
    <mergeCell ref="A2:I2"/>
    <mergeCell ref="A3:I3"/>
  </mergeCells>
  <printOptions horizontalCentered="1"/>
  <pageMargins left="0.25" right="0.25" top="0.75" bottom="0.75" header="0.3" footer="0.3"/>
  <pageSetup scale="50" orientation="landscape" r:id="rId1"/>
  <headerFooter alignWithMargins="0">
    <oddFooter>&amp;R&amp;A</oddFooter>
  </headerFooter>
  <customProperties>
    <customPr name="_pios_id" r:id="rId2"/>
  </customPropertie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93E65B-6BB8-451E-A71C-8A9C0817CB26}">
  <sheetPr>
    <tabColor rgb="FFFFC000"/>
  </sheetPr>
  <dimension ref="A1:AG74"/>
  <sheetViews>
    <sheetView topLeftCell="D1" zoomScale="85" zoomScaleNormal="85" zoomScaleSheetLayoutView="100" workbookViewId="0">
      <selection activeCell="K12" sqref="K12"/>
    </sheetView>
  </sheetViews>
  <sheetFormatPr defaultColWidth="8.81640625" defaultRowHeight="13.2"/>
  <cols>
    <col min="1" max="1" width="5.81640625" style="800" customWidth="1"/>
    <col min="2" max="2" width="25.81640625" style="797" customWidth="1"/>
    <col min="3" max="3" width="10.81640625" style="800" customWidth="1"/>
    <col min="4" max="4" width="9.81640625" style="800" customWidth="1"/>
    <col min="5" max="5" width="10" style="800" customWidth="1"/>
    <col min="6" max="14" width="10.81640625" style="800" customWidth="1"/>
    <col min="15" max="32" width="10.81640625" style="799" customWidth="1"/>
    <col min="33" max="16384" width="8.81640625" style="800"/>
  </cols>
  <sheetData>
    <row r="1" spans="1:33">
      <c r="A1" s="797" t="s">
        <v>783</v>
      </c>
      <c r="B1" s="798"/>
      <c r="C1" s="798"/>
      <c r="D1" s="798"/>
      <c r="E1" s="798"/>
      <c r="F1" s="798"/>
      <c r="G1" s="798"/>
      <c r="H1" s="798"/>
      <c r="I1" s="798"/>
      <c r="J1" s="798"/>
      <c r="K1" s="798"/>
      <c r="L1" s="798"/>
      <c r="M1" s="798"/>
      <c r="N1" s="798"/>
    </row>
    <row r="2" spans="1:33">
      <c r="A2" s="1269" t="str">
        <f>'Appendix A'!E9</f>
        <v>NextEra Energy Transmission New York, Inc.</v>
      </c>
      <c r="B2" s="1269"/>
      <c r="C2" s="1269"/>
      <c r="D2" s="1269"/>
      <c r="E2" s="1269"/>
      <c r="F2" s="1269"/>
      <c r="G2" s="1269"/>
      <c r="H2" s="1269"/>
      <c r="I2" s="1269"/>
      <c r="J2" s="1269"/>
      <c r="K2" s="1269"/>
      <c r="L2" s="1269"/>
      <c r="M2" s="1269"/>
      <c r="N2" s="1269"/>
    </row>
    <row r="3" spans="1:33">
      <c r="A3" s="1269" t="str">
        <f>'6e-ADIT True-up'!A3</f>
        <v>Projection For the 12 months ended 12/31/2025</v>
      </c>
      <c r="B3" s="1269"/>
      <c r="C3" s="1269"/>
      <c r="D3" s="1269"/>
      <c r="E3" s="1269"/>
      <c r="F3" s="1269"/>
      <c r="G3" s="1269"/>
      <c r="H3" s="1269"/>
      <c r="I3" s="1269"/>
      <c r="J3" s="1269"/>
      <c r="K3" s="1269"/>
      <c r="L3" s="1269"/>
      <c r="M3" s="1269"/>
      <c r="N3" s="1269"/>
      <c r="O3" s="800"/>
      <c r="P3" s="800"/>
      <c r="Q3" s="800"/>
      <c r="R3" s="800"/>
      <c r="S3" s="800"/>
      <c r="T3" s="800"/>
      <c r="U3" s="800"/>
      <c r="V3" s="800"/>
      <c r="W3" s="800"/>
      <c r="X3" s="800"/>
      <c r="Y3" s="800"/>
      <c r="Z3" s="800"/>
      <c r="AA3" s="800"/>
      <c r="AB3" s="800"/>
      <c r="AC3" s="800"/>
      <c r="AD3" s="800"/>
      <c r="AE3" s="800"/>
      <c r="AF3" s="800"/>
    </row>
    <row r="4" spans="1:33" ht="13.8" thickBot="1">
      <c r="O4" s="800"/>
      <c r="P4" s="800"/>
      <c r="Q4" s="800"/>
      <c r="R4" s="800"/>
      <c r="S4" s="800"/>
      <c r="T4" s="800"/>
      <c r="U4" s="800"/>
      <c r="V4" s="800"/>
      <c r="W4" s="800"/>
      <c r="X4" s="800"/>
      <c r="Y4" s="800"/>
      <c r="Z4" s="800"/>
      <c r="AA4" s="800"/>
      <c r="AB4" s="800"/>
      <c r="AC4" s="800"/>
      <c r="AD4" s="800"/>
      <c r="AE4" s="800"/>
      <c r="AF4" s="800"/>
    </row>
    <row r="5" spans="1:33">
      <c r="F5" s="1270" t="s">
        <v>47</v>
      </c>
      <c r="G5" s="1271"/>
      <c r="H5" s="1271"/>
      <c r="I5" s="1271"/>
      <c r="J5" s="1271"/>
      <c r="K5" s="1271"/>
      <c r="L5" s="1271"/>
      <c r="M5" s="1271"/>
      <c r="N5" s="1272"/>
      <c r="O5" s="1270" t="s">
        <v>685</v>
      </c>
      <c r="P5" s="1271"/>
      <c r="Q5" s="1271"/>
      <c r="R5" s="1271"/>
      <c r="S5" s="1271"/>
      <c r="T5" s="1271"/>
      <c r="U5" s="1271"/>
      <c r="V5" s="1271"/>
      <c r="W5" s="1272"/>
      <c r="X5" s="1270" t="s">
        <v>686</v>
      </c>
      <c r="Y5" s="1271"/>
      <c r="Z5" s="1271"/>
      <c r="AA5" s="1271"/>
      <c r="AB5" s="1271"/>
      <c r="AC5" s="1271"/>
      <c r="AD5" s="1271"/>
      <c r="AE5" s="1271"/>
      <c r="AF5" s="1272"/>
      <c r="AG5" s="798"/>
    </row>
    <row r="6" spans="1:33">
      <c r="B6" s="798" t="s">
        <v>175</v>
      </c>
      <c r="C6" s="798" t="s">
        <v>176</v>
      </c>
      <c r="D6" s="798" t="s">
        <v>177</v>
      </c>
      <c r="E6" s="798" t="s">
        <v>380</v>
      </c>
      <c r="F6" s="801" t="s">
        <v>381</v>
      </c>
      <c r="G6" s="798" t="s">
        <v>382</v>
      </c>
      <c r="H6" s="798" t="s">
        <v>383</v>
      </c>
      <c r="I6" s="798" t="s">
        <v>382</v>
      </c>
      <c r="J6" s="798" t="s">
        <v>383</v>
      </c>
      <c r="K6" s="798" t="s">
        <v>384</v>
      </c>
      <c r="L6" s="798" t="s">
        <v>576</v>
      </c>
      <c r="M6" s="798" t="s">
        <v>577</v>
      </c>
      <c r="N6" s="802" t="s">
        <v>578</v>
      </c>
      <c r="O6" s="801" t="s">
        <v>381</v>
      </c>
      <c r="P6" s="798" t="s">
        <v>382</v>
      </c>
      <c r="Q6" s="798" t="s">
        <v>383</v>
      </c>
      <c r="R6" s="798" t="s">
        <v>382</v>
      </c>
      <c r="S6" s="798" t="s">
        <v>383</v>
      </c>
      <c r="T6" s="798" t="s">
        <v>384</v>
      </c>
      <c r="U6" s="798" t="s">
        <v>576</v>
      </c>
      <c r="V6" s="798" t="s">
        <v>577</v>
      </c>
      <c r="W6" s="802" t="s">
        <v>578</v>
      </c>
      <c r="X6" s="801" t="s">
        <v>381</v>
      </c>
      <c r="Y6" s="798" t="s">
        <v>382</v>
      </c>
      <c r="Z6" s="798" t="s">
        <v>383</v>
      </c>
      <c r="AA6" s="798" t="s">
        <v>382</v>
      </c>
      <c r="AB6" s="798" t="s">
        <v>383</v>
      </c>
      <c r="AC6" s="798" t="s">
        <v>384</v>
      </c>
      <c r="AD6" s="798" t="s">
        <v>576</v>
      </c>
      <c r="AE6" s="798" t="s">
        <v>577</v>
      </c>
      <c r="AF6" s="802" t="s">
        <v>578</v>
      </c>
    </row>
    <row r="7" spans="1:33" ht="96" customHeight="1">
      <c r="A7" s="803"/>
      <c r="B7" s="804" t="s">
        <v>699</v>
      </c>
      <c r="C7" s="804" t="s">
        <v>700</v>
      </c>
      <c r="D7" s="804" t="s">
        <v>300</v>
      </c>
      <c r="E7" s="804" t="s">
        <v>721</v>
      </c>
      <c r="F7" s="805" t="s">
        <v>784</v>
      </c>
      <c r="G7" s="804" t="s">
        <v>785</v>
      </c>
      <c r="H7" s="804" t="s">
        <v>786</v>
      </c>
      <c r="I7" s="804" t="s">
        <v>787</v>
      </c>
      <c r="J7" s="804" t="s">
        <v>788</v>
      </c>
      <c r="K7" s="804" t="s">
        <v>789</v>
      </c>
      <c r="L7" s="804" t="s">
        <v>790</v>
      </c>
      <c r="M7" s="804" t="s">
        <v>791</v>
      </c>
      <c r="N7" s="806" t="s">
        <v>792</v>
      </c>
      <c r="O7" s="805" t="s">
        <v>784</v>
      </c>
      <c r="P7" s="804" t="s">
        <v>785</v>
      </c>
      <c r="Q7" s="804" t="s">
        <v>786</v>
      </c>
      <c r="R7" s="804" t="s">
        <v>787</v>
      </c>
      <c r="S7" s="804" t="s">
        <v>788</v>
      </c>
      <c r="T7" s="804" t="s">
        <v>789</v>
      </c>
      <c r="U7" s="804" t="s">
        <v>790</v>
      </c>
      <c r="V7" s="804" t="s">
        <v>791</v>
      </c>
      <c r="W7" s="806" t="s">
        <v>792</v>
      </c>
      <c r="X7" s="805" t="s">
        <v>784</v>
      </c>
      <c r="Y7" s="804" t="s">
        <v>785</v>
      </c>
      <c r="Z7" s="804" t="s">
        <v>786</v>
      </c>
      <c r="AA7" s="804" t="s">
        <v>787</v>
      </c>
      <c r="AB7" s="804" t="s">
        <v>788</v>
      </c>
      <c r="AC7" s="804" t="s">
        <v>789</v>
      </c>
      <c r="AD7" s="804" t="s">
        <v>790</v>
      </c>
      <c r="AE7" s="804" t="s">
        <v>791</v>
      </c>
      <c r="AF7" s="806" t="s">
        <v>792</v>
      </c>
      <c r="AG7" s="798"/>
    </row>
    <row r="8" spans="1:33">
      <c r="A8" s="800" t="s">
        <v>793</v>
      </c>
      <c r="D8" s="798"/>
      <c r="E8" s="798"/>
      <c r="F8" s="807"/>
      <c r="N8" s="808"/>
      <c r="O8" s="807"/>
      <c r="P8" s="800"/>
      <c r="Q8" s="800"/>
      <c r="R8" s="800"/>
      <c r="S8" s="800"/>
      <c r="T8" s="800"/>
      <c r="U8" s="800"/>
      <c r="V8" s="800"/>
      <c r="W8" s="808"/>
      <c r="X8" s="807"/>
      <c r="Y8" s="800"/>
      <c r="Z8" s="800"/>
      <c r="AA8" s="800"/>
      <c r="AB8" s="800"/>
      <c r="AC8" s="800"/>
      <c r="AD8" s="800"/>
      <c r="AE8" s="800"/>
      <c r="AF8" s="808"/>
      <c r="AG8" s="798"/>
    </row>
    <row r="9" spans="1:33">
      <c r="A9" s="809">
        <v>1</v>
      </c>
      <c r="B9" s="797" t="s">
        <v>794</v>
      </c>
      <c r="C9" s="800" t="s">
        <v>302</v>
      </c>
      <c r="D9" s="810" t="s">
        <v>704</v>
      </c>
      <c r="E9" s="811">
        <f>365/365</f>
        <v>1</v>
      </c>
      <c r="F9" s="812"/>
      <c r="G9" s="371"/>
      <c r="H9" s="371">
        <f>'6b-ADIT Projection Proration'!G9</f>
        <v>-10475927.171100002</v>
      </c>
      <c r="I9" s="371"/>
      <c r="J9" s="371"/>
      <c r="K9" s="371"/>
      <c r="L9" s="371"/>
      <c r="M9" s="371"/>
      <c r="N9" s="813">
        <f>'6c- ADIT BOY'!E50</f>
        <v>0</v>
      </c>
      <c r="O9" s="812"/>
      <c r="P9" s="371"/>
      <c r="Q9" s="371">
        <f>'6b-ADIT Projection Proration'!I9</f>
        <v>0</v>
      </c>
      <c r="R9" s="371"/>
      <c r="S9" s="371"/>
      <c r="T9" s="371"/>
      <c r="U9" s="371"/>
      <c r="V9" s="371"/>
      <c r="W9" s="813">
        <f>'6c- ADIT BOY'!F50</f>
        <v>0</v>
      </c>
      <c r="X9" s="812"/>
      <c r="Y9" s="371"/>
      <c r="Z9" s="371">
        <f>'6b-ADIT Projection Proration'!K9</f>
        <v>0</v>
      </c>
      <c r="AA9" s="371"/>
      <c r="AB9" s="371"/>
      <c r="AC9" s="371"/>
      <c r="AD9" s="371"/>
      <c r="AE9" s="371"/>
      <c r="AF9" s="813">
        <f>'6c- ADIT BOY'!G50</f>
        <v>0</v>
      </c>
    </row>
    <row r="10" spans="1:33">
      <c r="A10" s="809">
        <f t="shared" ref="A10:A22" si="0">+A9+1</f>
        <v>2</v>
      </c>
      <c r="B10" s="797" t="s">
        <v>728</v>
      </c>
      <c r="C10" s="800" t="s">
        <v>304</v>
      </c>
      <c r="D10" s="810" t="s">
        <v>704</v>
      </c>
      <c r="E10" s="811">
        <f>335/365</f>
        <v>0.9178082191780822</v>
      </c>
      <c r="F10" s="812">
        <f>'6b-ADIT Projection Proration'!G10</f>
        <v>-273020.56247083336</v>
      </c>
      <c r="G10" s="371">
        <f>$E10*F10</f>
        <v>-250580.5162403539</v>
      </c>
      <c r="H10" s="371">
        <f>+G10+H9</f>
        <v>-10726507.687340356</v>
      </c>
      <c r="I10" s="366">
        <v>0</v>
      </c>
      <c r="J10" s="371">
        <f>I10-F10</f>
        <v>273020.56247083336</v>
      </c>
      <c r="K10" s="371">
        <f>IF(J10&gt;=0,+J10,0)</f>
        <v>273020.56247083336</v>
      </c>
      <c r="L10" s="371">
        <f>IF(K10&gt;0,0,IF(I10&lt;0,0,(-(J10)*($E10))))</f>
        <v>0</v>
      </c>
      <c r="M10" s="371">
        <f>IF(K10&gt;0,0,IF(I10&gt;0,0,(-(J10)*($E10))))</f>
        <v>0</v>
      </c>
      <c r="N10" s="813">
        <f>IF(I10&lt;0,N9+M10,N9+$G10+K10-L10)</f>
        <v>22440.046230479464</v>
      </c>
      <c r="O10" s="812">
        <f>'6b-ADIT Projection Proration'!I10</f>
        <v>0</v>
      </c>
      <c r="P10" s="371">
        <f t="shared" ref="P10:P21" si="1">$E10*O10</f>
        <v>0</v>
      </c>
      <c r="Q10" s="371">
        <f>+P10+Q9</f>
        <v>0</v>
      </c>
      <c r="R10" s="366">
        <v>0</v>
      </c>
      <c r="S10" s="371">
        <f t="shared" ref="S10:S21" si="2">R10-O10</f>
        <v>0</v>
      </c>
      <c r="T10" s="371">
        <f>IF(S10&gt;=0,+S10,0)</f>
        <v>0</v>
      </c>
      <c r="U10" s="371">
        <f t="shared" ref="U10:U21" si="3">IF(T10&gt;0,0,IF(R10&lt;0,0,(-(S10)*($E10))))</f>
        <v>0</v>
      </c>
      <c r="V10" s="371">
        <f t="shared" ref="V10:V21" si="4">IF(T10&gt;0,0,IF(R10&gt;0,0,(-(S10)*($E10))))</f>
        <v>0</v>
      </c>
      <c r="W10" s="813">
        <f>IF(R10&lt;0,W9+V10,W9+P10+T10-U10)</f>
        <v>0</v>
      </c>
      <c r="X10" s="812">
        <f>'6b-ADIT Projection Proration'!K10</f>
        <v>0</v>
      </c>
      <c r="Y10" s="371">
        <f t="shared" ref="Y10:Y21" si="5">$E10*X10</f>
        <v>0</v>
      </c>
      <c r="Z10" s="371">
        <f>+Y10+Z9</f>
        <v>0</v>
      </c>
      <c r="AA10" s="366">
        <v>0</v>
      </c>
      <c r="AB10" s="371">
        <f t="shared" ref="AB10:AB21" si="6">AA10-X10</f>
        <v>0</v>
      </c>
      <c r="AC10" s="371">
        <f>IF(AB10&gt;=0,+AB10,0)</f>
        <v>0</v>
      </c>
      <c r="AD10" s="371">
        <f t="shared" ref="AD10:AD21" si="7">IF(AC10&gt;0,0,IF(AA10&lt;0,0,(-(AB10)*($E10))))</f>
        <v>0</v>
      </c>
      <c r="AE10" s="371">
        <f t="shared" ref="AE10:AE21" si="8">IF(AC10&gt;0,0,IF(AA10&gt;0,0,(-(AB10)*($E10))))</f>
        <v>0</v>
      </c>
      <c r="AF10" s="813">
        <f>IF(AA10&lt;0,AF9+AE10,AF9+Y10+AC10-AD10)</f>
        <v>0</v>
      </c>
    </row>
    <row r="11" spans="1:33">
      <c r="A11" s="809">
        <f t="shared" si="0"/>
        <v>3</v>
      </c>
      <c r="B11" s="797" t="s">
        <v>728</v>
      </c>
      <c r="C11" s="800" t="s">
        <v>306</v>
      </c>
      <c r="D11" s="810" t="s">
        <v>704</v>
      </c>
      <c r="E11" s="811">
        <f>307/365</f>
        <v>0.84109589041095889</v>
      </c>
      <c r="F11" s="812">
        <f>'6b-ADIT Projection Proration'!G11</f>
        <v>-273020.56247083336</v>
      </c>
      <c r="G11" s="371">
        <f t="shared" ref="G11:G21" si="9">$E11*F11</f>
        <v>-229636.4730919064</v>
      </c>
      <c r="H11" s="371">
        <f t="shared" ref="H11:H21" si="10">+G11+H10</f>
        <v>-10956144.160432262</v>
      </c>
      <c r="I11" s="366">
        <v>0</v>
      </c>
      <c r="J11" s="371">
        <f t="shared" ref="J11:J21" si="11">I11-F11</f>
        <v>273020.56247083336</v>
      </c>
      <c r="K11" s="371">
        <f t="shared" ref="K11:K21" si="12">IF(J11&gt;=0,+J11,0)</f>
        <v>273020.56247083336</v>
      </c>
      <c r="L11" s="371">
        <f t="shared" ref="L11:L21" si="13">IF(K11&gt;0,0,IF(I11&lt;0,0,(-(J11)*($E11))))</f>
        <v>0</v>
      </c>
      <c r="M11" s="371">
        <f t="shared" ref="M11:M21" si="14">IF(K11&gt;0,0,IF(I11&gt;0,0,(-(J11)*($E11))))</f>
        <v>0</v>
      </c>
      <c r="N11" s="813">
        <f t="shared" ref="N11:N21" si="15">IF(I11&lt;0,N10+M11,N10+$G11+K11-L11)</f>
        <v>65824.135609406425</v>
      </c>
      <c r="O11" s="812">
        <f>'6b-ADIT Projection Proration'!I11</f>
        <v>0</v>
      </c>
      <c r="P11" s="371">
        <f t="shared" si="1"/>
        <v>0</v>
      </c>
      <c r="Q11" s="371">
        <f t="shared" ref="Q11:Q21" si="16">+P11+Q10</f>
        <v>0</v>
      </c>
      <c r="R11" s="366">
        <v>0</v>
      </c>
      <c r="S11" s="371">
        <f t="shared" si="2"/>
        <v>0</v>
      </c>
      <c r="T11" s="371">
        <f t="shared" ref="T11:T21" si="17">IF(S11&gt;=0,+S11,0)</f>
        <v>0</v>
      </c>
      <c r="U11" s="371">
        <f t="shared" si="3"/>
        <v>0</v>
      </c>
      <c r="V11" s="371">
        <f t="shared" si="4"/>
        <v>0</v>
      </c>
      <c r="W11" s="813">
        <f t="shared" ref="W11:W21" si="18">IF(R11&lt;0,W10+V11,W10+P11+T11-U11)</f>
        <v>0</v>
      </c>
      <c r="X11" s="812">
        <f>'6b-ADIT Projection Proration'!K11</f>
        <v>0</v>
      </c>
      <c r="Y11" s="371">
        <f t="shared" si="5"/>
        <v>0</v>
      </c>
      <c r="Z11" s="371">
        <f t="shared" ref="Z11:Z21" si="19">+Y11+Z10</f>
        <v>0</v>
      </c>
      <c r="AA11" s="366">
        <v>0</v>
      </c>
      <c r="AB11" s="371">
        <f t="shared" si="6"/>
        <v>0</v>
      </c>
      <c r="AC11" s="371">
        <f t="shared" ref="AC11:AC21" si="20">IF(AB11&gt;=0,+AB11,0)</f>
        <v>0</v>
      </c>
      <c r="AD11" s="371">
        <f t="shared" si="7"/>
        <v>0</v>
      </c>
      <c r="AE11" s="371">
        <f t="shared" si="8"/>
        <v>0</v>
      </c>
      <c r="AF11" s="813">
        <f t="shared" ref="AF11:AF21" si="21">IF(AA11&lt;0,AF10+AE11,AF10+Y11+AC11-AD11)</f>
        <v>0</v>
      </c>
    </row>
    <row r="12" spans="1:33">
      <c r="A12" s="809">
        <f t="shared" si="0"/>
        <v>4</v>
      </c>
      <c r="B12" s="797" t="s">
        <v>728</v>
      </c>
      <c r="C12" s="800" t="s">
        <v>307</v>
      </c>
      <c r="D12" s="810" t="s">
        <v>704</v>
      </c>
      <c r="E12" s="811">
        <f>276/365</f>
        <v>0.75616438356164384</v>
      </c>
      <c r="F12" s="812">
        <f>'6b-ADIT Projection Proration'!G12</f>
        <v>-273020.56247083336</v>
      </c>
      <c r="G12" s="371">
        <f t="shared" si="9"/>
        <v>-206448.42532041098</v>
      </c>
      <c r="H12" s="371">
        <f t="shared" si="10"/>
        <v>-11162592.585752673</v>
      </c>
      <c r="I12" s="366">
        <v>0</v>
      </c>
      <c r="J12" s="371">
        <f t="shared" si="11"/>
        <v>273020.56247083336</v>
      </c>
      <c r="K12" s="371">
        <f t="shared" si="12"/>
        <v>273020.56247083336</v>
      </c>
      <c r="L12" s="371">
        <f t="shared" si="13"/>
        <v>0</v>
      </c>
      <c r="M12" s="371">
        <f t="shared" si="14"/>
        <v>0</v>
      </c>
      <c r="N12" s="813">
        <f t="shared" si="15"/>
        <v>132396.2727598288</v>
      </c>
      <c r="O12" s="812">
        <f>'6b-ADIT Projection Proration'!I12</f>
        <v>0</v>
      </c>
      <c r="P12" s="371">
        <f t="shared" si="1"/>
        <v>0</v>
      </c>
      <c r="Q12" s="371">
        <f t="shared" si="16"/>
        <v>0</v>
      </c>
      <c r="R12" s="366">
        <v>0</v>
      </c>
      <c r="S12" s="371">
        <f t="shared" si="2"/>
        <v>0</v>
      </c>
      <c r="T12" s="371">
        <f t="shared" si="17"/>
        <v>0</v>
      </c>
      <c r="U12" s="371">
        <f t="shared" si="3"/>
        <v>0</v>
      </c>
      <c r="V12" s="371">
        <f t="shared" si="4"/>
        <v>0</v>
      </c>
      <c r="W12" s="813">
        <f t="shared" si="18"/>
        <v>0</v>
      </c>
      <c r="X12" s="812">
        <f>'6b-ADIT Projection Proration'!K12</f>
        <v>0</v>
      </c>
      <c r="Y12" s="371">
        <f t="shared" si="5"/>
        <v>0</v>
      </c>
      <c r="Z12" s="371">
        <f t="shared" si="19"/>
        <v>0</v>
      </c>
      <c r="AA12" s="366">
        <v>0</v>
      </c>
      <c r="AB12" s="371">
        <f t="shared" si="6"/>
        <v>0</v>
      </c>
      <c r="AC12" s="371">
        <f t="shared" si="20"/>
        <v>0</v>
      </c>
      <c r="AD12" s="371">
        <f t="shared" si="7"/>
        <v>0</v>
      </c>
      <c r="AE12" s="371">
        <f t="shared" si="8"/>
        <v>0</v>
      </c>
      <c r="AF12" s="813">
        <f t="shared" si="21"/>
        <v>0</v>
      </c>
    </row>
    <row r="13" spans="1:33">
      <c r="A13" s="809">
        <f t="shared" si="0"/>
        <v>5</v>
      </c>
      <c r="B13" s="797" t="s">
        <v>728</v>
      </c>
      <c r="C13" s="800" t="s">
        <v>308</v>
      </c>
      <c r="D13" s="810" t="s">
        <v>704</v>
      </c>
      <c r="E13" s="811">
        <f>246/365</f>
        <v>0.67397260273972603</v>
      </c>
      <c r="F13" s="812">
        <f>'6b-ADIT Projection Proration'!G13</f>
        <v>-273020.56247083336</v>
      </c>
      <c r="G13" s="371">
        <f t="shared" si="9"/>
        <v>-184008.37908993152</v>
      </c>
      <c r="H13" s="371">
        <f t="shared" si="10"/>
        <v>-11346600.964842604</v>
      </c>
      <c r="I13" s="366">
        <v>0</v>
      </c>
      <c r="J13" s="371">
        <f t="shared" si="11"/>
        <v>273020.56247083336</v>
      </c>
      <c r="K13" s="371">
        <f t="shared" si="12"/>
        <v>273020.56247083336</v>
      </c>
      <c r="L13" s="371">
        <f t="shared" si="13"/>
        <v>0</v>
      </c>
      <c r="M13" s="371">
        <f t="shared" si="14"/>
        <v>0</v>
      </c>
      <c r="N13" s="813">
        <f t="shared" si="15"/>
        <v>221408.45614073065</v>
      </c>
      <c r="O13" s="812">
        <f>'6b-ADIT Projection Proration'!I13</f>
        <v>0</v>
      </c>
      <c r="P13" s="371">
        <f t="shared" si="1"/>
        <v>0</v>
      </c>
      <c r="Q13" s="371">
        <f t="shared" si="16"/>
        <v>0</v>
      </c>
      <c r="R13" s="366">
        <v>0</v>
      </c>
      <c r="S13" s="371">
        <f t="shared" si="2"/>
        <v>0</v>
      </c>
      <c r="T13" s="371">
        <f t="shared" si="17"/>
        <v>0</v>
      </c>
      <c r="U13" s="371">
        <f t="shared" si="3"/>
        <v>0</v>
      </c>
      <c r="V13" s="371">
        <f t="shared" si="4"/>
        <v>0</v>
      </c>
      <c r="W13" s="813">
        <f t="shared" si="18"/>
        <v>0</v>
      </c>
      <c r="X13" s="812">
        <f>'6b-ADIT Projection Proration'!K13</f>
        <v>0</v>
      </c>
      <c r="Y13" s="371">
        <f t="shared" si="5"/>
        <v>0</v>
      </c>
      <c r="Z13" s="371">
        <f t="shared" si="19"/>
        <v>0</v>
      </c>
      <c r="AA13" s="366">
        <v>0</v>
      </c>
      <c r="AB13" s="371">
        <f t="shared" si="6"/>
        <v>0</v>
      </c>
      <c r="AC13" s="371">
        <f t="shared" si="20"/>
        <v>0</v>
      </c>
      <c r="AD13" s="371">
        <f t="shared" si="7"/>
        <v>0</v>
      </c>
      <c r="AE13" s="371">
        <f t="shared" si="8"/>
        <v>0</v>
      </c>
      <c r="AF13" s="813">
        <f t="shared" si="21"/>
        <v>0</v>
      </c>
    </row>
    <row r="14" spans="1:33">
      <c r="A14" s="809">
        <f t="shared" si="0"/>
        <v>6</v>
      </c>
      <c r="B14" s="797" t="s">
        <v>728</v>
      </c>
      <c r="C14" s="800" t="s">
        <v>309</v>
      </c>
      <c r="D14" s="810" t="s">
        <v>704</v>
      </c>
      <c r="E14" s="811">
        <f>215/365</f>
        <v>0.58904109589041098</v>
      </c>
      <c r="F14" s="812">
        <f>'6b-ADIT Projection Proration'!G14</f>
        <v>-273020.56247083336</v>
      </c>
      <c r="G14" s="371">
        <f t="shared" si="9"/>
        <v>-160820.3313184361</v>
      </c>
      <c r="H14" s="371">
        <f t="shared" si="10"/>
        <v>-11507421.296161041</v>
      </c>
      <c r="I14" s="366">
        <v>0</v>
      </c>
      <c r="J14" s="371">
        <f t="shared" si="11"/>
        <v>273020.56247083336</v>
      </c>
      <c r="K14" s="371">
        <f t="shared" si="12"/>
        <v>273020.56247083336</v>
      </c>
      <c r="L14" s="371">
        <f t="shared" si="13"/>
        <v>0</v>
      </c>
      <c r="M14" s="371">
        <f t="shared" si="14"/>
        <v>0</v>
      </c>
      <c r="N14" s="813">
        <f t="shared" si="15"/>
        <v>333608.68729312788</v>
      </c>
      <c r="O14" s="812">
        <f>'6b-ADIT Projection Proration'!I14</f>
        <v>0</v>
      </c>
      <c r="P14" s="371">
        <f t="shared" si="1"/>
        <v>0</v>
      </c>
      <c r="Q14" s="371">
        <f t="shared" si="16"/>
        <v>0</v>
      </c>
      <c r="R14" s="366">
        <v>0</v>
      </c>
      <c r="S14" s="371">
        <f t="shared" si="2"/>
        <v>0</v>
      </c>
      <c r="T14" s="371">
        <f t="shared" si="17"/>
        <v>0</v>
      </c>
      <c r="U14" s="371">
        <f t="shared" si="3"/>
        <v>0</v>
      </c>
      <c r="V14" s="371">
        <f t="shared" si="4"/>
        <v>0</v>
      </c>
      <c r="W14" s="813">
        <f t="shared" si="18"/>
        <v>0</v>
      </c>
      <c r="X14" s="812">
        <f>'6b-ADIT Projection Proration'!K14</f>
        <v>0</v>
      </c>
      <c r="Y14" s="371">
        <f t="shared" si="5"/>
        <v>0</v>
      </c>
      <c r="Z14" s="371">
        <f t="shared" si="19"/>
        <v>0</v>
      </c>
      <c r="AA14" s="366">
        <v>0</v>
      </c>
      <c r="AB14" s="371">
        <f t="shared" si="6"/>
        <v>0</v>
      </c>
      <c r="AC14" s="371">
        <f t="shared" si="20"/>
        <v>0</v>
      </c>
      <c r="AD14" s="371">
        <f t="shared" si="7"/>
        <v>0</v>
      </c>
      <c r="AE14" s="371">
        <f t="shared" si="8"/>
        <v>0</v>
      </c>
      <c r="AF14" s="813">
        <f t="shared" si="21"/>
        <v>0</v>
      </c>
    </row>
    <row r="15" spans="1:33">
      <c r="A15" s="809">
        <f t="shared" si="0"/>
        <v>7</v>
      </c>
      <c r="B15" s="797" t="s">
        <v>728</v>
      </c>
      <c r="C15" s="800" t="s">
        <v>471</v>
      </c>
      <c r="D15" s="810" t="s">
        <v>704</v>
      </c>
      <c r="E15" s="811">
        <f>185/365</f>
        <v>0.50684931506849318</v>
      </c>
      <c r="F15" s="812">
        <f>'6b-ADIT Projection Proration'!G15</f>
        <v>-273020.56247083336</v>
      </c>
      <c r="G15" s="371">
        <f t="shared" si="9"/>
        <v>-138380.28508795664</v>
      </c>
      <c r="H15" s="371">
        <f t="shared" si="10"/>
        <v>-11645801.581248997</v>
      </c>
      <c r="I15" s="366">
        <v>0</v>
      </c>
      <c r="J15" s="371">
        <f t="shared" si="11"/>
        <v>273020.56247083336</v>
      </c>
      <c r="K15" s="371">
        <f t="shared" si="12"/>
        <v>273020.56247083336</v>
      </c>
      <c r="L15" s="371">
        <f t="shared" si="13"/>
        <v>0</v>
      </c>
      <c r="M15" s="371">
        <f t="shared" si="14"/>
        <v>0</v>
      </c>
      <c r="N15" s="813">
        <f t="shared" si="15"/>
        <v>468248.9646760046</v>
      </c>
      <c r="O15" s="812">
        <f>'6b-ADIT Projection Proration'!I15</f>
        <v>0</v>
      </c>
      <c r="P15" s="371">
        <f t="shared" si="1"/>
        <v>0</v>
      </c>
      <c r="Q15" s="371">
        <f t="shared" si="16"/>
        <v>0</v>
      </c>
      <c r="R15" s="366">
        <v>0</v>
      </c>
      <c r="S15" s="371">
        <f t="shared" si="2"/>
        <v>0</v>
      </c>
      <c r="T15" s="371">
        <f t="shared" si="17"/>
        <v>0</v>
      </c>
      <c r="U15" s="371">
        <f t="shared" si="3"/>
        <v>0</v>
      </c>
      <c r="V15" s="371">
        <f t="shared" si="4"/>
        <v>0</v>
      </c>
      <c r="W15" s="813">
        <f t="shared" si="18"/>
        <v>0</v>
      </c>
      <c r="X15" s="812">
        <f>'6b-ADIT Projection Proration'!K15</f>
        <v>0</v>
      </c>
      <c r="Y15" s="371">
        <f t="shared" si="5"/>
        <v>0</v>
      </c>
      <c r="Z15" s="371">
        <f t="shared" si="19"/>
        <v>0</v>
      </c>
      <c r="AA15" s="366">
        <v>0</v>
      </c>
      <c r="AB15" s="371">
        <f t="shared" si="6"/>
        <v>0</v>
      </c>
      <c r="AC15" s="371">
        <f t="shared" si="20"/>
        <v>0</v>
      </c>
      <c r="AD15" s="371">
        <f t="shared" si="7"/>
        <v>0</v>
      </c>
      <c r="AE15" s="371">
        <f t="shared" si="8"/>
        <v>0</v>
      </c>
      <c r="AF15" s="813">
        <f t="shared" si="21"/>
        <v>0</v>
      </c>
    </row>
    <row r="16" spans="1:33">
      <c r="A16" s="809">
        <f t="shared" si="0"/>
        <v>8</v>
      </c>
      <c r="B16" s="797" t="s">
        <v>728</v>
      </c>
      <c r="C16" s="800" t="s">
        <v>311</v>
      </c>
      <c r="D16" s="810" t="s">
        <v>704</v>
      </c>
      <c r="E16" s="811">
        <f>154/365</f>
        <v>0.42191780821917807</v>
      </c>
      <c r="F16" s="812">
        <f>'6b-ADIT Projection Proration'!G16</f>
        <v>-273020.56247083336</v>
      </c>
      <c r="G16" s="371">
        <f t="shared" si="9"/>
        <v>-115192.23731646119</v>
      </c>
      <c r="H16" s="371">
        <f t="shared" si="10"/>
        <v>-11760993.818565458</v>
      </c>
      <c r="I16" s="366">
        <v>0</v>
      </c>
      <c r="J16" s="371">
        <f t="shared" si="11"/>
        <v>273020.56247083336</v>
      </c>
      <c r="K16" s="371">
        <f t="shared" si="12"/>
        <v>273020.56247083336</v>
      </c>
      <c r="L16" s="371">
        <f t="shared" si="13"/>
        <v>0</v>
      </c>
      <c r="M16" s="371">
        <f t="shared" si="14"/>
        <v>0</v>
      </c>
      <c r="N16" s="813">
        <f t="shared" si="15"/>
        <v>626077.28983037686</v>
      </c>
      <c r="O16" s="812">
        <f>'6b-ADIT Projection Proration'!I16</f>
        <v>0</v>
      </c>
      <c r="P16" s="371">
        <f t="shared" si="1"/>
        <v>0</v>
      </c>
      <c r="Q16" s="371">
        <f t="shared" si="16"/>
        <v>0</v>
      </c>
      <c r="R16" s="366">
        <v>0</v>
      </c>
      <c r="S16" s="371">
        <f t="shared" si="2"/>
        <v>0</v>
      </c>
      <c r="T16" s="371">
        <f t="shared" si="17"/>
        <v>0</v>
      </c>
      <c r="U16" s="371">
        <f t="shared" si="3"/>
        <v>0</v>
      </c>
      <c r="V16" s="371">
        <f t="shared" si="4"/>
        <v>0</v>
      </c>
      <c r="W16" s="813">
        <f t="shared" si="18"/>
        <v>0</v>
      </c>
      <c r="X16" s="812">
        <f>'6b-ADIT Projection Proration'!K16</f>
        <v>0</v>
      </c>
      <c r="Y16" s="371">
        <f t="shared" si="5"/>
        <v>0</v>
      </c>
      <c r="Z16" s="371">
        <f t="shared" si="19"/>
        <v>0</v>
      </c>
      <c r="AA16" s="366">
        <v>0</v>
      </c>
      <c r="AB16" s="371">
        <f t="shared" si="6"/>
        <v>0</v>
      </c>
      <c r="AC16" s="371">
        <f t="shared" si="20"/>
        <v>0</v>
      </c>
      <c r="AD16" s="371">
        <f t="shared" si="7"/>
        <v>0</v>
      </c>
      <c r="AE16" s="371">
        <f t="shared" si="8"/>
        <v>0</v>
      </c>
      <c r="AF16" s="813">
        <f t="shared" si="21"/>
        <v>0</v>
      </c>
    </row>
    <row r="17" spans="1:33">
      <c r="A17" s="809">
        <f t="shared" si="0"/>
        <v>9</v>
      </c>
      <c r="B17" s="797" t="s">
        <v>728</v>
      </c>
      <c r="C17" s="800" t="s">
        <v>312</v>
      </c>
      <c r="D17" s="810" t="s">
        <v>704</v>
      </c>
      <c r="E17" s="811">
        <f>123/365</f>
        <v>0.33698630136986302</v>
      </c>
      <c r="F17" s="812">
        <f>'6b-ADIT Projection Proration'!G17</f>
        <v>-273020.56247083336</v>
      </c>
      <c r="G17" s="371">
        <f t="shared" si="9"/>
        <v>-92004.18954496576</v>
      </c>
      <c r="H17" s="371">
        <f t="shared" si="10"/>
        <v>-11852998.008110425</v>
      </c>
      <c r="I17" s="366">
        <v>0</v>
      </c>
      <c r="J17" s="371">
        <f t="shared" si="11"/>
        <v>273020.56247083336</v>
      </c>
      <c r="K17" s="371">
        <f t="shared" si="12"/>
        <v>273020.56247083336</v>
      </c>
      <c r="L17" s="371">
        <f t="shared" si="13"/>
        <v>0</v>
      </c>
      <c r="M17" s="371">
        <f t="shared" si="14"/>
        <v>0</v>
      </c>
      <c r="N17" s="813">
        <f t="shared" si="15"/>
        <v>807093.66275624442</v>
      </c>
      <c r="O17" s="812">
        <f>'6b-ADIT Projection Proration'!I17</f>
        <v>0</v>
      </c>
      <c r="P17" s="371">
        <f t="shared" si="1"/>
        <v>0</v>
      </c>
      <c r="Q17" s="371">
        <f t="shared" si="16"/>
        <v>0</v>
      </c>
      <c r="R17" s="366">
        <v>0</v>
      </c>
      <c r="S17" s="371">
        <f t="shared" si="2"/>
        <v>0</v>
      </c>
      <c r="T17" s="371">
        <f t="shared" si="17"/>
        <v>0</v>
      </c>
      <c r="U17" s="371">
        <f t="shared" si="3"/>
        <v>0</v>
      </c>
      <c r="V17" s="371">
        <f t="shared" si="4"/>
        <v>0</v>
      </c>
      <c r="W17" s="813">
        <f t="shared" si="18"/>
        <v>0</v>
      </c>
      <c r="X17" s="812">
        <f>'6b-ADIT Projection Proration'!K17</f>
        <v>0</v>
      </c>
      <c r="Y17" s="371">
        <f t="shared" si="5"/>
        <v>0</v>
      </c>
      <c r="Z17" s="371">
        <f t="shared" si="19"/>
        <v>0</v>
      </c>
      <c r="AA17" s="366">
        <v>0</v>
      </c>
      <c r="AB17" s="371">
        <f t="shared" si="6"/>
        <v>0</v>
      </c>
      <c r="AC17" s="371">
        <f t="shared" si="20"/>
        <v>0</v>
      </c>
      <c r="AD17" s="371">
        <f t="shared" si="7"/>
        <v>0</v>
      </c>
      <c r="AE17" s="371">
        <f t="shared" si="8"/>
        <v>0</v>
      </c>
      <c r="AF17" s="813">
        <f t="shared" si="21"/>
        <v>0</v>
      </c>
    </row>
    <row r="18" spans="1:33">
      <c r="A18" s="809">
        <f t="shared" si="0"/>
        <v>10</v>
      </c>
      <c r="B18" s="797" t="s">
        <v>728</v>
      </c>
      <c r="C18" s="800" t="s">
        <v>313</v>
      </c>
      <c r="D18" s="810" t="s">
        <v>704</v>
      </c>
      <c r="E18" s="811">
        <f>93/365</f>
        <v>0.25479452054794521</v>
      </c>
      <c r="F18" s="812">
        <f>'6b-ADIT Projection Proration'!G18</f>
        <v>-273020.56247083336</v>
      </c>
      <c r="G18" s="371">
        <f t="shared" si="9"/>
        <v>-69564.143314486311</v>
      </c>
      <c r="H18" s="371">
        <f t="shared" si="10"/>
        <v>-11922562.151424911</v>
      </c>
      <c r="I18" s="366">
        <v>0</v>
      </c>
      <c r="J18" s="371">
        <f t="shared" si="11"/>
        <v>273020.56247083336</v>
      </c>
      <c r="K18" s="371">
        <f t="shared" si="12"/>
        <v>273020.56247083336</v>
      </c>
      <c r="L18" s="371">
        <f t="shared" si="13"/>
        <v>0</v>
      </c>
      <c r="M18" s="371">
        <f t="shared" si="14"/>
        <v>0</v>
      </c>
      <c r="N18" s="813">
        <f t="shared" si="15"/>
        <v>1010550.0819125914</v>
      </c>
      <c r="O18" s="812">
        <f>'6b-ADIT Projection Proration'!I18</f>
        <v>0</v>
      </c>
      <c r="P18" s="371">
        <f t="shared" si="1"/>
        <v>0</v>
      </c>
      <c r="Q18" s="371">
        <f t="shared" si="16"/>
        <v>0</v>
      </c>
      <c r="R18" s="366">
        <v>0</v>
      </c>
      <c r="S18" s="371">
        <f t="shared" si="2"/>
        <v>0</v>
      </c>
      <c r="T18" s="371">
        <f t="shared" si="17"/>
        <v>0</v>
      </c>
      <c r="U18" s="371">
        <f t="shared" si="3"/>
        <v>0</v>
      </c>
      <c r="V18" s="371">
        <f t="shared" si="4"/>
        <v>0</v>
      </c>
      <c r="W18" s="813">
        <f t="shared" si="18"/>
        <v>0</v>
      </c>
      <c r="X18" s="812">
        <f>'6b-ADIT Projection Proration'!K18</f>
        <v>0</v>
      </c>
      <c r="Y18" s="371">
        <f t="shared" si="5"/>
        <v>0</v>
      </c>
      <c r="Z18" s="371">
        <f t="shared" si="19"/>
        <v>0</v>
      </c>
      <c r="AA18" s="366">
        <v>0</v>
      </c>
      <c r="AB18" s="371">
        <f t="shared" si="6"/>
        <v>0</v>
      </c>
      <c r="AC18" s="371">
        <f t="shared" si="20"/>
        <v>0</v>
      </c>
      <c r="AD18" s="371">
        <f t="shared" si="7"/>
        <v>0</v>
      </c>
      <c r="AE18" s="371">
        <f t="shared" si="8"/>
        <v>0</v>
      </c>
      <c r="AF18" s="813">
        <f t="shared" si="21"/>
        <v>0</v>
      </c>
    </row>
    <row r="19" spans="1:33">
      <c r="A19" s="809">
        <f t="shared" si="0"/>
        <v>11</v>
      </c>
      <c r="B19" s="797" t="s">
        <v>728</v>
      </c>
      <c r="C19" s="800" t="s">
        <v>320</v>
      </c>
      <c r="D19" s="810" t="s">
        <v>704</v>
      </c>
      <c r="E19" s="811">
        <f>62/365</f>
        <v>0.16986301369863013</v>
      </c>
      <c r="F19" s="812">
        <f>'6b-ADIT Projection Proration'!G19</f>
        <v>-273020.56247083336</v>
      </c>
      <c r="G19" s="371">
        <f t="shared" si="9"/>
        <v>-46376.095542990872</v>
      </c>
      <c r="H19" s="371">
        <f t="shared" si="10"/>
        <v>-11968938.246967902</v>
      </c>
      <c r="I19" s="366">
        <v>0</v>
      </c>
      <c r="J19" s="371">
        <f t="shared" si="11"/>
        <v>273020.56247083336</v>
      </c>
      <c r="K19" s="371">
        <f t="shared" si="12"/>
        <v>273020.56247083336</v>
      </c>
      <c r="L19" s="371">
        <f t="shared" si="13"/>
        <v>0</v>
      </c>
      <c r="M19" s="371">
        <f t="shared" si="14"/>
        <v>0</v>
      </c>
      <c r="N19" s="813">
        <f t="shared" si="15"/>
        <v>1237194.5488404338</v>
      </c>
      <c r="O19" s="812">
        <f>'6b-ADIT Projection Proration'!I19</f>
        <v>0</v>
      </c>
      <c r="P19" s="371">
        <f t="shared" si="1"/>
        <v>0</v>
      </c>
      <c r="Q19" s="371">
        <f t="shared" si="16"/>
        <v>0</v>
      </c>
      <c r="R19" s="366">
        <v>0</v>
      </c>
      <c r="S19" s="371">
        <f t="shared" si="2"/>
        <v>0</v>
      </c>
      <c r="T19" s="371">
        <f t="shared" si="17"/>
        <v>0</v>
      </c>
      <c r="U19" s="371">
        <f t="shared" si="3"/>
        <v>0</v>
      </c>
      <c r="V19" s="371">
        <f t="shared" si="4"/>
        <v>0</v>
      </c>
      <c r="W19" s="813">
        <f t="shared" si="18"/>
        <v>0</v>
      </c>
      <c r="X19" s="812">
        <f>'6b-ADIT Projection Proration'!K19</f>
        <v>0</v>
      </c>
      <c r="Y19" s="371">
        <f t="shared" si="5"/>
        <v>0</v>
      </c>
      <c r="Z19" s="371">
        <f t="shared" si="19"/>
        <v>0</v>
      </c>
      <c r="AA19" s="366">
        <v>0</v>
      </c>
      <c r="AB19" s="371">
        <f t="shared" si="6"/>
        <v>0</v>
      </c>
      <c r="AC19" s="371">
        <f t="shared" si="20"/>
        <v>0</v>
      </c>
      <c r="AD19" s="371">
        <f t="shared" si="7"/>
        <v>0</v>
      </c>
      <c r="AE19" s="371">
        <f t="shared" si="8"/>
        <v>0</v>
      </c>
      <c r="AF19" s="813">
        <f t="shared" si="21"/>
        <v>0</v>
      </c>
    </row>
    <row r="20" spans="1:33">
      <c r="A20" s="809">
        <f t="shared" si="0"/>
        <v>12</v>
      </c>
      <c r="B20" s="797" t="s">
        <v>728</v>
      </c>
      <c r="C20" s="800" t="s">
        <v>315</v>
      </c>
      <c r="D20" s="810" t="s">
        <v>704</v>
      </c>
      <c r="E20" s="811">
        <f>32/365</f>
        <v>8.7671232876712329E-2</v>
      </c>
      <c r="F20" s="812">
        <f>'6b-ADIT Projection Proration'!G20</f>
        <v>-273020.56247083336</v>
      </c>
      <c r="G20" s="371">
        <f t="shared" si="9"/>
        <v>-23936.049312511419</v>
      </c>
      <c r="H20" s="371">
        <f t="shared" si="10"/>
        <v>-11992874.296280414</v>
      </c>
      <c r="I20" s="366">
        <v>0</v>
      </c>
      <c r="J20" s="371">
        <f t="shared" si="11"/>
        <v>273020.56247083336</v>
      </c>
      <c r="K20" s="371">
        <f t="shared" si="12"/>
        <v>273020.56247083336</v>
      </c>
      <c r="L20" s="371">
        <f t="shared" si="13"/>
        <v>0</v>
      </c>
      <c r="M20" s="371">
        <f t="shared" si="14"/>
        <v>0</v>
      </c>
      <c r="N20" s="813">
        <f t="shared" si="15"/>
        <v>1486279.0619987557</v>
      </c>
      <c r="O20" s="812">
        <f>'6b-ADIT Projection Proration'!I20</f>
        <v>0</v>
      </c>
      <c r="P20" s="371">
        <f t="shared" si="1"/>
        <v>0</v>
      </c>
      <c r="Q20" s="371">
        <f t="shared" si="16"/>
        <v>0</v>
      </c>
      <c r="R20" s="366">
        <v>0</v>
      </c>
      <c r="S20" s="371">
        <f t="shared" si="2"/>
        <v>0</v>
      </c>
      <c r="T20" s="371">
        <f t="shared" si="17"/>
        <v>0</v>
      </c>
      <c r="U20" s="371">
        <f t="shared" si="3"/>
        <v>0</v>
      </c>
      <c r="V20" s="371">
        <f t="shared" si="4"/>
        <v>0</v>
      </c>
      <c r="W20" s="813">
        <f t="shared" si="18"/>
        <v>0</v>
      </c>
      <c r="X20" s="812">
        <f>'6b-ADIT Projection Proration'!K20</f>
        <v>0</v>
      </c>
      <c r="Y20" s="371">
        <f t="shared" si="5"/>
        <v>0</v>
      </c>
      <c r="Z20" s="371">
        <f t="shared" si="19"/>
        <v>0</v>
      </c>
      <c r="AA20" s="366">
        <v>0</v>
      </c>
      <c r="AB20" s="371">
        <f t="shared" si="6"/>
        <v>0</v>
      </c>
      <c r="AC20" s="371">
        <f t="shared" si="20"/>
        <v>0</v>
      </c>
      <c r="AD20" s="371">
        <f t="shared" si="7"/>
        <v>0</v>
      </c>
      <c r="AE20" s="371">
        <f t="shared" si="8"/>
        <v>0</v>
      </c>
      <c r="AF20" s="813">
        <f t="shared" si="21"/>
        <v>0</v>
      </c>
    </row>
    <row r="21" spans="1:33">
      <c r="A21" s="809">
        <f t="shared" si="0"/>
        <v>13</v>
      </c>
      <c r="B21" s="797" t="s">
        <v>728</v>
      </c>
      <c r="C21" s="800" t="s">
        <v>302</v>
      </c>
      <c r="D21" s="810" t="s">
        <v>704</v>
      </c>
      <c r="E21" s="811">
        <f>1/365</f>
        <v>2.7397260273972603E-3</v>
      </c>
      <c r="F21" s="814">
        <f>'6b-ADIT Projection Proration'!G21</f>
        <v>-273020.56247083336</v>
      </c>
      <c r="G21" s="815">
        <f t="shared" si="9"/>
        <v>-748.00154101598184</v>
      </c>
      <c r="H21" s="815">
        <f t="shared" si="10"/>
        <v>-11993622.29782143</v>
      </c>
      <c r="I21" s="816">
        <v>0</v>
      </c>
      <c r="J21" s="815">
        <f t="shared" si="11"/>
        <v>273020.56247083336</v>
      </c>
      <c r="K21" s="815">
        <f t="shared" si="12"/>
        <v>273020.56247083336</v>
      </c>
      <c r="L21" s="815">
        <f t="shared" si="13"/>
        <v>0</v>
      </c>
      <c r="M21" s="815">
        <f t="shared" si="14"/>
        <v>0</v>
      </c>
      <c r="N21" s="817">
        <f t="shared" si="15"/>
        <v>1758551.6229285731</v>
      </c>
      <c r="O21" s="814">
        <f>'6b-ADIT Projection Proration'!I21</f>
        <v>0</v>
      </c>
      <c r="P21" s="815">
        <f t="shared" si="1"/>
        <v>0</v>
      </c>
      <c r="Q21" s="815">
        <f t="shared" si="16"/>
        <v>0</v>
      </c>
      <c r="R21" s="816">
        <v>0</v>
      </c>
      <c r="S21" s="815">
        <f t="shared" si="2"/>
        <v>0</v>
      </c>
      <c r="T21" s="815">
        <f t="shared" si="17"/>
        <v>0</v>
      </c>
      <c r="U21" s="815">
        <f t="shared" si="3"/>
        <v>0</v>
      </c>
      <c r="V21" s="815">
        <f t="shared" si="4"/>
        <v>0</v>
      </c>
      <c r="W21" s="817">
        <f t="shared" si="18"/>
        <v>0</v>
      </c>
      <c r="X21" s="814">
        <f>'6b-ADIT Projection Proration'!K21</f>
        <v>0</v>
      </c>
      <c r="Y21" s="815">
        <f t="shared" si="5"/>
        <v>0</v>
      </c>
      <c r="Z21" s="815">
        <f t="shared" si="19"/>
        <v>0</v>
      </c>
      <c r="AA21" s="816">
        <v>0</v>
      </c>
      <c r="AB21" s="815">
        <f t="shared" si="6"/>
        <v>0</v>
      </c>
      <c r="AC21" s="815">
        <f t="shared" si="20"/>
        <v>0</v>
      </c>
      <c r="AD21" s="815">
        <f t="shared" si="7"/>
        <v>0</v>
      </c>
      <c r="AE21" s="815">
        <f t="shared" si="8"/>
        <v>0</v>
      </c>
      <c r="AF21" s="817">
        <f t="shared" si="21"/>
        <v>0</v>
      </c>
    </row>
    <row r="22" spans="1:33">
      <c r="A22" s="809">
        <f t="shared" si="0"/>
        <v>14</v>
      </c>
      <c r="B22" s="797" t="s">
        <v>729</v>
      </c>
      <c r="D22" s="818"/>
      <c r="F22" s="812">
        <f t="shared" ref="F22:M22" si="22">SUM(F9:F21)</f>
        <v>-3276246.7496500001</v>
      </c>
      <c r="G22" s="371">
        <f t="shared" si="22"/>
        <v>-1517695.1267214271</v>
      </c>
      <c r="H22" s="371"/>
      <c r="I22" s="371">
        <f t="shared" si="22"/>
        <v>0</v>
      </c>
      <c r="J22" s="371">
        <f t="shared" si="22"/>
        <v>3276246.7496500001</v>
      </c>
      <c r="K22" s="371">
        <f t="shared" si="22"/>
        <v>3276246.7496500001</v>
      </c>
      <c r="L22" s="371">
        <f t="shared" si="22"/>
        <v>0</v>
      </c>
      <c r="M22" s="371">
        <f t="shared" si="22"/>
        <v>0</v>
      </c>
      <c r="N22" s="813">
        <f>N21</f>
        <v>1758551.6229285731</v>
      </c>
      <c r="O22" s="812">
        <f t="shared" ref="O22:P22" si="23">SUM(O9:O21)</f>
        <v>0</v>
      </c>
      <c r="P22" s="371">
        <f t="shared" si="23"/>
        <v>0</v>
      </c>
      <c r="Q22" s="371"/>
      <c r="R22" s="371">
        <f t="shared" ref="R22:V22" si="24">SUM(R9:R21)</f>
        <v>0</v>
      </c>
      <c r="S22" s="371">
        <f t="shared" si="24"/>
        <v>0</v>
      </c>
      <c r="T22" s="371">
        <f t="shared" si="24"/>
        <v>0</v>
      </c>
      <c r="U22" s="371">
        <f t="shared" si="24"/>
        <v>0</v>
      </c>
      <c r="V22" s="371">
        <f t="shared" si="24"/>
        <v>0</v>
      </c>
      <c r="W22" s="813">
        <f>W21</f>
        <v>0</v>
      </c>
      <c r="X22" s="812">
        <f t="shared" ref="X22:Y22" si="25">SUM(X9:X21)</f>
        <v>0</v>
      </c>
      <c r="Y22" s="371">
        <f t="shared" si="25"/>
        <v>0</v>
      </c>
      <c r="Z22" s="371"/>
      <c r="AA22" s="371">
        <f t="shared" ref="AA22:AE22" si="26">SUM(AA9:AA21)</f>
        <v>0</v>
      </c>
      <c r="AB22" s="371">
        <f t="shared" si="26"/>
        <v>0</v>
      </c>
      <c r="AC22" s="371">
        <f t="shared" si="26"/>
        <v>0</v>
      </c>
      <c r="AD22" s="371">
        <f t="shared" si="26"/>
        <v>0</v>
      </c>
      <c r="AE22" s="371">
        <f t="shared" si="26"/>
        <v>0</v>
      </c>
      <c r="AF22" s="813">
        <f>AF21</f>
        <v>0</v>
      </c>
    </row>
    <row r="23" spans="1:33">
      <c r="A23" s="809"/>
      <c r="F23" s="812"/>
      <c r="G23" s="371"/>
      <c r="H23" s="371"/>
      <c r="I23" s="371"/>
      <c r="J23" s="371"/>
      <c r="K23" s="371"/>
      <c r="L23" s="371"/>
      <c r="M23" s="371"/>
      <c r="N23" s="813"/>
      <c r="O23" s="812"/>
      <c r="P23" s="371"/>
      <c r="Q23" s="371"/>
      <c r="R23" s="371"/>
      <c r="S23" s="371"/>
      <c r="T23" s="371"/>
      <c r="U23" s="371"/>
      <c r="V23" s="371"/>
      <c r="W23" s="813"/>
      <c r="X23" s="812"/>
      <c r="Y23" s="371"/>
      <c r="Z23" s="371"/>
      <c r="AA23" s="371"/>
      <c r="AB23" s="371"/>
      <c r="AC23" s="371"/>
      <c r="AD23" s="371"/>
      <c r="AE23" s="371"/>
      <c r="AF23" s="813"/>
    </row>
    <row r="24" spans="1:33">
      <c r="A24" s="800" t="s">
        <v>795</v>
      </c>
      <c r="D24" s="798"/>
      <c r="E24" s="798"/>
      <c r="F24" s="812"/>
      <c r="G24" s="371"/>
      <c r="H24" s="371"/>
      <c r="I24" s="371"/>
      <c r="J24" s="371"/>
      <c r="K24" s="371"/>
      <c r="L24" s="371"/>
      <c r="M24" s="371"/>
      <c r="N24" s="813"/>
      <c r="O24" s="812"/>
      <c r="P24" s="371"/>
      <c r="Q24" s="371"/>
      <c r="R24" s="371"/>
      <c r="S24" s="371"/>
      <c r="T24" s="371"/>
      <c r="U24" s="371"/>
      <c r="V24" s="371"/>
      <c r="W24" s="813"/>
      <c r="X24" s="812"/>
      <c r="Y24" s="371"/>
      <c r="Z24" s="371"/>
      <c r="AA24" s="371"/>
      <c r="AB24" s="371"/>
      <c r="AC24" s="371"/>
      <c r="AD24" s="371"/>
      <c r="AE24" s="371"/>
      <c r="AF24" s="813"/>
      <c r="AG24" s="798"/>
    </row>
    <row r="25" spans="1:33">
      <c r="A25" s="809">
        <f>A22+1</f>
        <v>15</v>
      </c>
      <c r="B25" s="797" t="s">
        <v>796</v>
      </c>
      <c r="C25" s="800" t="s">
        <v>302</v>
      </c>
      <c r="D25" s="819" t="s">
        <v>704</v>
      </c>
      <c r="E25" s="811">
        <f>365/365</f>
        <v>1</v>
      </c>
      <c r="F25" s="812"/>
      <c r="G25" s="371"/>
      <c r="H25" s="371">
        <f>'6b-ADIT Projection Proration'!G25</f>
        <v>0</v>
      </c>
      <c r="I25" s="371"/>
      <c r="J25" s="371"/>
      <c r="K25" s="371"/>
      <c r="L25" s="371"/>
      <c r="M25" s="371"/>
      <c r="N25" s="813">
        <f>'6c- ADIT BOY'!E74</f>
        <v>0</v>
      </c>
      <c r="O25" s="812"/>
      <c r="P25" s="371"/>
      <c r="Q25" s="371">
        <f>'6b-ADIT Projection Proration'!I25</f>
        <v>0</v>
      </c>
      <c r="R25" s="371"/>
      <c r="S25" s="371"/>
      <c r="T25" s="371"/>
      <c r="U25" s="371"/>
      <c r="V25" s="371"/>
      <c r="W25" s="813">
        <f>'6c- ADIT BOY'!F74</f>
        <v>0</v>
      </c>
      <c r="X25" s="812"/>
      <c r="Y25" s="371"/>
      <c r="Z25" s="371">
        <f>'6b-ADIT Projection Proration'!K25</f>
        <v>0</v>
      </c>
      <c r="AA25" s="371"/>
      <c r="AB25" s="371"/>
      <c r="AC25" s="371"/>
      <c r="AD25" s="371"/>
      <c r="AE25" s="371"/>
      <c r="AF25" s="813">
        <f>'6c- ADIT BOY'!G74</f>
        <v>0</v>
      </c>
    </row>
    <row r="26" spans="1:33">
      <c r="A26" s="809">
        <f t="shared" ref="A26:A38" si="27">+A25+1</f>
        <v>16</v>
      </c>
      <c r="B26" s="797" t="s">
        <v>728</v>
      </c>
      <c r="C26" s="800" t="s">
        <v>304</v>
      </c>
      <c r="D26" s="819" t="s">
        <v>704</v>
      </c>
      <c r="E26" s="811">
        <f>335/365</f>
        <v>0.9178082191780822</v>
      </c>
      <c r="F26" s="812">
        <f>'6b-ADIT Projection Proration'!G26</f>
        <v>0</v>
      </c>
      <c r="G26" s="371">
        <f t="shared" ref="G26:G37" si="28">$E26*F26</f>
        <v>0</v>
      </c>
      <c r="H26" s="371">
        <f t="shared" ref="H26:H37" si="29">+G26+H25</f>
        <v>0</v>
      </c>
      <c r="I26" s="366">
        <v>0</v>
      </c>
      <c r="J26" s="371">
        <f t="shared" ref="J26:J37" si="30">I26-F26</f>
        <v>0</v>
      </c>
      <c r="K26" s="371">
        <f t="shared" ref="K26:K37" si="31">IF(J26&gt;=0,+J26,0)</f>
        <v>0</v>
      </c>
      <c r="L26" s="371">
        <f t="shared" ref="L26:L37" si="32">IF(K26&gt;0,0,IF(I26&lt;0,0,(-(J26)*($E26))))</f>
        <v>0</v>
      </c>
      <c r="M26" s="371">
        <f t="shared" ref="M26:M37" si="33">IF(K26&gt;0,0,IF(I26&gt;0,0,(-(J26)*($E26))))</f>
        <v>0</v>
      </c>
      <c r="N26" s="813">
        <f t="shared" ref="N26:N37" si="34">IF(I26&lt;0,N25+M26,N25+$G26+K26-L26)</f>
        <v>0</v>
      </c>
      <c r="O26" s="812">
        <f>'6b-ADIT Projection Proration'!I26</f>
        <v>0</v>
      </c>
      <c r="P26" s="371">
        <f t="shared" ref="P26:P37" si="35">$E26*O26</f>
        <v>0</v>
      </c>
      <c r="Q26" s="371">
        <f t="shared" ref="Q26:Q37" si="36">+P26+Q25</f>
        <v>0</v>
      </c>
      <c r="R26" s="366">
        <v>0</v>
      </c>
      <c r="S26" s="371">
        <f t="shared" ref="S26:S37" si="37">R26-O26</f>
        <v>0</v>
      </c>
      <c r="T26" s="371">
        <f t="shared" ref="T26:T37" si="38">IF(S26&gt;=0,+S26,0)</f>
        <v>0</v>
      </c>
      <c r="U26" s="371">
        <f t="shared" ref="U26:U37" si="39">IF(T26&gt;0,0,IF(R26&lt;0,0,(-(S26)*($E26))))</f>
        <v>0</v>
      </c>
      <c r="V26" s="371">
        <f t="shared" ref="V26:V37" si="40">IF(T26&gt;0,0,IF(R26&gt;0,0,(-(S26)*($E26))))</f>
        <v>0</v>
      </c>
      <c r="W26" s="813">
        <f t="shared" ref="W26:W37" si="41">IF(R26&lt;0,W25+V26,W25+P26+T26-U26)</f>
        <v>0</v>
      </c>
      <c r="X26" s="812">
        <f>'6b-ADIT Projection Proration'!K26</f>
        <v>0</v>
      </c>
      <c r="Y26" s="371">
        <f t="shared" ref="Y26:Y37" si="42">$E26*X26</f>
        <v>0</v>
      </c>
      <c r="Z26" s="371">
        <f t="shared" ref="Z26:Z37" si="43">+Y26+Z25</f>
        <v>0</v>
      </c>
      <c r="AA26" s="366">
        <v>0</v>
      </c>
      <c r="AB26" s="371">
        <f t="shared" ref="AB26:AB37" si="44">AA26-X26</f>
        <v>0</v>
      </c>
      <c r="AC26" s="371">
        <f t="shared" ref="AC26:AC37" si="45">IF(AB26&gt;=0,+AB26,0)</f>
        <v>0</v>
      </c>
      <c r="AD26" s="371">
        <f t="shared" ref="AD26:AD37" si="46">IF(AC26&gt;0,0,IF(AA26&lt;0,0,(-(AB26)*($E26))))</f>
        <v>0</v>
      </c>
      <c r="AE26" s="371">
        <f t="shared" ref="AE26:AE37" si="47">IF(AC26&gt;0,0,IF(AA26&gt;0,0,(-(AB26)*($E26))))</f>
        <v>0</v>
      </c>
      <c r="AF26" s="813">
        <f t="shared" ref="AF26:AF37" si="48">IF(AA26&lt;0,AF25+AE26,AF25+Y26+AC26-AD26)</f>
        <v>0</v>
      </c>
    </row>
    <row r="27" spans="1:33">
      <c r="A27" s="809">
        <f t="shared" si="27"/>
        <v>17</v>
      </c>
      <c r="B27" s="797" t="s">
        <v>728</v>
      </c>
      <c r="C27" s="800" t="s">
        <v>306</v>
      </c>
      <c r="D27" s="819" t="s">
        <v>704</v>
      </c>
      <c r="E27" s="811">
        <f>307/365</f>
        <v>0.84109589041095889</v>
      </c>
      <c r="F27" s="812">
        <f>'6b-ADIT Projection Proration'!G27</f>
        <v>0</v>
      </c>
      <c r="G27" s="371">
        <f t="shared" si="28"/>
        <v>0</v>
      </c>
      <c r="H27" s="371">
        <f t="shared" si="29"/>
        <v>0</v>
      </c>
      <c r="I27" s="366">
        <v>0</v>
      </c>
      <c r="J27" s="371">
        <f t="shared" si="30"/>
        <v>0</v>
      </c>
      <c r="K27" s="371">
        <f t="shared" si="31"/>
        <v>0</v>
      </c>
      <c r="L27" s="371">
        <f t="shared" si="32"/>
        <v>0</v>
      </c>
      <c r="M27" s="371">
        <f t="shared" si="33"/>
        <v>0</v>
      </c>
      <c r="N27" s="813">
        <f t="shared" si="34"/>
        <v>0</v>
      </c>
      <c r="O27" s="812">
        <f>'6b-ADIT Projection Proration'!I27</f>
        <v>0</v>
      </c>
      <c r="P27" s="371">
        <f t="shared" si="35"/>
        <v>0</v>
      </c>
      <c r="Q27" s="371">
        <f t="shared" si="36"/>
        <v>0</v>
      </c>
      <c r="R27" s="366">
        <v>0</v>
      </c>
      <c r="S27" s="371">
        <f t="shared" si="37"/>
        <v>0</v>
      </c>
      <c r="T27" s="371">
        <f t="shared" si="38"/>
        <v>0</v>
      </c>
      <c r="U27" s="371">
        <f t="shared" si="39"/>
        <v>0</v>
      </c>
      <c r="V27" s="371">
        <f t="shared" si="40"/>
        <v>0</v>
      </c>
      <c r="W27" s="813">
        <f t="shared" si="41"/>
        <v>0</v>
      </c>
      <c r="X27" s="812">
        <f>'6b-ADIT Projection Proration'!K27</f>
        <v>0</v>
      </c>
      <c r="Y27" s="371">
        <f t="shared" si="42"/>
        <v>0</v>
      </c>
      <c r="Z27" s="371">
        <f t="shared" si="43"/>
        <v>0</v>
      </c>
      <c r="AA27" s="366">
        <v>0</v>
      </c>
      <c r="AB27" s="371">
        <f t="shared" si="44"/>
        <v>0</v>
      </c>
      <c r="AC27" s="371">
        <f t="shared" si="45"/>
        <v>0</v>
      </c>
      <c r="AD27" s="371">
        <f t="shared" si="46"/>
        <v>0</v>
      </c>
      <c r="AE27" s="371">
        <f t="shared" si="47"/>
        <v>0</v>
      </c>
      <c r="AF27" s="813">
        <f t="shared" si="48"/>
        <v>0</v>
      </c>
    </row>
    <row r="28" spans="1:33">
      <c r="A28" s="809">
        <f t="shared" si="27"/>
        <v>18</v>
      </c>
      <c r="B28" s="797" t="s">
        <v>728</v>
      </c>
      <c r="C28" s="800" t="s">
        <v>307</v>
      </c>
      <c r="D28" s="819" t="s">
        <v>704</v>
      </c>
      <c r="E28" s="811">
        <f>276/365</f>
        <v>0.75616438356164384</v>
      </c>
      <c r="F28" s="812">
        <f>'6b-ADIT Projection Proration'!G28</f>
        <v>0</v>
      </c>
      <c r="G28" s="371">
        <f t="shared" si="28"/>
        <v>0</v>
      </c>
      <c r="H28" s="371">
        <f t="shared" si="29"/>
        <v>0</v>
      </c>
      <c r="I28" s="366">
        <v>0</v>
      </c>
      <c r="J28" s="371">
        <f t="shared" si="30"/>
        <v>0</v>
      </c>
      <c r="K28" s="371">
        <f t="shared" si="31"/>
        <v>0</v>
      </c>
      <c r="L28" s="371">
        <f t="shared" si="32"/>
        <v>0</v>
      </c>
      <c r="M28" s="371">
        <f t="shared" si="33"/>
        <v>0</v>
      </c>
      <c r="N28" s="813">
        <f t="shared" si="34"/>
        <v>0</v>
      </c>
      <c r="O28" s="812">
        <f>'6b-ADIT Projection Proration'!I28</f>
        <v>0</v>
      </c>
      <c r="P28" s="371">
        <f t="shared" si="35"/>
        <v>0</v>
      </c>
      <c r="Q28" s="371">
        <f t="shared" si="36"/>
        <v>0</v>
      </c>
      <c r="R28" s="366">
        <v>0</v>
      </c>
      <c r="S28" s="371">
        <f t="shared" si="37"/>
        <v>0</v>
      </c>
      <c r="T28" s="371">
        <f t="shared" si="38"/>
        <v>0</v>
      </c>
      <c r="U28" s="371">
        <f t="shared" si="39"/>
        <v>0</v>
      </c>
      <c r="V28" s="371">
        <f t="shared" si="40"/>
        <v>0</v>
      </c>
      <c r="W28" s="813">
        <f t="shared" si="41"/>
        <v>0</v>
      </c>
      <c r="X28" s="812">
        <f>'6b-ADIT Projection Proration'!K28</f>
        <v>0</v>
      </c>
      <c r="Y28" s="371">
        <f t="shared" si="42"/>
        <v>0</v>
      </c>
      <c r="Z28" s="371">
        <f t="shared" si="43"/>
        <v>0</v>
      </c>
      <c r="AA28" s="366">
        <v>0</v>
      </c>
      <c r="AB28" s="371">
        <f t="shared" si="44"/>
        <v>0</v>
      </c>
      <c r="AC28" s="371">
        <f t="shared" si="45"/>
        <v>0</v>
      </c>
      <c r="AD28" s="371">
        <f t="shared" si="46"/>
        <v>0</v>
      </c>
      <c r="AE28" s="371">
        <f t="shared" si="47"/>
        <v>0</v>
      </c>
      <c r="AF28" s="813">
        <f t="shared" si="48"/>
        <v>0</v>
      </c>
    </row>
    <row r="29" spans="1:33">
      <c r="A29" s="809">
        <f t="shared" si="27"/>
        <v>19</v>
      </c>
      <c r="B29" s="797" t="s">
        <v>728</v>
      </c>
      <c r="C29" s="800" t="s">
        <v>308</v>
      </c>
      <c r="D29" s="819" t="s">
        <v>704</v>
      </c>
      <c r="E29" s="811">
        <f>246/365</f>
        <v>0.67397260273972603</v>
      </c>
      <c r="F29" s="812">
        <f>'6b-ADIT Projection Proration'!G29</f>
        <v>0</v>
      </c>
      <c r="G29" s="371">
        <f t="shared" si="28"/>
        <v>0</v>
      </c>
      <c r="H29" s="371">
        <f t="shared" si="29"/>
        <v>0</v>
      </c>
      <c r="I29" s="366">
        <v>0</v>
      </c>
      <c r="J29" s="371">
        <f t="shared" si="30"/>
        <v>0</v>
      </c>
      <c r="K29" s="371">
        <f t="shared" si="31"/>
        <v>0</v>
      </c>
      <c r="L29" s="371">
        <f t="shared" si="32"/>
        <v>0</v>
      </c>
      <c r="M29" s="371">
        <f t="shared" si="33"/>
        <v>0</v>
      </c>
      <c r="N29" s="813">
        <f t="shared" si="34"/>
        <v>0</v>
      </c>
      <c r="O29" s="812">
        <f>'6b-ADIT Projection Proration'!I29</f>
        <v>0</v>
      </c>
      <c r="P29" s="371">
        <f t="shared" si="35"/>
        <v>0</v>
      </c>
      <c r="Q29" s="371">
        <f t="shared" si="36"/>
        <v>0</v>
      </c>
      <c r="R29" s="366">
        <v>0</v>
      </c>
      <c r="S29" s="371">
        <f t="shared" si="37"/>
        <v>0</v>
      </c>
      <c r="T29" s="371">
        <f t="shared" si="38"/>
        <v>0</v>
      </c>
      <c r="U29" s="371">
        <f t="shared" si="39"/>
        <v>0</v>
      </c>
      <c r="V29" s="371">
        <f t="shared" si="40"/>
        <v>0</v>
      </c>
      <c r="W29" s="813">
        <f t="shared" si="41"/>
        <v>0</v>
      </c>
      <c r="X29" s="812">
        <f>'6b-ADIT Projection Proration'!K29</f>
        <v>0</v>
      </c>
      <c r="Y29" s="371">
        <f t="shared" si="42"/>
        <v>0</v>
      </c>
      <c r="Z29" s="371">
        <f t="shared" si="43"/>
        <v>0</v>
      </c>
      <c r="AA29" s="366">
        <v>0</v>
      </c>
      <c r="AB29" s="371">
        <f t="shared" si="44"/>
        <v>0</v>
      </c>
      <c r="AC29" s="371">
        <f t="shared" si="45"/>
        <v>0</v>
      </c>
      <c r="AD29" s="371">
        <f t="shared" si="46"/>
        <v>0</v>
      </c>
      <c r="AE29" s="371">
        <f t="shared" si="47"/>
        <v>0</v>
      </c>
      <c r="AF29" s="813">
        <f t="shared" si="48"/>
        <v>0</v>
      </c>
    </row>
    <row r="30" spans="1:33">
      <c r="A30" s="809">
        <f t="shared" si="27"/>
        <v>20</v>
      </c>
      <c r="B30" s="797" t="s">
        <v>728</v>
      </c>
      <c r="C30" s="800" t="s">
        <v>309</v>
      </c>
      <c r="D30" s="819" t="s">
        <v>704</v>
      </c>
      <c r="E30" s="811">
        <f>215/365</f>
        <v>0.58904109589041098</v>
      </c>
      <c r="F30" s="812">
        <f>'6b-ADIT Projection Proration'!G30</f>
        <v>0</v>
      </c>
      <c r="G30" s="371">
        <f t="shared" si="28"/>
        <v>0</v>
      </c>
      <c r="H30" s="371">
        <f t="shared" si="29"/>
        <v>0</v>
      </c>
      <c r="I30" s="366">
        <v>0</v>
      </c>
      <c r="J30" s="371">
        <f t="shared" si="30"/>
        <v>0</v>
      </c>
      <c r="K30" s="371">
        <f t="shared" si="31"/>
        <v>0</v>
      </c>
      <c r="L30" s="371">
        <f t="shared" si="32"/>
        <v>0</v>
      </c>
      <c r="M30" s="371">
        <f t="shared" si="33"/>
        <v>0</v>
      </c>
      <c r="N30" s="813">
        <f t="shared" si="34"/>
        <v>0</v>
      </c>
      <c r="O30" s="812">
        <f>'6b-ADIT Projection Proration'!I30</f>
        <v>0</v>
      </c>
      <c r="P30" s="371">
        <f t="shared" si="35"/>
        <v>0</v>
      </c>
      <c r="Q30" s="371">
        <f t="shared" si="36"/>
        <v>0</v>
      </c>
      <c r="R30" s="366">
        <v>0</v>
      </c>
      <c r="S30" s="371">
        <f t="shared" si="37"/>
        <v>0</v>
      </c>
      <c r="T30" s="371">
        <f t="shared" si="38"/>
        <v>0</v>
      </c>
      <c r="U30" s="371">
        <f t="shared" si="39"/>
        <v>0</v>
      </c>
      <c r="V30" s="371">
        <f t="shared" si="40"/>
        <v>0</v>
      </c>
      <c r="W30" s="813">
        <f t="shared" si="41"/>
        <v>0</v>
      </c>
      <c r="X30" s="812">
        <f>'6b-ADIT Projection Proration'!K30</f>
        <v>0</v>
      </c>
      <c r="Y30" s="371">
        <f t="shared" si="42"/>
        <v>0</v>
      </c>
      <c r="Z30" s="371">
        <f t="shared" si="43"/>
        <v>0</v>
      </c>
      <c r="AA30" s="366">
        <v>0</v>
      </c>
      <c r="AB30" s="371">
        <f t="shared" si="44"/>
        <v>0</v>
      </c>
      <c r="AC30" s="371">
        <f t="shared" si="45"/>
        <v>0</v>
      </c>
      <c r="AD30" s="371">
        <f t="shared" si="46"/>
        <v>0</v>
      </c>
      <c r="AE30" s="371">
        <f t="shared" si="47"/>
        <v>0</v>
      </c>
      <c r="AF30" s="813">
        <f t="shared" si="48"/>
        <v>0</v>
      </c>
    </row>
    <row r="31" spans="1:33">
      <c r="A31" s="809">
        <f t="shared" si="27"/>
        <v>21</v>
      </c>
      <c r="B31" s="797" t="s">
        <v>728</v>
      </c>
      <c r="C31" s="800" t="s">
        <v>471</v>
      </c>
      <c r="D31" s="819" t="s">
        <v>704</v>
      </c>
      <c r="E31" s="811">
        <f>185/365</f>
        <v>0.50684931506849318</v>
      </c>
      <c r="F31" s="812">
        <f>'6b-ADIT Projection Proration'!G31</f>
        <v>0</v>
      </c>
      <c r="G31" s="371">
        <f t="shared" si="28"/>
        <v>0</v>
      </c>
      <c r="H31" s="371">
        <f t="shared" si="29"/>
        <v>0</v>
      </c>
      <c r="I31" s="366">
        <v>0</v>
      </c>
      <c r="J31" s="371">
        <f t="shared" si="30"/>
        <v>0</v>
      </c>
      <c r="K31" s="371">
        <f t="shared" si="31"/>
        <v>0</v>
      </c>
      <c r="L31" s="371">
        <f t="shared" si="32"/>
        <v>0</v>
      </c>
      <c r="M31" s="371">
        <f t="shared" si="33"/>
        <v>0</v>
      </c>
      <c r="N31" s="813">
        <f t="shared" si="34"/>
        <v>0</v>
      </c>
      <c r="O31" s="812">
        <f>'6b-ADIT Projection Proration'!I31</f>
        <v>0</v>
      </c>
      <c r="P31" s="371">
        <f t="shared" si="35"/>
        <v>0</v>
      </c>
      <c r="Q31" s="371">
        <f t="shared" si="36"/>
        <v>0</v>
      </c>
      <c r="R31" s="366">
        <v>0</v>
      </c>
      <c r="S31" s="371">
        <f t="shared" si="37"/>
        <v>0</v>
      </c>
      <c r="T31" s="371">
        <f t="shared" si="38"/>
        <v>0</v>
      </c>
      <c r="U31" s="371">
        <f t="shared" si="39"/>
        <v>0</v>
      </c>
      <c r="V31" s="371">
        <f t="shared" si="40"/>
        <v>0</v>
      </c>
      <c r="W31" s="813">
        <f t="shared" si="41"/>
        <v>0</v>
      </c>
      <c r="X31" s="812">
        <f>'6b-ADIT Projection Proration'!K31</f>
        <v>0</v>
      </c>
      <c r="Y31" s="371">
        <f t="shared" si="42"/>
        <v>0</v>
      </c>
      <c r="Z31" s="371">
        <f t="shared" si="43"/>
        <v>0</v>
      </c>
      <c r="AA31" s="366">
        <v>0</v>
      </c>
      <c r="AB31" s="371">
        <f t="shared" si="44"/>
        <v>0</v>
      </c>
      <c r="AC31" s="371">
        <f t="shared" si="45"/>
        <v>0</v>
      </c>
      <c r="AD31" s="371">
        <f t="shared" si="46"/>
        <v>0</v>
      </c>
      <c r="AE31" s="371">
        <f t="shared" si="47"/>
        <v>0</v>
      </c>
      <c r="AF31" s="813">
        <f t="shared" si="48"/>
        <v>0</v>
      </c>
    </row>
    <row r="32" spans="1:33">
      <c r="A32" s="809">
        <f t="shared" si="27"/>
        <v>22</v>
      </c>
      <c r="B32" s="797" t="s">
        <v>728</v>
      </c>
      <c r="C32" s="800" t="s">
        <v>311</v>
      </c>
      <c r="D32" s="819" t="s">
        <v>704</v>
      </c>
      <c r="E32" s="811">
        <f>154/365</f>
        <v>0.42191780821917807</v>
      </c>
      <c r="F32" s="812">
        <f>'6b-ADIT Projection Proration'!G32</f>
        <v>0</v>
      </c>
      <c r="G32" s="371">
        <f t="shared" si="28"/>
        <v>0</v>
      </c>
      <c r="H32" s="371">
        <f t="shared" si="29"/>
        <v>0</v>
      </c>
      <c r="I32" s="366">
        <v>0</v>
      </c>
      <c r="J32" s="371">
        <f t="shared" si="30"/>
        <v>0</v>
      </c>
      <c r="K32" s="371">
        <f t="shared" si="31"/>
        <v>0</v>
      </c>
      <c r="L32" s="371">
        <f t="shared" si="32"/>
        <v>0</v>
      </c>
      <c r="M32" s="371">
        <f t="shared" si="33"/>
        <v>0</v>
      </c>
      <c r="N32" s="813">
        <f t="shared" si="34"/>
        <v>0</v>
      </c>
      <c r="O32" s="812">
        <f>'6b-ADIT Projection Proration'!I32</f>
        <v>0</v>
      </c>
      <c r="P32" s="371">
        <f t="shared" si="35"/>
        <v>0</v>
      </c>
      <c r="Q32" s="371">
        <f t="shared" si="36"/>
        <v>0</v>
      </c>
      <c r="R32" s="366">
        <v>0</v>
      </c>
      <c r="S32" s="371">
        <f t="shared" si="37"/>
        <v>0</v>
      </c>
      <c r="T32" s="371">
        <f t="shared" si="38"/>
        <v>0</v>
      </c>
      <c r="U32" s="371">
        <f t="shared" si="39"/>
        <v>0</v>
      </c>
      <c r="V32" s="371">
        <f t="shared" si="40"/>
        <v>0</v>
      </c>
      <c r="W32" s="813">
        <f t="shared" si="41"/>
        <v>0</v>
      </c>
      <c r="X32" s="812">
        <f>'6b-ADIT Projection Proration'!K32</f>
        <v>0</v>
      </c>
      <c r="Y32" s="371">
        <f t="shared" si="42"/>
        <v>0</v>
      </c>
      <c r="Z32" s="371">
        <f t="shared" si="43"/>
        <v>0</v>
      </c>
      <c r="AA32" s="366">
        <v>0</v>
      </c>
      <c r="AB32" s="371">
        <f t="shared" si="44"/>
        <v>0</v>
      </c>
      <c r="AC32" s="371">
        <f t="shared" si="45"/>
        <v>0</v>
      </c>
      <c r="AD32" s="371">
        <f t="shared" si="46"/>
        <v>0</v>
      </c>
      <c r="AE32" s="371">
        <f t="shared" si="47"/>
        <v>0</v>
      </c>
      <c r="AF32" s="813">
        <f t="shared" si="48"/>
        <v>0</v>
      </c>
    </row>
    <row r="33" spans="1:33">
      <c r="A33" s="809">
        <f t="shared" si="27"/>
        <v>23</v>
      </c>
      <c r="B33" s="797" t="s">
        <v>728</v>
      </c>
      <c r="C33" s="800" t="s">
        <v>312</v>
      </c>
      <c r="D33" s="819" t="s">
        <v>704</v>
      </c>
      <c r="E33" s="811">
        <f>123/365</f>
        <v>0.33698630136986302</v>
      </c>
      <c r="F33" s="812">
        <f>'6b-ADIT Projection Proration'!G33</f>
        <v>0</v>
      </c>
      <c r="G33" s="371">
        <f t="shared" si="28"/>
        <v>0</v>
      </c>
      <c r="H33" s="371">
        <f t="shared" si="29"/>
        <v>0</v>
      </c>
      <c r="I33" s="366">
        <v>0</v>
      </c>
      <c r="J33" s="371">
        <f t="shared" si="30"/>
        <v>0</v>
      </c>
      <c r="K33" s="371">
        <f t="shared" si="31"/>
        <v>0</v>
      </c>
      <c r="L33" s="371">
        <f t="shared" si="32"/>
        <v>0</v>
      </c>
      <c r="M33" s="371">
        <f t="shared" si="33"/>
        <v>0</v>
      </c>
      <c r="N33" s="813">
        <f t="shared" si="34"/>
        <v>0</v>
      </c>
      <c r="O33" s="812">
        <f>'6b-ADIT Projection Proration'!I33</f>
        <v>0</v>
      </c>
      <c r="P33" s="371">
        <f t="shared" si="35"/>
        <v>0</v>
      </c>
      <c r="Q33" s="371">
        <f t="shared" si="36"/>
        <v>0</v>
      </c>
      <c r="R33" s="366">
        <v>0</v>
      </c>
      <c r="S33" s="371">
        <f t="shared" si="37"/>
        <v>0</v>
      </c>
      <c r="T33" s="371">
        <f t="shared" si="38"/>
        <v>0</v>
      </c>
      <c r="U33" s="371">
        <f t="shared" si="39"/>
        <v>0</v>
      </c>
      <c r="V33" s="371">
        <f t="shared" si="40"/>
        <v>0</v>
      </c>
      <c r="W33" s="813">
        <f t="shared" si="41"/>
        <v>0</v>
      </c>
      <c r="X33" s="812">
        <f>'6b-ADIT Projection Proration'!K33</f>
        <v>0</v>
      </c>
      <c r="Y33" s="371">
        <f t="shared" si="42"/>
        <v>0</v>
      </c>
      <c r="Z33" s="371">
        <f t="shared" si="43"/>
        <v>0</v>
      </c>
      <c r="AA33" s="366">
        <v>0</v>
      </c>
      <c r="AB33" s="371">
        <f t="shared" si="44"/>
        <v>0</v>
      </c>
      <c r="AC33" s="371">
        <f t="shared" si="45"/>
        <v>0</v>
      </c>
      <c r="AD33" s="371">
        <f t="shared" si="46"/>
        <v>0</v>
      </c>
      <c r="AE33" s="371">
        <f t="shared" si="47"/>
        <v>0</v>
      </c>
      <c r="AF33" s="813">
        <f t="shared" si="48"/>
        <v>0</v>
      </c>
    </row>
    <row r="34" spans="1:33">
      <c r="A34" s="809">
        <f t="shared" si="27"/>
        <v>24</v>
      </c>
      <c r="B34" s="797" t="s">
        <v>728</v>
      </c>
      <c r="C34" s="800" t="s">
        <v>313</v>
      </c>
      <c r="D34" s="819" t="s">
        <v>704</v>
      </c>
      <c r="E34" s="811">
        <f>93/365</f>
        <v>0.25479452054794521</v>
      </c>
      <c r="F34" s="812">
        <f>'6b-ADIT Projection Proration'!G34</f>
        <v>0</v>
      </c>
      <c r="G34" s="371">
        <f t="shared" si="28"/>
        <v>0</v>
      </c>
      <c r="H34" s="371">
        <f t="shared" si="29"/>
        <v>0</v>
      </c>
      <c r="I34" s="366">
        <v>0</v>
      </c>
      <c r="J34" s="371">
        <f t="shared" si="30"/>
        <v>0</v>
      </c>
      <c r="K34" s="371">
        <f t="shared" si="31"/>
        <v>0</v>
      </c>
      <c r="L34" s="371">
        <f t="shared" si="32"/>
        <v>0</v>
      </c>
      <c r="M34" s="371">
        <f t="shared" si="33"/>
        <v>0</v>
      </c>
      <c r="N34" s="813">
        <f t="shared" si="34"/>
        <v>0</v>
      </c>
      <c r="O34" s="812">
        <f>'6b-ADIT Projection Proration'!I34</f>
        <v>0</v>
      </c>
      <c r="P34" s="371">
        <f t="shared" si="35"/>
        <v>0</v>
      </c>
      <c r="Q34" s="371">
        <f t="shared" si="36"/>
        <v>0</v>
      </c>
      <c r="R34" s="366">
        <v>0</v>
      </c>
      <c r="S34" s="371">
        <f t="shared" si="37"/>
        <v>0</v>
      </c>
      <c r="T34" s="371">
        <f t="shared" si="38"/>
        <v>0</v>
      </c>
      <c r="U34" s="371">
        <f t="shared" si="39"/>
        <v>0</v>
      </c>
      <c r="V34" s="371">
        <f t="shared" si="40"/>
        <v>0</v>
      </c>
      <c r="W34" s="813">
        <f t="shared" si="41"/>
        <v>0</v>
      </c>
      <c r="X34" s="812">
        <f>'6b-ADIT Projection Proration'!K34</f>
        <v>0</v>
      </c>
      <c r="Y34" s="371">
        <f t="shared" si="42"/>
        <v>0</v>
      </c>
      <c r="Z34" s="371">
        <f t="shared" si="43"/>
        <v>0</v>
      </c>
      <c r="AA34" s="366">
        <v>0</v>
      </c>
      <c r="AB34" s="371">
        <f t="shared" si="44"/>
        <v>0</v>
      </c>
      <c r="AC34" s="371">
        <f t="shared" si="45"/>
        <v>0</v>
      </c>
      <c r="AD34" s="371">
        <f t="shared" si="46"/>
        <v>0</v>
      </c>
      <c r="AE34" s="371">
        <f t="shared" si="47"/>
        <v>0</v>
      </c>
      <c r="AF34" s="813">
        <f t="shared" si="48"/>
        <v>0</v>
      </c>
    </row>
    <row r="35" spans="1:33">
      <c r="A35" s="809">
        <f t="shared" si="27"/>
        <v>25</v>
      </c>
      <c r="B35" s="797" t="s">
        <v>728</v>
      </c>
      <c r="C35" s="800" t="s">
        <v>320</v>
      </c>
      <c r="D35" s="819" t="s">
        <v>704</v>
      </c>
      <c r="E35" s="811">
        <f>62/365</f>
        <v>0.16986301369863013</v>
      </c>
      <c r="F35" s="812">
        <f>'6b-ADIT Projection Proration'!G35</f>
        <v>0</v>
      </c>
      <c r="G35" s="371">
        <f t="shared" si="28"/>
        <v>0</v>
      </c>
      <c r="H35" s="371">
        <f t="shared" si="29"/>
        <v>0</v>
      </c>
      <c r="I35" s="366">
        <v>0</v>
      </c>
      <c r="J35" s="371">
        <f t="shared" si="30"/>
        <v>0</v>
      </c>
      <c r="K35" s="371">
        <f t="shared" si="31"/>
        <v>0</v>
      </c>
      <c r="L35" s="371">
        <f t="shared" si="32"/>
        <v>0</v>
      </c>
      <c r="M35" s="371">
        <f t="shared" si="33"/>
        <v>0</v>
      </c>
      <c r="N35" s="813">
        <f t="shared" si="34"/>
        <v>0</v>
      </c>
      <c r="O35" s="812">
        <f>'6b-ADIT Projection Proration'!I35</f>
        <v>0</v>
      </c>
      <c r="P35" s="371">
        <f t="shared" si="35"/>
        <v>0</v>
      </c>
      <c r="Q35" s="371">
        <f t="shared" si="36"/>
        <v>0</v>
      </c>
      <c r="R35" s="366">
        <v>0</v>
      </c>
      <c r="S35" s="371">
        <f t="shared" si="37"/>
        <v>0</v>
      </c>
      <c r="T35" s="371">
        <f t="shared" si="38"/>
        <v>0</v>
      </c>
      <c r="U35" s="371">
        <f t="shared" si="39"/>
        <v>0</v>
      </c>
      <c r="V35" s="371">
        <f t="shared" si="40"/>
        <v>0</v>
      </c>
      <c r="W35" s="813">
        <f t="shared" si="41"/>
        <v>0</v>
      </c>
      <c r="X35" s="812">
        <f>'6b-ADIT Projection Proration'!K35</f>
        <v>0</v>
      </c>
      <c r="Y35" s="371">
        <f t="shared" si="42"/>
        <v>0</v>
      </c>
      <c r="Z35" s="371">
        <f t="shared" si="43"/>
        <v>0</v>
      </c>
      <c r="AA35" s="366">
        <v>0</v>
      </c>
      <c r="AB35" s="371">
        <f t="shared" si="44"/>
        <v>0</v>
      </c>
      <c r="AC35" s="371">
        <f t="shared" si="45"/>
        <v>0</v>
      </c>
      <c r="AD35" s="371">
        <f t="shared" si="46"/>
        <v>0</v>
      </c>
      <c r="AE35" s="371">
        <f t="shared" si="47"/>
        <v>0</v>
      </c>
      <c r="AF35" s="813">
        <f t="shared" si="48"/>
        <v>0</v>
      </c>
    </row>
    <row r="36" spans="1:33">
      <c r="A36" s="809">
        <f t="shared" si="27"/>
        <v>26</v>
      </c>
      <c r="B36" s="797" t="s">
        <v>728</v>
      </c>
      <c r="C36" s="800" t="s">
        <v>315</v>
      </c>
      <c r="D36" s="819" t="s">
        <v>704</v>
      </c>
      <c r="E36" s="811">
        <f>32/365</f>
        <v>8.7671232876712329E-2</v>
      </c>
      <c r="F36" s="812">
        <f>'6b-ADIT Projection Proration'!G36</f>
        <v>0</v>
      </c>
      <c r="G36" s="371">
        <f t="shared" si="28"/>
        <v>0</v>
      </c>
      <c r="H36" s="371">
        <f t="shared" si="29"/>
        <v>0</v>
      </c>
      <c r="I36" s="366">
        <v>0</v>
      </c>
      <c r="J36" s="371">
        <f t="shared" si="30"/>
        <v>0</v>
      </c>
      <c r="K36" s="371">
        <f t="shared" si="31"/>
        <v>0</v>
      </c>
      <c r="L36" s="371">
        <f t="shared" si="32"/>
        <v>0</v>
      </c>
      <c r="M36" s="371">
        <f t="shared" si="33"/>
        <v>0</v>
      </c>
      <c r="N36" s="813">
        <f t="shared" si="34"/>
        <v>0</v>
      </c>
      <c r="O36" s="812">
        <f>'6b-ADIT Projection Proration'!I36</f>
        <v>0</v>
      </c>
      <c r="P36" s="371">
        <f t="shared" si="35"/>
        <v>0</v>
      </c>
      <c r="Q36" s="371">
        <f t="shared" si="36"/>
        <v>0</v>
      </c>
      <c r="R36" s="366">
        <v>0</v>
      </c>
      <c r="S36" s="371">
        <f t="shared" si="37"/>
        <v>0</v>
      </c>
      <c r="T36" s="371">
        <f t="shared" si="38"/>
        <v>0</v>
      </c>
      <c r="U36" s="371">
        <f t="shared" si="39"/>
        <v>0</v>
      </c>
      <c r="V36" s="371">
        <f t="shared" si="40"/>
        <v>0</v>
      </c>
      <c r="W36" s="813">
        <f t="shared" si="41"/>
        <v>0</v>
      </c>
      <c r="X36" s="812">
        <f>'6b-ADIT Projection Proration'!K36</f>
        <v>0</v>
      </c>
      <c r="Y36" s="371">
        <f t="shared" si="42"/>
        <v>0</v>
      </c>
      <c r="Z36" s="371">
        <f t="shared" si="43"/>
        <v>0</v>
      </c>
      <c r="AA36" s="366">
        <v>0</v>
      </c>
      <c r="AB36" s="371">
        <f t="shared" si="44"/>
        <v>0</v>
      </c>
      <c r="AC36" s="371">
        <f t="shared" si="45"/>
        <v>0</v>
      </c>
      <c r="AD36" s="371">
        <f t="shared" si="46"/>
        <v>0</v>
      </c>
      <c r="AE36" s="371">
        <f t="shared" si="47"/>
        <v>0</v>
      </c>
      <c r="AF36" s="813">
        <f t="shared" si="48"/>
        <v>0</v>
      </c>
    </row>
    <row r="37" spans="1:33">
      <c r="A37" s="809">
        <f t="shared" si="27"/>
        <v>27</v>
      </c>
      <c r="B37" s="797" t="s">
        <v>728</v>
      </c>
      <c r="C37" s="800" t="s">
        <v>302</v>
      </c>
      <c r="D37" s="819" t="s">
        <v>704</v>
      </c>
      <c r="E37" s="811">
        <f>1/365</f>
        <v>2.7397260273972603E-3</v>
      </c>
      <c r="F37" s="814">
        <f>'6b-ADIT Projection Proration'!G37</f>
        <v>0</v>
      </c>
      <c r="G37" s="815">
        <f t="shared" si="28"/>
        <v>0</v>
      </c>
      <c r="H37" s="815">
        <f t="shared" si="29"/>
        <v>0</v>
      </c>
      <c r="I37" s="816">
        <v>0</v>
      </c>
      <c r="J37" s="815">
        <f t="shared" si="30"/>
        <v>0</v>
      </c>
      <c r="K37" s="815">
        <f t="shared" si="31"/>
        <v>0</v>
      </c>
      <c r="L37" s="815">
        <f t="shared" si="32"/>
        <v>0</v>
      </c>
      <c r="M37" s="815">
        <f t="shared" si="33"/>
        <v>0</v>
      </c>
      <c r="N37" s="817">
        <f t="shared" si="34"/>
        <v>0</v>
      </c>
      <c r="O37" s="814">
        <f>'6b-ADIT Projection Proration'!I37</f>
        <v>0</v>
      </c>
      <c r="P37" s="815">
        <f t="shared" si="35"/>
        <v>0</v>
      </c>
      <c r="Q37" s="815">
        <f t="shared" si="36"/>
        <v>0</v>
      </c>
      <c r="R37" s="816">
        <v>0</v>
      </c>
      <c r="S37" s="815">
        <f t="shared" si="37"/>
        <v>0</v>
      </c>
      <c r="T37" s="815">
        <f t="shared" si="38"/>
        <v>0</v>
      </c>
      <c r="U37" s="815">
        <f t="shared" si="39"/>
        <v>0</v>
      </c>
      <c r="V37" s="815">
        <f t="shared" si="40"/>
        <v>0</v>
      </c>
      <c r="W37" s="817">
        <f t="shared" si="41"/>
        <v>0</v>
      </c>
      <c r="X37" s="814">
        <f>'6b-ADIT Projection Proration'!K37</f>
        <v>0</v>
      </c>
      <c r="Y37" s="815">
        <f t="shared" si="42"/>
        <v>0</v>
      </c>
      <c r="Z37" s="815">
        <f t="shared" si="43"/>
        <v>0</v>
      </c>
      <c r="AA37" s="816">
        <v>0</v>
      </c>
      <c r="AB37" s="815">
        <f t="shared" si="44"/>
        <v>0</v>
      </c>
      <c r="AC37" s="815">
        <f t="shared" si="45"/>
        <v>0</v>
      </c>
      <c r="AD37" s="815">
        <f t="shared" si="46"/>
        <v>0</v>
      </c>
      <c r="AE37" s="815">
        <f t="shared" si="47"/>
        <v>0</v>
      </c>
      <c r="AF37" s="817">
        <f t="shared" si="48"/>
        <v>0</v>
      </c>
    </row>
    <row r="38" spans="1:33">
      <c r="A38" s="809">
        <f t="shared" si="27"/>
        <v>28</v>
      </c>
      <c r="B38" s="797" t="s">
        <v>732</v>
      </c>
      <c r="F38" s="812">
        <f t="shared" ref="F38:M38" si="49">SUM(F25:F37)</f>
        <v>0</v>
      </c>
      <c r="G38" s="820">
        <f t="shared" si="49"/>
        <v>0</v>
      </c>
      <c r="H38" s="371"/>
      <c r="I38" s="371">
        <f t="shared" si="49"/>
        <v>0</v>
      </c>
      <c r="J38" s="371">
        <f t="shared" si="49"/>
        <v>0</v>
      </c>
      <c r="K38" s="371">
        <f t="shared" si="49"/>
        <v>0</v>
      </c>
      <c r="L38" s="371">
        <f t="shared" si="49"/>
        <v>0</v>
      </c>
      <c r="M38" s="371">
        <f t="shared" si="49"/>
        <v>0</v>
      </c>
      <c r="N38" s="813">
        <f>N37</f>
        <v>0</v>
      </c>
      <c r="O38" s="812">
        <f t="shared" ref="O38:P38" si="50">SUM(O25:O37)</f>
        <v>0</v>
      </c>
      <c r="P38" s="820">
        <f t="shared" si="50"/>
        <v>0</v>
      </c>
      <c r="Q38" s="371"/>
      <c r="R38" s="371">
        <f t="shared" ref="R38:V38" si="51">SUM(R25:R37)</f>
        <v>0</v>
      </c>
      <c r="S38" s="371">
        <f t="shared" si="51"/>
        <v>0</v>
      </c>
      <c r="T38" s="371">
        <f t="shared" si="51"/>
        <v>0</v>
      </c>
      <c r="U38" s="371">
        <f t="shared" si="51"/>
        <v>0</v>
      </c>
      <c r="V38" s="371">
        <f t="shared" si="51"/>
        <v>0</v>
      </c>
      <c r="W38" s="813">
        <f>W37</f>
        <v>0</v>
      </c>
      <c r="X38" s="812">
        <f t="shared" ref="X38:Y38" si="52">SUM(X25:X37)</f>
        <v>0</v>
      </c>
      <c r="Y38" s="820">
        <f t="shared" si="52"/>
        <v>0</v>
      </c>
      <c r="Z38" s="371"/>
      <c r="AA38" s="371">
        <f t="shared" ref="AA38:AE38" si="53">SUM(AA25:AA37)</f>
        <v>0</v>
      </c>
      <c r="AB38" s="371">
        <f t="shared" si="53"/>
        <v>0</v>
      </c>
      <c r="AC38" s="371">
        <f t="shared" si="53"/>
        <v>0</v>
      </c>
      <c r="AD38" s="371">
        <f t="shared" si="53"/>
        <v>0</v>
      </c>
      <c r="AE38" s="371">
        <f t="shared" si="53"/>
        <v>0</v>
      </c>
      <c r="AF38" s="813">
        <f>AF37</f>
        <v>0</v>
      </c>
    </row>
    <row r="39" spans="1:33">
      <c r="A39" s="809"/>
      <c r="F39" s="812"/>
      <c r="G39" s="371"/>
      <c r="H39" s="371"/>
      <c r="I39" s="371"/>
      <c r="J39" s="371"/>
      <c r="K39" s="371"/>
      <c r="L39" s="371"/>
      <c r="M39" s="371"/>
      <c r="N39" s="813"/>
      <c r="O39" s="812"/>
      <c r="P39" s="371"/>
      <c r="Q39" s="371"/>
      <c r="R39" s="371"/>
      <c r="S39" s="371"/>
      <c r="T39" s="371"/>
      <c r="U39" s="371"/>
      <c r="V39" s="371"/>
      <c r="W39" s="813"/>
      <c r="X39" s="812"/>
      <c r="Y39" s="371"/>
      <c r="Z39" s="371"/>
      <c r="AA39" s="371"/>
      <c r="AB39" s="371"/>
      <c r="AC39" s="371"/>
      <c r="AD39" s="371"/>
      <c r="AE39" s="371"/>
      <c r="AF39" s="813"/>
    </row>
    <row r="40" spans="1:33">
      <c r="A40" s="800" t="s">
        <v>797</v>
      </c>
      <c r="D40" s="798"/>
      <c r="E40" s="798"/>
      <c r="F40" s="812"/>
      <c r="G40" s="371"/>
      <c r="H40" s="371"/>
      <c r="I40" s="371"/>
      <c r="J40" s="371"/>
      <c r="K40" s="371"/>
      <c r="L40" s="371"/>
      <c r="M40" s="371"/>
      <c r="N40" s="813"/>
      <c r="O40" s="812"/>
      <c r="P40" s="371"/>
      <c r="Q40" s="371"/>
      <c r="R40" s="371"/>
      <c r="S40" s="371"/>
      <c r="T40" s="371"/>
      <c r="U40" s="371"/>
      <c r="V40" s="371"/>
      <c r="W40" s="813"/>
      <c r="X40" s="812"/>
      <c r="Y40" s="371"/>
      <c r="Z40" s="371"/>
      <c r="AA40" s="371"/>
      <c r="AB40" s="371"/>
      <c r="AC40" s="371"/>
      <c r="AD40" s="371"/>
      <c r="AE40" s="371"/>
      <c r="AF40" s="813"/>
      <c r="AG40" s="798"/>
    </row>
    <row r="41" spans="1:33">
      <c r="A41" s="809">
        <f>A38+1</f>
        <v>29</v>
      </c>
      <c r="B41" s="797" t="s">
        <v>798</v>
      </c>
      <c r="C41" s="800" t="s">
        <v>302</v>
      </c>
      <c r="D41" s="819" t="s">
        <v>704</v>
      </c>
      <c r="E41" s="811">
        <f>365/365</f>
        <v>1</v>
      </c>
      <c r="F41" s="812"/>
      <c r="G41" s="371"/>
      <c r="H41" s="371">
        <f>'6b-ADIT Projection Proration'!G41</f>
        <v>0</v>
      </c>
      <c r="I41" s="371"/>
      <c r="J41" s="371"/>
      <c r="K41" s="371"/>
      <c r="L41" s="371"/>
      <c r="M41" s="371"/>
      <c r="N41" s="813">
        <f>'6c- ADIT BOY'!E28</f>
        <v>0</v>
      </c>
      <c r="O41" s="812"/>
      <c r="P41" s="371"/>
      <c r="Q41" s="371">
        <f>'6b-ADIT Projection Proration'!I41</f>
        <v>0</v>
      </c>
      <c r="R41" s="371"/>
      <c r="S41" s="371"/>
      <c r="T41" s="371"/>
      <c r="U41" s="371"/>
      <c r="V41" s="371"/>
      <c r="W41" s="813">
        <f>'6c- ADIT BOY'!F28</f>
        <v>0</v>
      </c>
      <c r="X41" s="812"/>
      <c r="Y41" s="371"/>
      <c r="Z41" s="371">
        <f>'6b-ADIT Projection Proration'!K41</f>
        <v>0</v>
      </c>
      <c r="AA41" s="371"/>
      <c r="AB41" s="371"/>
      <c r="AC41" s="371"/>
      <c r="AD41" s="371"/>
      <c r="AE41" s="371"/>
      <c r="AF41" s="813">
        <f>'6c- ADIT BOY'!G28</f>
        <v>0</v>
      </c>
    </row>
    <row r="42" spans="1:33">
      <c r="A42" s="809">
        <f t="shared" ref="A42:A54" si="54">+A41+1</f>
        <v>30</v>
      </c>
      <c r="B42" s="797" t="s">
        <v>728</v>
      </c>
      <c r="C42" s="800" t="s">
        <v>304</v>
      </c>
      <c r="D42" s="819" t="s">
        <v>704</v>
      </c>
      <c r="E42" s="811">
        <f>335/365</f>
        <v>0.9178082191780822</v>
      </c>
      <c r="F42" s="812">
        <f>'6b-ADIT Projection Proration'!G42</f>
        <v>0</v>
      </c>
      <c r="G42" s="371">
        <f>$E42*F42</f>
        <v>0</v>
      </c>
      <c r="H42" s="371">
        <f t="shared" ref="H42:H53" si="55">+G42+H41</f>
        <v>0</v>
      </c>
      <c r="I42" s="366">
        <v>0</v>
      </c>
      <c r="J42" s="371">
        <f t="shared" ref="J42:J53" si="56">I42-F42</f>
        <v>0</v>
      </c>
      <c r="K42" s="371">
        <f t="shared" ref="K42:K53" si="57">IF(J42&gt;=0,+J42,0)</f>
        <v>0</v>
      </c>
      <c r="L42" s="371">
        <f t="shared" ref="L42:L53" si="58">IF(K42&gt;0,0,IF(I42&lt;0,0,(-(J42)*($E42))))</f>
        <v>0</v>
      </c>
      <c r="M42" s="371">
        <f t="shared" ref="M42:M53" si="59">IF(K42&gt;0,0,IF(I42&gt;0,0,(-(J42)*($E42))))</f>
        <v>0</v>
      </c>
      <c r="N42" s="813">
        <f t="shared" ref="N42:N53" si="60">IF(I42&lt;0,N41+M42,N41+$G42+K42-L42)</f>
        <v>0</v>
      </c>
      <c r="O42" s="812">
        <f>'6b-ADIT Projection Proration'!I42</f>
        <v>0</v>
      </c>
      <c r="P42" s="371">
        <f t="shared" ref="P42:P53" si="61">$E42*O42</f>
        <v>0</v>
      </c>
      <c r="Q42" s="371">
        <f t="shared" ref="Q42:Q53" si="62">+P42+Q41</f>
        <v>0</v>
      </c>
      <c r="R42" s="366">
        <v>0</v>
      </c>
      <c r="S42" s="371">
        <f t="shared" ref="S42:S53" si="63">R42-O42</f>
        <v>0</v>
      </c>
      <c r="T42" s="371">
        <f t="shared" ref="T42:T53" si="64">IF(S42&gt;=0,+S42,0)</f>
        <v>0</v>
      </c>
      <c r="U42" s="371">
        <f t="shared" ref="U42:U53" si="65">IF(T42&gt;0,0,IF(R42&lt;0,0,(-(S42)*($E42))))</f>
        <v>0</v>
      </c>
      <c r="V42" s="371">
        <f t="shared" ref="V42:V53" si="66">IF(T42&gt;0,0,IF(R42&gt;0,0,(-(S42)*($E42))))</f>
        <v>0</v>
      </c>
      <c r="W42" s="813">
        <f t="shared" ref="W42:W53" si="67">IF(R42&lt;0,W41+V42,W41+P42+T42-U42)</f>
        <v>0</v>
      </c>
      <c r="X42" s="812">
        <f>'6b-ADIT Projection Proration'!K42</f>
        <v>0</v>
      </c>
      <c r="Y42" s="371">
        <f t="shared" ref="Y42:Y53" si="68">$E42*X42</f>
        <v>0</v>
      </c>
      <c r="Z42" s="371">
        <f t="shared" ref="Z42:Z53" si="69">+Y42+Z41</f>
        <v>0</v>
      </c>
      <c r="AA42" s="366">
        <v>0</v>
      </c>
      <c r="AB42" s="371">
        <f t="shared" ref="AB42:AB53" si="70">AA42-X42</f>
        <v>0</v>
      </c>
      <c r="AC42" s="371">
        <f t="shared" ref="AC42:AC53" si="71">IF(AB42&gt;=0,+AB42,0)</f>
        <v>0</v>
      </c>
      <c r="AD42" s="371">
        <f t="shared" ref="AD42:AD53" si="72">IF(AC42&gt;0,0,IF(AA42&lt;0,0,(-(AB42)*($E42))))</f>
        <v>0</v>
      </c>
      <c r="AE42" s="371">
        <f t="shared" ref="AE42:AE53" si="73">IF(AC42&gt;0,0,IF(AA42&gt;0,0,(-(AB42)*($E42))))</f>
        <v>0</v>
      </c>
      <c r="AF42" s="813">
        <f t="shared" ref="AF42:AF53" si="74">IF(AA42&lt;0,AF41+AE42,AF41+Y42+AC42-AD42)</f>
        <v>0</v>
      </c>
    </row>
    <row r="43" spans="1:33">
      <c r="A43" s="809">
        <f t="shared" si="54"/>
        <v>31</v>
      </c>
      <c r="B43" s="797" t="s">
        <v>728</v>
      </c>
      <c r="C43" s="800" t="s">
        <v>306</v>
      </c>
      <c r="D43" s="819" t="s">
        <v>704</v>
      </c>
      <c r="E43" s="811">
        <f>307/365</f>
        <v>0.84109589041095889</v>
      </c>
      <c r="F43" s="812">
        <f>'6b-ADIT Projection Proration'!G43</f>
        <v>0</v>
      </c>
      <c r="G43" s="371">
        <f t="shared" ref="G43:G53" si="75">$E43*F43</f>
        <v>0</v>
      </c>
      <c r="H43" s="371">
        <f>+G43+H42</f>
        <v>0</v>
      </c>
      <c r="I43" s="366">
        <v>0</v>
      </c>
      <c r="J43" s="371">
        <f>I43-F43</f>
        <v>0</v>
      </c>
      <c r="K43" s="371">
        <f t="shared" si="57"/>
        <v>0</v>
      </c>
      <c r="L43" s="371">
        <f t="shared" si="58"/>
        <v>0</v>
      </c>
      <c r="M43" s="371">
        <f t="shared" si="59"/>
        <v>0</v>
      </c>
      <c r="N43" s="813">
        <f t="shared" si="60"/>
        <v>0</v>
      </c>
      <c r="O43" s="812">
        <f>'6b-ADIT Projection Proration'!I43</f>
        <v>0</v>
      </c>
      <c r="P43" s="371">
        <f t="shared" si="61"/>
        <v>0</v>
      </c>
      <c r="Q43" s="371">
        <f t="shared" si="62"/>
        <v>0</v>
      </c>
      <c r="R43" s="366">
        <v>0</v>
      </c>
      <c r="S43" s="371">
        <f t="shared" si="63"/>
        <v>0</v>
      </c>
      <c r="T43" s="371">
        <f t="shared" si="64"/>
        <v>0</v>
      </c>
      <c r="U43" s="371">
        <f t="shared" si="65"/>
        <v>0</v>
      </c>
      <c r="V43" s="371">
        <f t="shared" si="66"/>
        <v>0</v>
      </c>
      <c r="W43" s="813">
        <f t="shared" si="67"/>
        <v>0</v>
      </c>
      <c r="X43" s="812">
        <f>'6b-ADIT Projection Proration'!K43</f>
        <v>0</v>
      </c>
      <c r="Y43" s="371">
        <f t="shared" si="68"/>
        <v>0</v>
      </c>
      <c r="Z43" s="371">
        <f t="shared" si="69"/>
        <v>0</v>
      </c>
      <c r="AA43" s="366">
        <v>0</v>
      </c>
      <c r="AB43" s="371">
        <f t="shared" si="70"/>
        <v>0</v>
      </c>
      <c r="AC43" s="371">
        <f t="shared" si="71"/>
        <v>0</v>
      </c>
      <c r="AD43" s="371">
        <f t="shared" si="72"/>
        <v>0</v>
      </c>
      <c r="AE43" s="371">
        <f t="shared" si="73"/>
        <v>0</v>
      </c>
      <c r="AF43" s="813">
        <f t="shared" si="74"/>
        <v>0</v>
      </c>
    </row>
    <row r="44" spans="1:33">
      <c r="A44" s="809">
        <f t="shared" si="54"/>
        <v>32</v>
      </c>
      <c r="B44" s="797" t="s">
        <v>728</v>
      </c>
      <c r="C44" s="800" t="s">
        <v>307</v>
      </c>
      <c r="D44" s="819" t="s">
        <v>704</v>
      </c>
      <c r="E44" s="811">
        <f>276/365</f>
        <v>0.75616438356164384</v>
      </c>
      <c r="F44" s="812">
        <f>'6b-ADIT Projection Proration'!G44</f>
        <v>0</v>
      </c>
      <c r="G44" s="371">
        <f t="shared" si="75"/>
        <v>0</v>
      </c>
      <c r="H44" s="371">
        <f t="shared" si="55"/>
        <v>0</v>
      </c>
      <c r="I44" s="366">
        <v>0</v>
      </c>
      <c r="J44" s="371">
        <f t="shared" si="56"/>
        <v>0</v>
      </c>
      <c r="K44" s="371">
        <f t="shared" si="57"/>
        <v>0</v>
      </c>
      <c r="L44" s="371">
        <f t="shared" si="58"/>
        <v>0</v>
      </c>
      <c r="M44" s="371">
        <f t="shared" si="59"/>
        <v>0</v>
      </c>
      <c r="N44" s="813">
        <f t="shared" si="60"/>
        <v>0</v>
      </c>
      <c r="O44" s="812">
        <f>'6b-ADIT Projection Proration'!I44</f>
        <v>0</v>
      </c>
      <c r="P44" s="371">
        <f t="shared" si="61"/>
        <v>0</v>
      </c>
      <c r="Q44" s="371">
        <f t="shared" si="62"/>
        <v>0</v>
      </c>
      <c r="R44" s="366">
        <v>0</v>
      </c>
      <c r="S44" s="371">
        <f t="shared" si="63"/>
        <v>0</v>
      </c>
      <c r="T44" s="371">
        <f t="shared" si="64"/>
        <v>0</v>
      </c>
      <c r="U44" s="371">
        <f t="shared" si="65"/>
        <v>0</v>
      </c>
      <c r="V44" s="371">
        <f t="shared" si="66"/>
        <v>0</v>
      </c>
      <c r="W44" s="813">
        <f t="shared" si="67"/>
        <v>0</v>
      </c>
      <c r="X44" s="812">
        <f>'6b-ADIT Projection Proration'!K44</f>
        <v>0</v>
      </c>
      <c r="Y44" s="371">
        <f t="shared" si="68"/>
        <v>0</v>
      </c>
      <c r="Z44" s="371">
        <f t="shared" si="69"/>
        <v>0</v>
      </c>
      <c r="AA44" s="366">
        <v>0</v>
      </c>
      <c r="AB44" s="371">
        <f t="shared" si="70"/>
        <v>0</v>
      </c>
      <c r="AC44" s="371">
        <f t="shared" si="71"/>
        <v>0</v>
      </c>
      <c r="AD44" s="371">
        <f t="shared" si="72"/>
        <v>0</v>
      </c>
      <c r="AE44" s="371">
        <f t="shared" si="73"/>
        <v>0</v>
      </c>
      <c r="AF44" s="813">
        <f t="shared" si="74"/>
        <v>0</v>
      </c>
    </row>
    <row r="45" spans="1:33">
      <c r="A45" s="809">
        <f t="shared" si="54"/>
        <v>33</v>
      </c>
      <c r="B45" s="797" t="s">
        <v>728</v>
      </c>
      <c r="C45" s="800" t="s">
        <v>308</v>
      </c>
      <c r="D45" s="819" t="s">
        <v>704</v>
      </c>
      <c r="E45" s="811">
        <f>246/365</f>
        <v>0.67397260273972603</v>
      </c>
      <c r="F45" s="812">
        <f>'6b-ADIT Projection Proration'!G45</f>
        <v>0</v>
      </c>
      <c r="G45" s="371">
        <f t="shared" si="75"/>
        <v>0</v>
      </c>
      <c r="H45" s="371">
        <f t="shared" si="55"/>
        <v>0</v>
      </c>
      <c r="I45" s="366">
        <v>0</v>
      </c>
      <c r="J45" s="371">
        <f t="shared" si="56"/>
        <v>0</v>
      </c>
      <c r="K45" s="371">
        <f t="shared" si="57"/>
        <v>0</v>
      </c>
      <c r="L45" s="371">
        <f t="shared" si="58"/>
        <v>0</v>
      </c>
      <c r="M45" s="371">
        <f t="shared" si="59"/>
        <v>0</v>
      </c>
      <c r="N45" s="813">
        <f t="shared" si="60"/>
        <v>0</v>
      </c>
      <c r="O45" s="812">
        <f>'6b-ADIT Projection Proration'!I45</f>
        <v>0</v>
      </c>
      <c r="P45" s="371">
        <f t="shared" si="61"/>
        <v>0</v>
      </c>
      <c r="Q45" s="371">
        <f t="shared" si="62"/>
        <v>0</v>
      </c>
      <c r="R45" s="366">
        <v>0</v>
      </c>
      <c r="S45" s="371">
        <f t="shared" si="63"/>
        <v>0</v>
      </c>
      <c r="T45" s="371">
        <f t="shared" si="64"/>
        <v>0</v>
      </c>
      <c r="U45" s="371">
        <f t="shared" si="65"/>
        <v>0</v>
      </c>
      <c r="V45" s="371">
        <f t="shared" si="66"/>
        <v>0</v>
      </c>
      <c r="W45" s="813">
        <f t="shared" si="67"/>
        <v>0</v>
      </c>
      <c r="X45" s="812">
        <f>'6b-ADIT Projection Proration'!K45</f>
        <v>0</v>
      </c>
      <c r="Y45" s="371">
        <f t="shared" si="68"/>
        <v>0</v>
      </c>
      <c r="Z45" s="371">
        <f t="shared" si="69"/>
        <v>0</v>
      </c>
      <c r="AA45" s="366">
        <v>0</v>
      </c>
      <c r="AB45" s="371">
        <f t="shared" si="70"/>
        <v>0</v>
      </c>
      <c r="AC45" s="371">
        <f t="shared" si="71"/>
        <v>0</v>
      </c>
      <c r="AD45" s="371">
        <f t="shared" si="72"/>
        <v>0</v>
      </c>
      <c r="AE45" s="371">
        <f t="shared" si="73"/>
        <v>0</v>
      </c>
      <c r="AF45" s="813">
        <f t="shared" si="74"/>
        <v>0</v>
      </c>
    </row>
    <row r="46" spans="1:33">
      <c r="A46" s="809">
        <f t="shared" si="54"/>
        <v>34</v>
      </c>
      <c r="B46" s="797" t="s">
        <v>728</v>
      </c>
      <c r="C46" s="800" t="s">
        <v>309</v>
      </c>
      <c r="D46" s="819" t="s">
        <v>704</v>
      </c>
      <c r="E46" s="811">
        <f>215/365</f>
        <v>0.58904109589041098</v>
      </c>
      <c r="F46" s="812">
        <f>'6b-ADIT Projection Proration'!G46</f>
        <v>0</v>
      </c>
      <c r="G46" s="371">
        <f t="shared" si="75"/>
        <v>0</v>
      </c>
      <c r="H46" s="371">
        <f t="shared" si="55"/>
        <v>0</v>
      </c>
      <c r="I46" s="366">
        <v>0</v>
      </c>
      <c r="J46" s="371">
        <f t="shared" si="56"/>
        <v>0</v>
      </c>
      <c r="K46" s="371">
        <f t="shared" si="57"/>
        <v>0</v>
      </c>
      <c r="L46" s="371">
        <f t="shared" si="58"/>
        <v>0</v>
      </c>
      <c r="M46" s="371">
        <f t="shared" si="59"/>
        <v>0</v>
      </c>
      <c r="N46" s="813">
        <f t="shared" si="60"/>
        <v>0</v>
      </c>
      <c r="O46" s="812">
        <f>'6b-ADIT Projection Proration'!I46</f>
        <v>0</v>
      </c>
      <c r="P46" s="371">
        <f t="shared" si="61"/>
        <v>0</v>
      </c>
      <c r="Q46" s="371">
        <f t="shared" si="62"/>
        <v>0</v>
      </c>
      <c r="R46" s="366">
        <v>0</v>
      </c>
      <c r="S46" s="371">
        <f t="shared" si="63"/>
        <v>0</v>
      </c>
      <c r="T46" s="371">
        <f t="shared" si="64"/>
        <v>0</v>
      </c>
      <c r="U46" s="371">
        <f t="shared" si="65"/>
        <v>0</v>
      </c>
      <c r="V46" s="371">
        <f t="shared" si="66"/>
        <v>0</v>
      </c>
      <c r="W46" s="813">
        <f t="shared" si="67"/>
        <v>0</v>
      </c>
      <c r="X46" s="812">
        <f>'6b-ADIT Projection Proration'!K46</f>
        <v>0</v>
      </c>
      <c r="Y46" s="371">
        <f t="shared" si="68"/>
        <v>0</v>
      </c>
      <c r="Z46" s="371">
        <f t="shared" si="69"/>
        <v>0</v>
      </c>
      <c r="AA46" s="366">
        <v>0</v>
      </c>
      <c r="AB46" s="371">
        <f t="shared" si="70"/>
        <v>0</v>
      </c>
      <c r="AC46" s="371">
        <f t="shared" si="71"/>
        <v>0</v>
      </c>
      <c r="AD46" s="371">
        <f t="shared" si="72"/>
        <v>0</v>
      </c>
      <c r="AE46" s="371">
        <f t="shared" si="73"/>
        <v>0</v>
      </c>
      <c r="AF46" s="813">
        <f t="shared" si="74"/>
        <v>0</v>
      </c>
    </row>
    <row r="47" spans="1:33">
      <c r="A47" s="809">
        <f t="shared" si="54"/>
        <v>35</v>
      </c>
      <c r="B47" s="797" t="s">
        <v>728</v>
      </c>
      <c r="C47" s="800" t="s">
        <v>471</v>
      </c>
      <c r="D47" s="819" t="s">
        <v>704</v>
      </c>
      <c r="E47" s="811">
        <f>185/365</f>
        <v>0.50684931506849318</v>
      </c>
      <c r="F47" s="812">
        <f>'6b-ADIT Projection Proration'!G47</f>
        <v>0</v>
      </c>
      <c r="G47" s="371">
        <f t="shared" si="75"/>
        <v>0</v>
      </c>
      <c r="H47" s="371">
        <f t="shared" si="55"/>
        <v>0</v>
      </c>
      <c r="I47" s="366">
        <v>0</v>
      </c>
      <c r="J47" s="371">
        <f t="shared" si="56"/>
        <v>0</v>
      </c>
      <c r="K47" s="371">
        <f t="shared" si="57"/>
        <v>0</v>
      </c>
      <c r="L47" s="371">
        <f t="shared" si="58"/>
        <v>0</v>
      </c>
      <c r="M47" s="371">
        <f t="shared" si="59"/>
        <v>0</v>
      </c>
      <c r="N47" s="813">
        <f t="shared" si="60"/>
        <v>0</v>
      </c>
      <c r="O47" s="812">
        <f>'6b-ADIT Projection Proration'!I47</f>
        <v>0</v>
      </c>
      <c r="P47" s="371">
        <f t="shared" si="61"/>
        <v>0</v>
      </c>
      <c r="Q47" s="371">
        <f t="shared" si="62"/>
        <v>0</v>
      </c>
      <c r="R47" s="366">
        <v>0</v>
      </c>
      <c r="S47" s="371">
        <f t="shared" si="63"/>
        <v>0</v>
      </c>
      <c r="T47" s="371">
        <f t="shared" si="64"/>
        <v>0</v>
      </c>
      <c r="U47" s="371">
        <f t="shared" si="65"/>
        <v>0</v>
      </c>
      <c r="V47" s="371">
        <f t="shared" si="66"/>
        <v>0</v>
      </c>
      <c r="W47" s="813">
        <f t="shared" si="67"/>
        <v>0</v>
      </c>
      <c r="X47" s="812">
        <f>'6b-ADIT Projection Proration'!K47</f>
        <v>0</v>
      </c>
      <c r="Y47" s="371">
        <f t="shared" si="68"/>
        <v>0</v>
      </c>
      <c r="Z47" s="371">
        <f t="shared" si="69"/>
        <v>0</v>
      </c>
      <c r="AA47" s="366">
        <v>0</v>
      </c>
      <c r="AB47" s="371">
        <f t="shared" si="70"/>
        <v>0</v>
      </c>
      <c r="AC47" s="371">
        <f t="shared" si="71"/>
        <v>0</v>
      </c>
      <c r="AD47" s="371">
        <f t="shared" si="72"/>
        <v>0</v>
      </c>
      <c r="AE47" s="371">
        <f t="shared" si="73"/>
        <v>0</v>
      </c>
      <c r="AF47" s="813">
        <f t="shared" si="74"/>
        <v>0</v>
      </c>
    </row>
    <row r="48" spans="1:33">
      <c r="A48" s="809">
        <f t="shared" si="54"/>
        <v>36</v>
      </c>
      <c r="B48" s="797" t="s">
        <v>728</v>
      </c>
      <c r="C48" s="800" t="s">
        <v>311</v>
      </c>
      <c r="D48" s="819" t="s">
        <v>704</v>
      </c>
      <c r="E48" s="811">
        <f>154/365</f>
        <v>0.42191780821917807</v>
      </c>
      <c r="F48" s="812">
        <f>'6b-ADIT Projection Proration'!G48</f>
        <v>0</v>
      </c>
      <c r="G48" s="371">
        <f t="shared" si="75"/>
        <v>0</v>
      </c>
      <c r="H48" s="371">
        <f t="shared" si="55"/>
        <v>0</v>
      </c>
      <c r="I48" s="366">
        <v>0</v>
      </c>
      <c r="J48" s="371">
        <f t="shared" si="56"/>
        <v>0</v>
      </c>
      <c r="K48" s="371">
        <f t="shared" si="57"/>
        <v>0</v>
      </c>
      <c r="L48" s="371">
        <f t="shared" si="58"/>
        <v>0</v>
      </c>
      <c r="M48" s="371">
        <f t="shared" si="59"/>
        <v>0</v>
      </c>
      <c r="N48" s="813">
        <f t="shared" si="60"/>
        <v>0</v>
      </c>
      <c r="O48" s="812">
        <f>'6b-ADIT Projection Proration'!I48</f>
        <v>0</v>
      </c>
      <c r="P48" s="371">
        <f t="shared" si="61"/>
        <v>0</v>
      </c>
      <c r="Q48" s="371">
        <f t="shared" si="62"/>
        <v>0</v>
      </c>
      <c r="R48" s="366">
        <v>0</v>
      </c>
      <c r="S48" s="371">
        <f t="shared" si="63"/>
        <v>0</v>
      </c>
      <c r="T48" s="371">
        <f t="shared" si="64"/>
        <v>0</v>
      </c>
      <c r="U48" s="371">
        <f t="shared" si="65"/>
        <v>0</v>
      </c>
      <c r="V48" s="371">
        <f t="shared" si="66"/>
        <v>0</v>
      </c>
      <c r="W48" s="813">
        <f t="shared" si="67"/>
        <v>0</v>
      </c>
      <c r="X48" s="812">
        <f>'6b-ADIT Projection Proration'!K48</f>
        <v>0</v>
      </c>
      <c r="Y48" s="371">
        <f t="shared" si="68"/>
        <v>0</v>
      </c>
      <c r="Z48" s="371">
        <f t="shared" si="69"/>
        <v>0</v>
      </c>
      <c r="AA48" s="366">
        <v>0</v>
      </c>
      <c r="AB48" s="371">
        <f t="shared" si="70"/>
        <v>0</v>
      </c>
      <c r="AC48" s="371">
        <f t="shared" si="71"/>
        <v>0</v>
      </c>
      <c r="AD48" s="371">
        <f t="shared" si="72"/>
        <v>0</v>
      </c>
      <c r="AE48" s="371">
        <f t="shared" si="73"/>
        <v>0</v>
      </c>
      <c r="AF48" s="813">
        <f t="shared" si="74"/>
        <v>0</v>
      </c>
    </row>
    <row r="49" spans="1:32">
      <c r="A49" s="809">
        <f t="shared" si="54"/>
        <v>37</v>
      </c>
      <c r="B49" s="797" t="s">
        <v>728</v>
      </c>
      <c r="C49" s="800" t="s">
        <v>312</v>
      </c>
      <c r="D49" s="819" t="s">
        <v>704</v>
      </c>
      <c r="E49" s="811">
        <f>123/365</f>
        <v>0.33698630136986302</v>
      </c>
      <c r="F49" s="812">
        <f>'6b-ADIT Projection Proration'!G49</f>
        <v>0</v>
      </c>
      <c r="G49" s="371">
        <f t="shared" si="75"/>
        <v>0</v>
      </c>
      <c r="H49" s="371">
        <f t="shared" si="55"/>
        <v>0</v>
      </c>
      <c r="I49" s="366">
        <v>0</v>
      </c>
      <c r="J49" s="371">
        <f t="shared" si="56"/>
        <v>0</v>
      </c>
      <c r="K49" s="371">
        <f t="shared" si="57"/>
        <v>0</v>
      </c>
      <c r="L49" s="371">
        <f t="shared" si="58"/>
        <v>0</v>
      </c>
      <c r="M49" s="371">
        <f t="shared" si="59"/>
        <v>0</v>
      </c>
      <c r="N49" s="813">
        <f t="shared" si="60"/>
        <v>0</v>
      </c>
      <c r="O49" s="812">
        <f>'6b-ADIT Projection Proration'!I49</f>
        <v>0</v>
      </c>
      <c r="P49" s="371">
        <f t="shared" si="61"/>
        <v>0</v>
      </c>
      <c r="Q49" s="371">
        <f t="shared" si="62"/>
        <v>0</v>
      </c>
      <c r="R49" s="366">
        <v>0</v>
      </c>
      <c r="S49" s="371">
        <f t="shared" si="63"/>
        <v>0</v>
      </c>
      <c r="T49" s="371">
        <f t="shared" si="64"/>
        <v>0</v>
      </c>
      <c r="U49" s="371">
        <f t="shared" si="65"/>
        <v>0</v>
      </c>
      <c r="V49" s="371">
        <f t="shared" si="66"/>
        <v>0</v>
      </c>
      <c r="W49" s="813">
        <f t="shared" si="67"/>
        <v>0</v>
      </c>
      <c r="X49" s="812">
        <f>'6b-ADIT Projection Proration'!K49</f>
        <v>0</v>
      </c>
      <c r="Y49" s="371">
        <f t="shared" si="68"/>
        <v>0</v>
      </c>
      <c r="Z49" s="371">
        <f t="shared" si="69"/>
        <v>0</v>
      </c>
      <c r="AA49" s="366">
        <v>0</v>
      </c>
      <c r="AB49" s="371">
        <f t="shared" si="70"/>
        <v>0</v>
      </c>
      <c r="AC49" s="371">
        <f t="shared" si="71"/>
        <v>0</v>
      </c>
      <c r="AD49" s="371">
        <f t="shared" si="72"/>
        <v>0</v>
      </c>
      <c r="AE49" s="371">
        <f t="shared" si="73"/>
        <v>0</v>
      </c>
      <c r="AF49" s="813">
        <f t="shared" si="74"/>
        <v>0</v>
      </c>
    </row>
    <row r="50" spans="1:32">
      <c r="A50" s="809">
        <f t="shared" si="54"/>
        <v>38</v>
      </c>
      <c r="B50" s="797" t="s">
        <v>728</v>
      </c>
      <c r="C50" s="800" t="s">
        <v>313</v>
      </c>
      <c r="D50" s="819" t="s">
        <v>704</v>
      </c>
      <c r="E50" s="811">
        <f>93/365</f>
        <v>0.25479452054794521</v>
      </c>
      <c r="F50" s="812">
        <f>'6b-ADIT Projection Proration'!G50</f>
        <v>0</v>
      </c>
      <c r="G50" s="371">
        <f t="shared" si="75"/>
        <v>0</v>
      </c>
      <c r="H50" s="371">
        <f t="shared" si="55"/>
        <v>0</v>
      </c>
      <c r="I50" s="366">
        <v>0</v>
      </c>
      <c r="J50" s="371">
        <f t="shared" si="56"/>
        <v>0</v>
      </c>
      <c r="K50" s="371">
        <f t="shared" si="57"/>
        <v>0</v>
      </c>
      <c r="L50" s="371">
        <f t="shared" si="58"/>
        <v>0</v>
      </c>
      <c r="M50" s="371">
        <f t="shared" si="59"/>
        <v>0</v>
      </c>
      <c r="N50" s="813">
        <f t="shared" si="60"/>
        <v>0</v>
      </c>
      <c r="O50" s="812">
        <f>'6b-ADIT Projection Proration'!I50</f>
        <v>0</v>
      </c>
      <c r="P50" s="371">
        <f t="shared" si="61"/>
        <v>0</v>
      </c>
      <c r="Q50" s="371">
        <f t="shared" si="62"/>
        <v>0</v>
      </c>
      <c r="R50" s="366">
        <v>0</v>
      </c>
      <c r="S50" s="371">
        <f t="shared" si="63"/>
        <v>0</v>
      </c>
      <c r="T50" s="371">
        <f t="shared" si="64"/>
        <v>0</v>
      </c>
      <c r="U50" s="371">
        <f t="shared" si="65"/>
        <v>0</v>
      </c>
      <c r="V50" s="371">
        <f t="shared" si="66"/>
        <v>0</v>
      </c>
      <c r="W50" s="813">
        <f t="shared" si="67"/>
        <v>0</v>
      </c>
      <c r="X50" s="812">
        <f>'6b-ADIT Projection Proration'!K50</f>
        <v>0</v>
      </c>
      <c r="Y50" s="371">
        <f t="shared" si="68"/>
        <v>0</v>
      </c>
      <c r="Z50" s="371">
        <f t="shared" si="69"/>
        <v>0</v>
      </c>
      <c r="AA50" s="366">
        <v>0</v>
      </c>
      <c r="AB50" s="371">
        <f t="shared" si="70"/>
        <v>0</v>
      </c>
      <c r="AC50" s="371">
        <f t="shared" si="71"/>
        <v>0</v>
      </c>
      <c r="AD50" s="371">
        <f t="shared" si="72"/>
        <v>0</v>
      </c>
      <c r="AE50" s="371">
        <f t="shared" si="73"/>
        <v>0</v>
      </c>
      <c r="AF50" s="813">
        <f t="shared" si="74"/>
        <v>0</v>
      </c>
    </row>
    <row r="51" spans="1:32">
      <c r="A51" s="809">
        <f t="shared" si="54"/>
        <v>39</v>
      </c>
      <c r="B51" s="797" t="s">
        <v>728</v>
      </c>
      <c r="C51" s="800" t="s">
        <v>320</v>
      </c>
      <c r="D51" s="819" t="s">
        <v>704</v>
      </c>
      <c r="E51" s="811">
        <f>62/365</f>
        <v>0.16986301369863013</v>
      </c>
      <c r="F51" s="812">
        <f>'6b-ADIT Projection Proration'!G51</f>
        <v>0</v>
      </c>
      <c r="G51" s="371">
        <f t="shared" si="75"/>
        <v>0</v>
      </c>
      <c r="H51" s="371">
        <f t="shared" si="55"/>
        <v>0</v>
      </c>
      <c r="I51" s="366">
        <v>0</v>
      </c>
      <c r="J51" s="371">
        <f t="shared" si="56"/>
        <v>0</v>
      </c>
      <c r="K51" s="371">
        <f t="shared" si="57"/>
        <v>0</v>
      </c>
      <c r="L51" s="371">
        <f t="shared" si="58"/>
        <v>0</v>
      </c>
      <c r="M51" s="371">
        <f t="shared" si="59"/>
        <v>0</v>
      </c>
      <c r="N51" s="813">
        <f t="shared" si="60"/>
        <v>0</v>
      </c>
      <c r="O51" s="812">
        <f>'6b-ADIT Projection Proration'!I51</f>
        <v>0</v>
      </c>
      <c r="P51" s="371">
        <f t="shared" si="61"/>
        <v>0</v>
      </c>
      <c r="Q51" s="371">
        <f t="shared" si="62"/>
        <v>0</v>
      </c>
      <c r="R51" s="366">
        <v>0</v>
      </c>
      <c r="S51" s="371">
        <f t="shared" si="63"/>
        <v>0</v>
      </c>
      <c r="T51" s="371">
        <f t="shared" si="64"/>
        <v>0</v>
      </c>
      <c r="U51" s="371">
        <f t="shared" si="65"/>
        <v>0</v>
      </c>
      <c r="V51" s="371">
        <f t="shared" si="66"/>
        <v>0</v>
      </c>
      <c r="W51" s="813">
        <f t="shared" si="67"/>
        <v>0</v>
      </c>
      <c r="X51" s="812">
        <f>'6b-ADIT Projection Proration'!K51</f>
        <v>0</v>
      </c>
      <c r="Y51" s="371">
        <f t="shared" si="68"/>
        <v>0</v>
      </c>
      <c r="Z51" s="371">
        <f t="shared" si="69"/>
        <v>0</v>
      </c>
      <c r="AA51" s="366">
        <v>0</v>
      </c>
      <c r="AB51" s="371">
        <f t="shared" si="70"/>
        <v>0</v>
      </c>
      <c r="AC51" s="371">
        <f t="shared" si="71"/>
        <v>0</v>
      </c>
      <c r="AD51" s="371">
        <f t="shared" si="72"/>
        <v>0</v>
      </c>
      <c r="AE51" s="371">
        <f t="shared" si="73"/>
        <v>0</v>
      </c>
      <c r="AF51" s="813">
        <f t="shared" si="74"/>
        <v>0</v>
      </c>
    </row>
    <row r="52" spans="1:32">
      <c r="A52" s="809">
        <f t="shared" si="54"/>
        <v>40</v>
      </c>
      <c r="B52" s="797" t="s">
        <v>728</v>
      </c>
      <c r="C52" s="800" t="s">
        <v>315</v>
      </c>
      <c r="D52" s="819" t="s">
        <v>704</v>
      </c>
      <c r="E52" s="811">
        <f>32/365</f>
        <v>8.7671232876712329E-2</v>
      </c>
      <c r="F52" s="812">
        <f>'6b-ADIT Projection Proration'!G52</f>
        <v>0</v>
      </c>
      <c r="G52" s="371">
        <f t="shared" si="75"/>
        <v>0</v>
      </c>
      <c r="H52" s="371">
        <f t="shared" si="55"/>
        <v>0</v>
      </c>
      <c r="I52" s="366">
        <v>0</v>
      </c>
      <c r="J52" s="371">
        <f t="shared" si="56"/>
        <v>0</v>
      </c>
      <c r="K52" s="371">
        <f t="shared" si="57"/>
        <v>0</v>
      </c>
      <c r="L52" s="371">
        <f t="shared" si="58"/>
        <v>0</v>
      </c>
      <c r="M52" s="371">
        <f t="shared" si="59"/>
        <v>0</v>
      </c>
      <c r="N52" s="813">
        <f t="shared" si="60"/>
        <v>0</v>
      </c>
      <c r="O52" s="812">
        <f>'6b-ADIT Projection Proration'!I52</f>
        <v>0</v>
      </c>
      <c r="P52" s="371">
        <f t="shared" si="61"/>
        <v>0</v>
      </c>
      <c r="Q52" s="371">
        <f t="shared" si="62"/>
        <v>0</v>
      </c>
      <c r="R52" s="366">
        <v>0</v>
      </c>
      <c r="S52" s="371">
        <f t="shared" si="63"/>
        <v>0</v>
      </c>
      <c r="T52" s="371">
        <f t="shared" si="64"/>
        <v>0</v>
      </c>
      <c r="U52" s="371">
        <f t="shared" si="65"/>
        <v>0</v>
      </c>
      <c r="V52" s="371">
        <f t="shared" si="66"/>
        <v>0</v>
      </c>
      <c r="W52" s="813">
        <f t="shared" si="67"/>
        <v>0</v>
      </c>
      <c r="X52" s="812">
        <f>'6b-ADIT Projection Proration'!K52</f>
        <v>0</v>
      </c>
      <c r="Y52" s="371">
        <f t="shared" si="68"/>
        <v>0</v>
      </c>
      <c r="Z52" s="371">
        <f t="shared" si="69"/>
        <v>0</v>
      </c>
      <c r="AA52" s="366">
        <v>0</v>
      </c>
      <c r="AB52" s="371">
        <f t="shared" si="70"/>
        <v>0</v>
      </c>
      <c r="AC52" s="371">
        <f t="shared" si="71"/>
        <v>0</v>
      </c>
      <c r="AD52" s="371">
        <f t="shared" si="72"/>
        <v>0</v>
      </c>
      <c r="AE52" s="371">
        <f t="shared" si="73"/>
        <v>0</v>
      </c>
      <c r="AF52" s="813">
        <f t="shared" si="74"/>
        <v>0</v>
      </c>
    </row>
    <row r="53" spans="1:32">
      <c r="A53" s="809">
        <f t="shared" si="54"/>
        <v>41</v>
      </c>
      <c r="B53" s="797" t="s">
        <v>728</v>
      </c>
      <c r="C53" s="800" t="s">
        <v>302</v>
      </c>
      <c r="D53" s="819" t="s">
        <v>704</v>
      </c>
      <c r="E53" s="811">
        <f>1/365</f>
        <v>2.7397260273972603E-3</v>
      </c>
      <c r="F53" s="814">
        <f>'6b-ADIT Projection Proration'!G53</f>
        <v>0</v>
      </c>
      <c r="G53" s="815">
        <f t="shared" si="75"/>
        <v>0</v>
      </c>
      <c r="H53" s="815">
        <f t="shared" si="55"/>
        <v>0</v>
      </c>
      <c r="I53" s="816">
        <v>0</v>
      </c>
      <c r="J53" s="815">
        <f t="shared" si="56"/>
        <v>0</v>
      </c>
      <c r="K53" s="815">
        <f t="shared" si="57"/>
        <v>0</v>
      </c>
      <c r="L53" s="815">
        <f t="shared" si="58"/>
        <v>0</v>
      </c>
      <c r="M53" s="815">
        <f t="shared" si="59"/>
        <v>0</v>
      </c>
      <c r="N53" s="817">
        <f t="shared" si="60"/>
        <v>0</v>
      </c>
      <c r="O53" s="814">
        <f>'6b-ADIT Projection Proration'!I53</f>
        <v>0</v>
      </c>
      <c r="P53" s="815">
        <f t="shared" si="61"/>
        <v>0</v>
      </c>
      <c r="Q53" s="815">
        <f t="shared" si="62"/>
        <v>0</v>
      </c>
      <c r="R53" s="816">
        <v>0</v>
      </c>
      <c r="S53" s="815">
        <f t="shared" si="63"/>
        <v>0</v>
      </c>
      <c r="T53" s="815">
        <f t="shared" si="64"/>
        <v>0</v>
      </c>
      <c r="U53" s="815">
        <f t="shared" si="65"/>
        <v>0</v>
      </c>
      <c r="V53" s="815">
        <f t="shared" si="66"/>
        <v>0</v>
      </c>
      <c r="W53" s="817">
        <f t="shared" si="67"/>
        <v>0</v>
      </c>
      <c r="X53" s="814">
        <f>'6b-ADIT Projection Proration'!K53</f>
        <v>0</v>
      </c>
      <c r="Y53" s="815">
        <f t="shared" si="68"/>
        <v>0</v>
      </c>
      <c r="Z53" s="815">
        <f t="shared" si="69"/>
        <v>0</v>
      </c>
      <c r="AA53" s="816">
        <v>0</v>
      </c>
      <c r="AB53" s="815">
        <f t="shared" si="70"/>
        <v>0</v>
      </c>
      <c r="AC53" s="815">
        <f t="shared" si="71"/>
        <v>0</v>
      </c>
      <c r="AD53" s="815">
        <f t="shared" si="72"/>
        <v>0</v>
      </c>
      <c r="AE53" s="815">
        <f t="shared" si="73"/>
        <v>0</v>
      </c>
      <c r="AF53" s="817">
        <f t="shared" si="74"/>
        <v>0</v>
      </c>
    </row>
    <row r="54" spans="1:32" ht="13.8" thickBot="1">
      <c r="A54" s="809">
        <f t="shared" si="54"/>
        <v>42</v>
      </c>
      <c r="B54" s="797" t="s">
        <v>735</v>
      </c>
      <c r="F54" s="821">
        <f t="shared" ref="F54:M54" si="76">SUM(F41:F53)</f>
        <v>0</v>
      </c>
      <c r="G54" s="822">
        <f t="shared" si="76"/>
        <v>0</v>
      </c>
      <c r="H54" s="822"/>
      <c r="I54" s="822">
        <f t="shared" si="76"/>
        <v>0</v>
      </c>
      <c r="J54" s="822">
        <f t="shared" si="76"/>
        <v>0</v>
      </c>
      <c r="K54" s="822">
        <f t="shared" si="76"/>
        <v>0</v>
      </c>
      <c r="L54" s="822">
        <f t="shared" si="76"/>
        <v>0</v>
      </c>
      <c r="M54" s="822">
        <f t="shared" si="76"/>
        <v>0</v>
      </c>
      <c r="N54" s="823">
        <f>N53</f>
        <v>0</v>
      </c>
      <c r="O54" s="821">
        <f t="shared" ref="O54:P54" si="77">SUM(O41:O53)</f>
        <v>0</v>
      </c>
      <c r="P54" s="822">
        <f t="shared" si="77"/>
        <v>0</v>
      </c>
      <c r="Q54" s="822"/>
      <c r="R54" s="822">
        <f t="shared" ref="R54:V54" si="78">SUM(R41:R53)</f>
        <v>0</v>
      </c>
      <c r="S54" s="822">
        <f t="shared" si="78"/>
        <v>0</v>
      </c>
      <c r="T54" s="822">
        <f t="shared" si="78"/>
        <v>0</v>
      </c>
      <c r="U54" s="822">
        <f t="shared" si="78"/>
        <v>0</v>
      </c>
      <c r="V54" s="822">
        <f t="shared" si="78"/>
        <v>0</v>
      </c>
      <c r="W54" s="823">
        <f>W53</f>
        <v>0</v>
      </c>
      <c r="X54" s="821">
        <f t="shared" ref="X54:Y54" si="79">SUM(X41:X53)</f>
        <v>0</v>
      </c>
      <c r="Y54" s="822">
        <f t="shared" si="79"/>
        <v>0</v>
      </c>
      <c r="Z54" s="822"/>
      <c r="AA54" s="822">
        <f t="shared" ref="AA54:AE54" si="80">SUM(AA41:AA53)</f>
        <v>0</v>
      </c>
      <c r="AB54" s="822">
        <f t="shared" si="80"/>
        <v>0</v>
      </c>
      <c r="AC54" s="822">
        <f t="shared" si="80"/>
        <v>0</v>
      </c>
      <c r="AD54" s="822">
        <f t="shared" si="80"/>
        <v>0</v>
      </c>
      <c r="AE54" s="822">
        <f t="shared" si="80"/>
        <v>0</v>
      </c>
      <c r="AF54" s="823">
        <f>AF53</f>
        <v>0</v>
      </c>
    </row>
    <row r="55" spans="1:32">
      <c r="B55" s="800"/>
      <c r="F55" s="371"/>
      <c r="G55" s="371"/>
      <c r="H55" s="371"/>
      <c r="I55" s="371"/>
      <c r="J55" s="371"/>
      <c r="K55" s="371"/>
      <c r="L55" s="371"/>
      <c r="M55" s="371"/>
      <c r="N55" s="371"/>
      <c r="O55" s="818"/>
      <c r="P55" s="824"/>
      <c r="Q55" s="818"/>
      <c r="R55" s="824"/>
      <c r="S55" s="824"/>
      <c r="T55" s="824"/>
      <c r="U55" s="824"/>
      <c r="V55" s="824"/>
      <c r="W55" s="824"/>
      <c r="X55" s="818"/>
      <c r="Y55" s="824"/>
      <c r="Z55" s="800"/>
      <c r="AA55" s="800"/>
      <c r="AB55" s="800"/>
      <c r="AC55" s="800"/>
      <c r="AD55" s="800"/>
      <c r="AE55" s="800"/>
      <c r="AF55" s="800"/>
    </row>
    <row r="56" spans="1:32">
      <c r="B56" s="800"/>
      <c r="O56" s="800"/>
      <c r="P56" s="800"/>
      <c r="Q56" s="800"/>
      <c r="R56" s="800"/>
      <c r="S56" s="800"/>
      <c r="T56" s="800"/>
      <c r="U56" s="800"/>
      <c r="V56" s="800"/>
      <c r="W56" s="800"/>
      <c r="X56" s="800"/>
      <c r="Y56" s="800"/>
      <c r="Z56" s="800"/>
      <c r="AA56" s="800"/>
      <c r="AB56" s="800"/>
      <c r="AC56" s="800"/>
      <c r="AD56" s="800"/>
      <c r="AE56" s="800"/>
      <c r="AF56" s="800"/>
    </row>
    <row r="57" spans="1:32">
      <c r="A57" s="825" t="s">
        <v>266</v>
      </c>
      <c r="B57" s="800" t="s">
        <v>736</v>
      </c>
      <c r="O57" s="800"/>
      <c r="P57" s="800"/>
      <c r="Q57" s="800"/>
      <c r="R57" s="800"/>
      <c r="S57" s="800"/>
      <c r="T57" s="800"/>
      <c r="U57" s="800"/>
      <c r="V57" s="800"/>
      <c r="W57" s="800"/>
      <c r="X57" s="800"/>
      <c r="Y57" s="800"/>
      <c r="Z57" s="800"/>
      <c r="AA57" s="800"/>
      <c r="AB57" s="800"/>
      <c r="AC57" s="800"/>
      <c r="AD57" s="800"/>
      <c r="AE57" s="800"/>
      <c r="AF57" s="800"/>
    </row>
    <row r="58" spans="1:32">
      <c r="A58" s="825" t="s">
        <v>268</v>
      </c>
      <c r="B58" s="800" t="s">
        <v>737</v>
      </c>
      <c r="D58" s="826"/>
      <c r="E58" s="826"/>
      <c r="F58" s="826"/>
      <c r="G58" s="826"/>
      <c r="H58" s="826"/>
      <c r="I58" s="826"/>
      <c r="J58" s="826"/>
      <c r="K58" s="826"/>
      <c r="L58" s="826"/>
      <c r="M58" s="826"/>
      <c r="N58" s="826"/>
      <c r="O58" s="800"/>
      <c r="P58" s="800"/>
      <c r="Q58" s="800"/>
      <c r="R58" s="800"/>
      <c r="S58" s="800"/>
      <c r="T58" s="800"/>
      <c r="U58" s="800"/>
      <c r="V58" s="800"/>
      <c r="W58" s="800"/>
      <c r="X58" s="800"/>
      <c r="Y58" s="800"/>
      <c r="Z58" s="800"/>
      <c r="AA58" s="800"/>
      <c r="AB58" s="800"/>
      <c r="AC58" s="800"/>
      <c r="AD58" s="800"/>
      <c r="AE58" s="800"/>
      <c r="AF58" s="800"/>
    </row>
    <row r="59" spans="1:32">
      <c r="A59" s="827" t="s">
        <v>196</v>
      </c>
      <c r="B59" s="800" t="s">
        <v>738</v>
      </c>
      <c r="D59" s="826"/>
      <c r="E59" s="826"/>
      <c r="F59" s="826"/>
      <c r="G59" s="826"/>
      <c r="H59" s="826"/>
      <c r="I59" s="826"/>
      <c r="J59" s="826"/>
      <c r="K59" s="826"/>
      <c r="L59" s="826"/>
      <c r="M59" s="826"/>
      <c r="N59" s="826"/>
      <c r="O59" s="800"/>
      <c r="P59" s="800"/>
      <c r="Q59" s="800"/>
      <c r="R59" s="800"/>
      <c r="S59" s="800"/>
      <c r="T59" s="800"/>
      <c r="U59" s="800"/>
      <c r="V59" s="800"/>
      <c r="W59" s="800"/>
      <c r="X59" s="800"/>
      <c r="Y59" s="800"/>
      <c r="Z59" s="800"/>
      <c r="AA59" s="800"/>
      <c r="AB59" s="800"/>
      <c r="AC59" s="800"/>
      <c r="AD59" s="800"/>
      <c r="AE59" s="800"/>
      <c r="AF59" s="800"/>
    </row>
    <row r="60" spans="1:32">
      <c r="A60" s="827" t="s">
        <v>199</v>
      </c>
      <c r="B60" s="800" t="s">
        <v>739</v>
      </c>
      <c r="D60" s="826"/>
      <c r="E60" s="826"/>
      <c r="F60" s="826"/>
      <c r="G60" s="826"/>
      <c r="H60" s="826"/>
      <c r="I60" s="826"/>
      <c r="J60" s="826"/>
      <c r="K60" s="826"/>
      <c r="L60" s="826"/>
      <c r="M60" s="826"/>
      <c r="N60" s="826"/>
      <c r="O60" s="800"/>
      <c r="P60" s="800"/>
      <c r="Q60" s="800"/>
      <c r="R60" s="800"/>
      <c r="S60" s="800"/>
      <c r="T60" s="800"/>
      <c r="U60" s="800"/>
      <c r="V60" s="800"/>
      <c r="W60" s="800"/>
      <c r="X60" s="800"/>
      <c r="Y60" s="800"/>
      <c r="Z60" s="800"/>
      <c r="AA60" s="800"/>
      <c r="AB60" s="800"/>
      <c r="AC60" s="800"/>
      <c r="AD60" s="800"/>
      <c r="AE60" s="800"/>
      <c r="AF60" s="800"/>
    </row>
    <row r="61" spans="1:32">
      <c r="A61" s="827" t="s">
        <v>201</v>
      </c>
      <c r="B61" s="797" t="s">
        <v>740</v>
      </c>
      <c r="D61" s="798"/>
      <c r="E61" s="798"/>
      <c r="O61" s="800"/>
      <c r="P61" s="800"/>
      <c r="Q61" s="800"/>
      <c r="R61" s="800"/>
      <c r="S61" s="800"/>
      <c r="T61" s="800"/>
      <c r="U61" s="800"/>
      <c r="V61" s="800"/>
      <c r="W61" s="800"/>
      <c r="X61" s="800"/>
      <c r="Y61" s="800"/>
      <c r="Z61" s="800"/>
      <c r="AA61" s="800"/>
      <c r="AB61" s="800"/>
      <c r="AC61" s="800"/>
      <c r="AD61" s="800"/>
      <c r="AE61" s="800"/>
      <c r="AF61" s="800"/>
    </row>
    <row r="62" spans="1:32">
      <c r="A62" s="827" t="s">
        <v>204</v>
      </c>
      <c r="B62" s="797" t="s">
        <v>799</v>
      </c>
      <c r="D62" s="371"/>
      <c r="E62" s="371"/>
    </row>
    <row r="63" spans="1:32">
      <c r="D63" s="371"/>
      <c r="E63" s="371"/>
    </row>
    <row r="64" spans="1:32">
      <c r="D64" s="371"/>
      <c r="E64" s="371"/>
    </row>
    <row r="65" spans="2:24">
      <c r="D65" s="371"/>
      <c r="E65" s="371"/>
    </row>
    <row r="66" spans="2:24">
      <c r="D66" s="371"/>
      <c r="E66" s="371"/>
      <c r="O66" s="828"/>
      <c r="P66" s="828"/>
      <c r="Q66" s="828"/>
      <c r="R66" s="828"/>
      <c r="S66" s="828"/>
      <c r="T66" s="828"/>
      <c r="U66" s="828"/>
      <c r="V66" s="828"/>
      <c r="W66" s="828"/>
      <c r="X66" s="828"/>
    </row>
    <row r="67" spans="2:24">
      <c r="D67" s="371"/>
      <c r="E67" s="371"/>
    </row>
    <row r="68" spans="2:24">
      <c r="D68" s="371"/>
      <c r="E68" s="371"/>
    </row>
    <row r="69" spans="2:24">
      <c r="D69" s="371"/>
      <c r="E69" s="371"/>
    </row>
    <row r="70" spans="2:24">
      <c r="D70" s="371"/>
      <c r="E70" s="371"/>
    </row>
    <row r="71" spans="2:24">
      <c r="D71" s="371"/>
      <c r="E71" s="371"/>
    </row>
    <row r="72" spans="2:24">
      <c r="B72" s="800"/>
      <c r="D72" s="371"/>
      <c r="E72" s="371"/>
    </row>
    <row r="73" spans="2:24">
      <c r="D73" s="371"/>
      <c r="E73" s="371"/>
    </row>
    <row r="74" spans="2:24">
      <c r="B74" s="800"/>
      <c r="D74" s="371"/>
      <c r="E74" s="371"/>
    </row>
  </sheetData>
  <mergeCells count="5">
    <mergeCell ref="A2:N2"/>
    <mergeCell ref="A3:N3"/>
    <mergeCell ref="F5:N5"/>
    <mergeCell ref="O5:W5"/>
    <mergeCell ref="X5:AF5"/>
  </mergeCells>
  <printOptions horizontalCentered="1"/>
  <pageMargins left="0.25" right="0.25" top="0.5" bottom="0.5" header="0.3" footer="0.3"/>
  <pageSetup scale="57" fitToWidth="3" orientation="landscape" cellComments="asDisplayed" r:id="rId1"/>
  <headerFooter alignWithMargins="0">
    <oddFooter>&amp;R&amp;A</oddFooter>
  </headerFooter>
  <colBreaks count="1" manualBreakCount="1">
    <brk id="14" max="61" man="1"/>
  </colBreaks>
  <customProperties>
    <customPr name="_pios_id" r:id="rId2"/>
  </customPropertie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FE0BEF-19F9-41AD-8CC0-352770F605C6}">
  <sheetPr>
    <tabColor theme="9" tint="0.79998168889431442"/>
  </sheetPr>
  <dimension ref="A1:T91"/>
  <sheetViews>
    <sheetView zoomScale="90" zoomScaleNormal="90" zoomScaleSheetLayoutView="100" workbookViewId="0">
      <selection activeCell="K12" sqref="K12"/>
    </sheetView>
  </sheetViews>
  <sheetFormatPr defaultColWidth="8.81640625" defaultRowHeight="15"/>
  <cols>
    <col min="1" max="1" width="7.54296875" style="829" customWidth="1"/>
    <col min="2" max="2" width="23.1796875" style="829" customWidth="1"/>
    <col min="3" max="3" width="42.453125" style="829" customWidth="1"/>
    <col min="4" max="4" width="20.453125" style="829" bestFit="1" customWidth="1"/>
    <col min="5" max="5" width="10.1796875" style="829" bestFit="1" customWidth="1"/>
    <col min="6" max="6" width="8.81640625" style="830"/>
    <col min="7" max="7" width="8.81640625" style="829"/>
    <col min="8" max="8" width="23" style="849" customWidth="1"/>
    <col min="9" max="9" width="25.81640625" style="849" customWidth="1"/>
    <col min="10" max="10" width="13.81640625" style="849" customWidth="1"/>
    <col min="11" max="11" width="8.81640625" style="829"/>
    <col min="12" max="12" width="9.81640625" style="829" bestFit="1" customWidth="1"/>
    <col min="13" max="18" width="11.453125" style="829" customWidth="1"/>
    <col min="19" max="19" width="8.81640625" style="829"/>
    <col min="20" max="20" width="10.453125" style="829" bestFit="1" customWidth="1"/>
    <col min="21" max="16384" width="8.81640625" style="829"/>
  </cols>
  <sheetData>
    <row r="1" spans="1:18" ht="15.6">
      <c r="A1" s="829" t="s">
        <v>0</v>
      </c>
      <c r="H1" s="831"/>
      <c r="I1" s="832"/>
      <c r="J1" s="833"/>
    </row>
    <row r="2" spans="1:18" ht="15.6">
      <c r="H2" s="831"/>
      <c r="I2" s="834"/>
      <c r="J2" s="835"/>
    </row>
    <row r="3" spans="1:18">
      <c r="H3" s="836"/>
      <c r="I3" s="834"/>
      <c r="J3" s="835"/>
    </row>
    <row r="4" spans="1:18">
      <c r="H4" s="836"/>
      <c r="I4" s="834"/>
      <c r="J4" s="835"/>
    </row>
    <row r="5" spans="1:18" ht="17.399999999999999">
      <c r="A5" s="1273" t="s">
        <v>800</v>
      </c>
      <c r="B5" s="1273"/>
      <c r="C5" s="1273"/>
      <c r="D5" s="1273"/>
      <c r="E5" s="1273"/>
      <c r="H5" s="836"/>
      <c r="I5" s="834"/>
      <c r="J5" s="835"/>
    </row>
    <row r="6" spans="1:18" ht="15.6">
      <c r="A6" s="1274" t="str">
        <f>+'6e-ADIT True-up'!A2:I2</f>
        <v>NextEra Energy Transmission New York, Inc.</v>
      </c>
      <c r="B6" s="1274"/>
      <c r="C6" s="1274"/>
      <c r="D6" s="1274"/>
      <c r="E6" s="1274"/>
      <c r="F6" s="837"/>
      <c r="G6" s="838"/>
      <c r="H6" s="836"/>
      <c r="I6" s="834"/>
      <c r="J6" s="835"/>
      <c r="K6" s="838"/>
      <c r="L6" s="838"/>
      <c r="M6" s="838"/>
      <c r="N6" s="838"/>
      <c r="O6" s="838"/>
    </row>
    <row r="7" spans="1:18">
      <c r="A7" s="839"/>
      <c r="B7" s="839"/>
      <c r="C7" s="839"/>
      <c r="D7" s="839"/>
      <c r="E7" s="839"/>
      <c r="H7" s="836"/>
      <c r="I7" s="834"/>
      <c r="J7" s="835"/>
    </row>
    <row r="8" spans="1:18">
      <c r="A8" s="839"/>
      <c r="B8" s="839"/>
      <c r="C8" s="840"/>
      <c r="D8" s="839"/>
      <c r="E8" s="839"/>
      <c r="H8" s="836"/>
      <c r="I8" s="834"/>
      <c r="J8" s="835"/>
    </row>
    <row r="9" spans="1:18" ht="15.6">
      <c r="A9" s="841" t="s">
        <v>30</v>
      </c>
      <c r="B9" s="842" t="s">
        <v>801</v>
      </c>
      <c r="C9" s="842" t="s">
        <v>802</v>
      </c>
      <c r="D9" s="842" t="s">
        <v>803</v>
      </c>
      <c r="E9" s="839"/>
      <c r="H9" s="836"/>
      <c r="I9" s="834"/>
      <c r="J9" s="835"/>
    </row>
    <row r="10" spans="1:18" ht="15.6">
      <c r="A10" s="841"/>
      <c r="B10" s="843" t="s">
        <v>804</v>
      </c>
      <c r="C10" s="842"/>
      <c r="D10" s="842"/>
      <c r="E10" s="839"/>
      <c r="H10" s="836"/>
      <c r="I10" s="834"/>
      <c r="J10" s="835"/>
    </row>
    <row r="11" spans="1:18" ht="15.6">
      <c r="A11" s="841">
        <v>1</v>
      </c>
      <c r="B11" s="844" t="s">
        <v>805</v>
      </c>
      <c r="C11" s="842" t="s">
        <v>806</v>
      </c>
      <c r="D11" s="845">
        <v>0</v>
      </c>
      <c r="E11" s="839"/>
      <c r="H11" s="846"/>
      <c r="I11" s="829"/>
      <c r="J11" s="829"/>
      <c r="K11" s="847"/>
      <c r="L11" s="848"/>
    </row>
    <row r="12" spans="1:18" ht="15.6">
      <c r="A12" s="841">
        <v>2</v>
      </c>
      <c r="B12" s="844" t="s">
        <v>807</v>
      </c>
      <c r="C12" s="842" t="s">
        <v>808</v>
      </c>
      <c r="D12" s="845">
        <v>1.33</v>
      </c>
      <c r="E12" s="839"/>
      <c r="H12" s="846"/>
      <c r="L12" s="850"/>
      <c r="M12" s="851"/>
      <c r="N12" s="851"/>
      <c r="O12" s="851"/>
      <c r="P12" s="851"/>
      <c r="Q12" s="852"/>
      <c r="R12" s="853"/>
    </row>
    <row r="13" spans="1:18" ht="15.6">
      <c r="A13" s="841">
        <v>3</v>
      </c>
      <c r="B13" s="844" t="s">
        <v>809</v>
      </c>
      <c r="C13" s="842" t="s">
        <v>810</v>
      </c>
      <c r="D13" s="845">
        <v>3.36</v>
      </c>
      <c r="E13" s="839"/>
      <c r="H13" s="846"/>
      <c r="L13" s="854"/>
      <c r="M13" s="851"/>
      <c r="N13" s="851"/>
      <c r="O13" s="851"/>
      <c r="P13" s="851"/>
      <c r="Q13" s="852"/>
      <c r="R13" s="853"/>
    </row>
    <row r="14" spans="1:18" ht="15.6">
      <c r="A14" s="841">
        <v>4</v>
      </c>
      <c r="B14" s="844" t="s">
        <v>811</v>
      </c>
      <c r="C14" s="842" t="s">
        <v>812</v>
      </c>
      <c r="D14" s="845">
        <v>2.92</v>
      </c>
      <c r="E14" s="839"/>
      <c r="H14" s="846"/>
      <c r="L14" s="855"/>
      <c r="M14" s="856"/>
      <c r="N14" s="856"/>
      <c r="O14" s="856"/>
      <c r="P14" s="856"/>
      <c r="Q14" s="856"/>
      <c r="R14" s="856"/>
    </row>
    <row r="15" spans="1:18" ht="15.6">
      <c r="A15" s="841">
        <v>5</v>
      </c>
      <c r="B15" s="844" t="s">
        <v>813</v>
      </c>
      <c r="C15" s="842" t="s">
        <v>814</v>
      </c>
      <c r="D15" s="845">
        <v>1.92</v>
      </c>
      <c r="E15" s="839"/>
      <c r="H15" s="846"/>
      <c r="L15" s="857"/>
      <c r="M15" s="858"/>
      <c r="N15" s="858"/>
      <c r="O15" s="858"/>
      <c r="P15" s="858"/>
      <c r="Q15" s="859"/>
      <c r="R15" s="860"/>
    </row>
    <row r="16" spans="1:18" ht="15.6">
      <c r="A16" s="841">
        <v>6</v>
      </c>
      <c r="B16" s="844" t="s">
        <v>815</v>
      </c>
      <c r="C16" s="861" t="s">
        <v>816</v>
      </c>
      <c r="D16" s="845">
        <v>2.0499999999999998</v>
      </c>
      <c r="E16" s="839"/>
      <c r="H16" s="846"/>
      <c r="I16" s="829"/>
      <c r="J16" s="829"/>
      <c r="L16" s="857"/>
      <c r="M16" s="858"/>
      <c r="N16" s="858"/>
      <c r="O16" s="858"/>
      <c r="P16" s="858"/>
      <c r="Q16" s="859"/>
      <c r="R16" s="860"/>
    </row>
    <row r="17" spans="1:20" ht="15.6">
      <c r="A17" s="841">
        <v>7</v>
      </c>
      <c r="B17" s="844" t="s">
        <v>817</v>
      </c>
      <c r="C17" s="842" t="s">
        <v>818</v>
      </c>
      <c r="D17" s="845">
        <v>3.1</v>
      </c>
      <c r="E17" s="839"/>
      <c r="H17" s="846"/>
      <c r="I17" s="829"/>
      <c r="J17" s="829"/>
      <c r="L17" s="857"/>
      <c r="M17" s="858"/>
      <c r="N17" s="858"/>
      <c r="O17" s="858"/>
      <c r="P17" s="858"/>
      <c r="Q17" s="859"/>
      <c r="R17" s="860"/>
    </row>
    <row r="18" spans="1:20" ht="15.6">
      <c r="A18" s="841">
        <v>8</v>
      </c>
      <c r="B18" s="844" t="s">
        <v>819</v>
      </c>
      <c r="C18" s="842" t="s">
        <v>820</v>
      </c>
      <c r="D18" s="845">
        <v>1.54</v>
      </c>
      <c r="E18" s="839"/>
      <c r="H18" s="846"/>
      <c r="I18" s="829"/>
      <c r="J18" s="829"/>
      <c r="L18" s="857"/>
      <c r="M18" s="858"/>
      <c r="N18" s="858"/>
      <c r="O18" s="858"/>
      <c r="P18" s="858"/>
      <c r="Q18" s="859"/>
      <c r="R18" s="860"/>
    </row>
    <row r="19" spans="1:20" ht="15.6">
      <c r="A19" s="841">
        <v>9</v>
      </c>
      <c r="B19" s="844" t="s">
        <v>821</v>
      </c>
      <c r="C19" s="842" t="s">
        <v>822</v>
      </c>
      <c r="D19" s="845">
        <v>1.85</v>
      </c>
      <c r="E19" s="839"/>
      <c r="H19" s="846"/>
      <c r="I19" s="829"/>
      <c r="J19" s="829"/>
      <c r="L19" s="857"/>
      <c r="M19" s="858"/>
      <c r="N19" s="858"/>
      <c r="O19" s="858"/>
      <c r="P19" s="858"/>
      <c r="Q19" s="859"/>
      <c r="R19" s="860"/>
    </row>
    <row r="20" spans="1:20" ht="15.6">
      <c r="A20" s="841">
        <v>10</v>
      </c>
      <c r="B20" s="844" t="s">
        <v>823</v>
      </c>
      <c r="C20" s="842" t="s">
        <v>824</v>
      </c>
      <c r="D20" s="845">
        <v>1.47</v>
      </c>
      <c r="E20" s="839"/>
      <c r="H20" s="846"/>
      <c r="I20" s="829"/>
      <c r="J20" s="829"/>
      <c r="L20" s="862"/>
      <c r="M20" s="863"/>
      <c r="N20" s="863"/>
      <c r="O20" s="863"/>
      <c r="P20" s="863"/>
      <c r="Q20" s="864"/>
      <c r="R20" s="865"/>
    </row>
    <row r="21" spans="1:20" ht="15.6">
      <c r="A21" s="841"/>
      <c r="B21" s="842"/>
      <c r="C21" s="842"/>
      <c r="D21" s="845"/>
      <c r="E21" s="839"/>
      <c r="H21" s="846"/>
      <c r="I21" s="829"/>
      <c r="J21" s="829"/>
      <c r="L21" s="862"/>
      <c r="M21" s="863"/>
      <c r="N21" s="863"/>
      <c r="O21" s="863"/>
      <c r="P21" s="863"/>
      <c r="Q21" s="864"/>
      <c r="R21" s="865"/>
    </row>
    <row r="22" spans="1:20" ht="15.6">
      <c r="A22" s="866"/>
      <c r="B22" s="844" t="s">
        <v>825</v>
      </c>
      <c r="C22" s="842"/>
      <c r="D22" s="845"/>
      <c r="E22" s="839"/>
      <c r="H22" s="846"/>
      <c r="I22" s="867"/>
      <c r="J22" s="829"/>
      <c r="L22" s="862"/>
      <c r="M22" s="863"/>
      <c r="N22" s="863"/>
      <c r="O22" s="863"/>
      <c r="P22" s="863"/>
      <c r="Q22" s="864"/>
      <c r="R22" s="865"/>
    </row>
    <row r="23" spans="1:20" ht="15.6">
      <c r="A23" s="841">
        <v>11</v>
      </c>
      <c r="B23" s="844" t="s">
        <v>826</v>
      </c>
      <c r="C23" s="842" t="s">
        <v>827</v>
      </c>
      <c r="D23" s="845">
        <v>1.75</v>
      </c>
      <c r="E23" s="839"/>
      <c r="H23" s="846"/>
      <c r="I23" s="829"/>
      <c r="J23" s="829"/>
      <c r="L23" s="862"/>
      <c r="M23" s="868"/>
      <c r="N23" s="868"/>
      <c r="O23" s="868"/>
      <c r="P23" s="868"/>
      <c r="Q23" s="869"/>
      <c r="R23" s="870"/>
    </row>
    <row r="24" spans="1:20" ht="15.6">
      <c r="A24" s="841">
        <v>12</v>
      </c>
      <c r="B24" s="844" t="s">
        <v>828</v>
      </c>
      <c r="C24" s="842" t="s">
        <v>829</v>
      </c>
      <c r="D24" s="845">
        <v>5.25</v>
      </c>
      <c r="E24" s="839"/>
      <c r="H24" s="846"/>
      <c r="J24" s="829"/>
      <c r="L24" s="862"/>
      <c r="M24" s="863"/>
      <c r="N24" s="863"/>
      <c r="O24" s="863"/>
      <c r="P24" s="863"/>
      <c r="Q24" s="864"/>
      <c r="R24" s="865"/>
    </row>
    <row r="25" spans="1:20" ht="15.6">
      <c r="A25" s="841">
        <v>13</v>
      </c>
      <c r="B25" s="871" t="s">
        <v>830</v>
      </c>
      <c r="C25" s="872" t="s">
        <v>831</v>
      </c>
      <c r="D25" s="845">
        <v>11.43</v>
      </c>
      <c r="E25" s="839"/>
      <c r="H25" s="846"/>
      <c r="I25" s="829"/>
      <c r="J25" s="829"/>
      <c r="K25" s="873"/>
      <c r="L25" s="862"/>
      <c r="M25" s="864"/>
      <c r="N25" s="864"/>
      <c r="O25" s="864"/>
      <c r="P25" s="864"/>
      <c r="Q25" s="864"/>
    </row>
    <row r="26" spans="1:20" ht="15.6">
      <c r="A26" s="841">
        <v>14</v>
      </c>
      <c r="B26" s="871" t="s">
        <v>832</v>
      </c>
      <c r="C26" s="872" t="s">
        <v>833</v>
      </c>
      <c r="D26" s="845">
        <v>8.89</v>
      </c>
      <c r="E26" s="839"/>
      <c r="H26" s="846"/>
      <c r="I26" s="829"/>
      <c r="J26" s="829"/>
      <c r="K26" s="873"/>
      <c r="L26" s="862"/>
      <c r="M26" s="874"/>
      <c r="N26" s="874"/>
      <c r="O26" s="874"/>
      <c r="P26" s="874"/>
      <c r="Q26" s="874"/>
      <c r="R26" s="874"/>
      <c r="T26" s="875"/>
    </row>
    <row r="27" spans="1:20" ht="15.6">
      <c r="A27" s="841">
        <v>15</v>
      </c>
      <c r="B27" s="871" t="s">
        <v>834</v>
      </c>
      <c r="C27" s="872" t="s">
        <v>835</v>
      </c>
      <c r="D27" s="845">
        <v>6.15</v>
      </c>
      <c r="E27" s="839"/>
      <c r="H27" s="846"/>
      <c r="I27" s="829"/>
      <c r="J27" s="829"/>
      <c r="K27" s="873"/>
      <c r="L27" s="862"/>
      <c r="M27" s="874"/>
      <c r="N27" s="874"/>
      <c r="O27" s="874"/>
      <c r="P27" s="874"/>
      <c r="Q27" s="874"/>
      <c r="R27" s="874"/>
      <c r="T27" s="875"/>
    </row>
    <row r="28" spans="1:20" ht="15.6">
      <c r="A28" s="841">
        <v>16</v>
      </c>
      <c r="B28" s="871" t="s">
        <v>836</v>
      </c>
      <c r="C28" s="872" t="s">
        <v>837</v>
      </c>
      <c r="D28" s="845">
        <v>8.89</v>
      </c>
      <c r="E28" s="839"/>
      <c r="H28" s="846"/>
      <c r="I28" s="829"/>
      <c r="J28" s="829"/>
      <c r="K28" s="873"/>
      <c r="L28" s="862"/>
      <c r="M28" s="874"/>
      <c r="N28" s="876"/>
      <c r="O28" s="874"/>
      <c r="P28" s="874"/>
      <c r="Q28" s="877"/>
      <c r="R28" s="874"/>
      <c r="T28" s="875"/>
    </row>
    <row r="29" spans="1:20" ht="15.6">
      <c r="A29" s="841">
        <v>17</v>
      </c>
      <c r="B29" s="871" t="s">
        <v>838</v>
      </c>
      <c r="C29" s="872" t="s">
        <v>839</v>
      </c>
      <c r="D29" s="845">
        <v>4</v>
      </c>
      <c r="E29" s="839"/>
      <c r="H29" s="846"/>
      <c r="I29" s="829"/>
      <c r="J29" s="829"/>
      <c r="K29" s="873"/>
      <c r="M29" s="874"/>
      <c r="N29" s="874"/>
      <c r="O29" s="874"/>
      <c r="P29" s="874"/>
      <c r="Q29" s="874"/>
      <c r="R29" s="874"/>
      <c r="T29" s="875"/>
    </row>
    <row r="30" spans="1:20" ht="15.6">
      <c r="A30" s="841">
        <v>18</v>
      </c>
      <c r="B30" s="844" t="s">
        <v>840</v>
      </c>
      <c r="C30" s="842" t="s">
        <v>841</v>
      </c>
      <c r="D30" s="845">
        <v>0</v>
      </c>
      <c r="E30" s="839"/>
      <c r="H30" s="846"/>
      <c r="I30" s="829"/>
      <c r="J30" s="829"/>
      <c r="K30" s="873"/>
      <c r="M30" s="874"/>
      <c r="N30" s="874"/>
      <c r="O30" s="874"/>
      <c r="P30" s="874"/>
      <c r="Q30" s="874"/>
      <c r="R30" s="874"/>
    </row>
    <row r="31" spans="1:20" ht="15.6">
      <c r="A31" s="841">
        <v>19</v>
      </c>
      <c r="B31" s="844" t="s">
        <v>842</v>
      </c>
      <c r="C31" s="842" t="s">
        <v>843</v>
      </c>
      <c r="D31" s="845">
        <v>0</v>
      </c>
      <c r="E31" s="839"/>
      <c r="H31" s="846"/>
      <c r="I31" s="829"/>
      <c r="J31" s="829"/>
      <c r="M31" s="874"/>
      <c r="N31" s="874"/>
      <c r="O31" s="874"/>
      <c r="P31" s="874"/>
      <c r="Q31" s="874"/>
      <c r="R31" s="874"/>
    </row>
    <row r="32" spans="1:20" ht="15.6">
      <c r="A32" s="841">
        <v>20</v>
      </c>
      <c r="B32" s="844" t="s">
        <v>844</v>
      </c>
      <c r="C32" s="842" t="s">
        <v>845</v>
      </c>
      <c r="D32" s="845">
        <v>0</v>
      </c>
      <c r="E32" s="839"/>
      <c r="H32" s="846"/>
      <c r="I32" s="829"/>
      <c r="J32" s="829"/>
      <c r="M32" s="874"/>
      <c r="N32" s="874"/>
      <c r="O32" s="874"/>
      <c r="P32" s="874"/>
      <c r="Q32" s="874"/>
      <c r="R32" s="874"/>
    </row>
    <row r="33" spans="1:20" ht="15.6">
      <c r="A33" s="841">
        <v>21</v>
      </c>
      <c r="B33" s="844" t="s">
        <v>846</v>
      </c>
      <c r="C33" s="842" t="s">
        <v>847</v>
      </c>
      <c r="D33" s="845">
        <v>25</v>
      </c>
      <c r="E33" s="839"/>
      <c r="H33" s="846"/>
      <c r="I33" s="829"/>
      <c r="J33" s="829"/>
      <c r="K33" s="873"/>
      <c r="M33" s="874"/>
      <c r="N33" s="874"/>
      <c r="O33" s="874"/>
      <c r="P33" s="874"/>
      <c r="Q33" s="874"/>
      <c r="R33" s="874"/>
    </row>
    <row r="34" spans="1:20" ht="15.6">
      <c r="A34" s="841">
        <v>22</v>
      </c>
      <c r="B34" s="844" t="s">
        <v>848</v>
      </c>
      <c r="C34" s="842" t="s">
        <v>849</v>
      </c>
      <c r="D34" s="845">
        <v>2.5</v>
      </c>
      <c r="E34" s="839"/>
      <c r="H34" s="846"/>
      <c r="I34" s="829"/>
      <c r="J34" s="829"/>
      <c r="K34" s="873"/>
      <c r="M34" s="874"/>
      <c r="N34" s="874"/>
      <c r="O34" s="874"/>
      <c r="P34" s="874"/>
      <c r="Q34" s="874"/>
      <c r="R34" s="874"/>
    </row>
    <row r="35" spans="1:20" ht="15.6">
      <c r="A35" s="841"/>
      <c r="B35" s="842"/>
      <c r="C35" s="842"/>
      <c r="D35" s="845"/>
      <c r="E35" s="839"/>
      <c r="H35" s="846"/>
      <c r="I35" s="829"/>
      <c r="J35" s="829"/>
      <c r="K35" s="873"/>
      <c r="M35" s="874"/>
      <c r="N35" s="874"/>
      <c r="O35" s="874"/>
      <c r="P35" s="874"/>
      <c r="Q35" s="874"/>
      <c r="R35" s="874"/>
    </row>
    <row r="36" spans="1:20" ht="15.6">
      <c r="A36" s="841"/>
      <c r="B36" s="844" t="s">
        <v>850</v>
      </c>
      <c r="C36" s="842"/>
      <c r="D36" s="845"/>
      <c r="E36" s="839"/>
      <c r="H36" s="846"/>
      <c r="I36" s="829"/>
      <c r="J36" s="829"/>
      <c r="K36" s="873"/>
      <c r="M36" s="874"/>
      <c r="N36" s="874"/>
      <c r="O36" s="874"/>
      <c r="P36" s="874"/>
      <c r="Q36" s="874"/>
      <c r="R36" s="874"/>
    </row>
    <row r="37" spans="1:20" ht="15.6">
      <c r="A37" s="841">
        <v>1</v>
      </c>
      <c r="B37" s="844" t="s">
        <v>851</v>
      </c>
      <c r="C37" s="842" t="s">
        <v>852</v>
      </c>
      <c r="D37" s="845">
        <v>1.85</v>
      </c>
      <c r="E37" s="839"/>
      <c r="H37" s="846"/>
      <c r="I37" s="829"/>
      <c r="J37" s="829"/>
      <c r="K37" s="873"/>
      <c r="M37" s="874"/>
      <c r="N37" s="874"/>
      <c r="O37" s="874"/>
      <c r="P37" s="874"/>
      <c r="Q37" s="874"/>
      <c r="R37" s="874"/>
    </row>
    <row r="38" spans="1:20" ht="15.6">
      <c r="A38" s="841">
        <f>+A37+1</f>
        <v>2</v>
      </c>
      <c r="B38" s="878">
        <v>302</v>
      </c>
      <c r="C38" s="842" t="s">
        <v>853</v>
      </c>
      <c r="D38" s="879">
        <v>1.85</v>
      </c>
      <c r="E38" s="839"/>
      <c r="H38" s="846"/>
      <c r="I38" s="829"/>
      <c r="J38" s="829"/>
      <c r="K38" s="873"/>
      <c r="M38" s="864"/>
      <c r="N38" s="864"/>
      <c r="O38" s="864"/>
      <c r="P38" s="864"/>
      <c r="Q38" s="864"/>
    </row>
    <row r="39" spans="1:20" ht="15.6">
      <c r="A39" s="841">
        <f t="shared" ref="A39:A42" si="0">+A38+1</f>
        <v>3</v>
      </c>
      <c r="B39" s="844" t="s">
        <v>854</v>
      </c>
      <c r="C39" s="842" t="s">
        <v>855</v>
      </c>
      <c r="D39" s="845"/>
      <c r="E39" s="839"/>
      <c r="M39" s="864"/>
      <c r="N39" s="864"/>
      <c r="O39" s="864"/>
      <c r="P39" s="864"/>
      <c r="Q39" s="864"/>
      <c r="R39" s="864"/>
      <c r="T39" s="880"/>
    </row>
    <row r="40" spans="1:20" ht="15.6">
      <c r="A40" s="841">
        <f t="shared" si="0"/>
        <v>4</v>
      </c>
      <c r="B40" s="844"/>
      <c r="C40" s="842" t="s">
        <v>856</v>
      </c>
      <c r="D40" s="845">
        <v>20</v>
      </c>
      <c r="E40" s="839"/>
      <c r="M40" s="864"/>
      <c r="N40" s="864"/>
      <c r="O40" s="864"/>
      <c r="P40" s="864"/>
      <c r="Q40" s="864"/>
      <c r="R40" s="864"/>
      <c r="T40" s="880"/>
    </row>
    <row r="41" spans="1:20" ht="15.6">
      <c r="A41" s="841">
        <f t="shared" si="0"/>
        <v>5</v>
      </c>
      <c r="B41" s="844"/>
      <c r="C41" s="842" t="s">
        <v>857</v>
      </c>
      <c r="D41" s="845">
        <v>14.285714285714299</v>
      </c>
      <c r="E41" s="839"/>
      <c r="H41" s="846"/>
      <c r="I41" s="829"/>
      <c r="J41" s="829"/>
      <c r="M41" s="864"/>
      <c r="N41" s="864"/>
      <c r="O41" s="864"/>
      <c r="P41" s="864"/>
      <c r="Q41" s="864"/>
      <c r="R41" s="864"/>
    </row>
    <row r="42" spans="1:20" ht="15.6">
      <c r="A42" s="841">
        <f t="shared" si="0"/>
        <v>6</v>
      </c>
      <c r="B42" s="844"/>
      <c r="C42" s="842" t="s">
        <v>858</v>
      </c>
      <c r="D42" s="845">
        <v>10</v>
      </c>
      <c r="E42" s="839"/>
      <c r="H42" s="846"/>
      <c r="I42" s="829"/>
      <c r="J42" s="829"/>
      <c r="M42" s="864"/>
      <c r="N42" s="864"/>
      <c r="O42" s="864"/>
      <c r="P42" s="864"/>
      <c r="Q42" s="864"/>
      <c r="R42" s="864"/>
    </row>
    <row r="43" spans="1:20" ht="15.6">
      <c r="A43" s="841">
        <v>7</v>
      </c>
      <c r="B43" s="881"/>
      <c r="C43" s="842" t="s">
        <v>859</v>
      </c>
      <c r="D43" s="845">
        <v>2.92</v>
      </c>
      <c r="E43" s="839"/>
      <c r="H43" s="846"/>
      <c r="I43" s="829"/>
      <c r="J43" s="829"/>
      <c r="M43" s="864"/>
      <c r="N43" s="864"/>
      <c r="O43" s="864"/>
      <c r="P43" s="864"/>
      <c r="Q43" s="864"/>
      <c r="R43" s="864"/>
    </row>
    <row r="44" spans="1:20" ht="15.6">
      <c r="A44" s="882"/>
      <c r="B44" s="842"/>
      <c r="C44" s="878" t="s">
        <v>860</v>
      </c>
      <c r="D44" s="883" t="s">
        <v>861</v>
      </c>
      <c r="E44" s="839"/>
      <c r="H44" s="846"/>
      <c r="I44" s="829"/>
      <c r="J44" s="829"/>
      <c r="M44" s="864"/>
      <c r="N44" s="864"/>
      <c r="O44" s="864"/>
      <c r="P44" s="864"/>
      <c r="Q44" s="864"/>
      <c r="R44" s="864"/>
    </row>
    <row r="45" spans="1:20" ht="15.6">
      <c r="A45" s="884"/>
      <c r="B45" s="885"/>
      <c r="C45" s="886"/>
      <c r="D45" s="886"/>
      <c r="E45" s="839"/>
    </row>
    <row r="46" spans="1:20" ht="15.6">
      <c r="A46" s="882"/>
      <c r="B46" s="841"/>
      <c r="C46" s="886"/>
      <c r="D46" s="886"/>
      <c r="E46" s="839"/>
    </row>
    <row r="47" spans="1:20" ht="15.6">
      <c r="A47" s="885"/>
      <c r="B47" s="887" t="s">
        <v>862</v>
      </c>
      <c r="C47" s="887"/>
      <c r="D47" s="888"/>
      <c r="E47" s="839"/>
      <c r="H47" s="846"/>
      <c r="I47" s="829"/>
      <c r="J47" s="829"/>
    </row>
    <row r="48" spans="1:20" ht="15.6">
      <c r="A48" s="885"/>
      <c r="B48" s="887" t="s">
        <v>863</v>
      </c>
      <c r="C48" s="887"/>
      <c r="D48" s="888"/>
      <c r="E48" s="839"/>
      <c r="H48" s="846"/>
      <c r="I48" s="829"/>
      <c r="J48" s="829"/>
    </row>
    <row r="49" spans="1:11" ht="15.6">
      <c r="A49" s="885"/>
      <c r="B49" s="887" t="s">
        <v>864</v>
      </c>
      <c r="C49" s="887"/>
      <c r="D49" s="888"/>
      <c r="E49" s="839"/>
      <c r="H49" s="846"/>
      <c r="I49" s="829"/>
      <c r="J49" s="829"/>
    </row>
    <row r="50" spans="1:11" ht="15.6">
      <c r="A50" s="885"/>
      <c r="B50" s="887" t="s">
        <v>865</v>
      </c>
      <c r="C50" s="887"/>
      <c r="D50" s="888"/>
      <c r="E50" s="839"/>
      <c r="H50" s="846"/>
      <c r="I50" s="829"/>
      <c r="J50" s="829"/>
      <c r="K50" s="829" t="s">
        <v>24</v>
      </c>
    </row>
    <row r="51" spans="1:11" ht="15.6">
      <c r="A51" s="885"/>
      <c r="B51" s="887" t="s">
        <v>866</v>
      </c>
      <c r="C51" s="887"/>
      <c r="D51" s="888"/>
      <c r="E51" s="839"/>
      <c r="H51" s="846"/>
      <c r="I51" s="829"/>
      <c r="J51" s="829"/>
      <c r="K51" s="873"/>
    </row>
    <row r="52" spans="1:11" ht="15.6">
      <c r="A52" s="885"/>
      <c r="B52" s="887" t="s">
        <v>867</v>
      </c>
      <c r="C52" s="887"/>
      <c r="D52" s="888"/>
      <c r="E52" s="839"/>
      <c r="H52" s="846"/>
      <c r="I52" s="829"/>
      <c r="J52" s="829"/>
      <c r="K52" s="873"/>
    </row>
    <row r="53" spans="1:11" ht="15.6">
      <c r="A53" s="885"/>
      <c r="B53" s="889"/>
      <c r="C53" s="890"/>
      <c r="D53" s="885"/>
      <c r="E53" s="839"/>
      <c r="H53" s="846"/>
      <c r="I53" s="829"/>
      <c r="J53" s="829"/>
      <c r="K53" s="873"/>
    </row>
    <row r="54" spans="1:11" ht="15.6">
      <c r="A54" s="885"/>
      <c r="B54" s="842" t="s">
        <v>868</v>
      </c>
      <c r="C54" s="890"/>
      <c r="D54" s="885"/>
      <c r="E54" s="839"/>
      <c r="H54" s="846"/>
      <c r="I54" s="829"/>
      <c r="J54" s="829"/>
    </row>
    <row r="55" spans="1:11">
      <c r="J55" s="891"/>
    </row>
    <row r="56" spans="1:11">
      <c r="J56" s="891"/>
    </row>
    <row r="57" spans="1:11">
      <c r="J57" s="891"/>
    </row>
    <row r="58" spans="1:11">
      <c r="J58" s="891"/>
    </row>
    <row r="59" spans="1:11">
      <c r="J59" s="891"/>
    </row>
    <row r="60" spans="1:11">
      <c r="J60" s="891"/>
    </row>
    <row r="61" spans="1:11">
      <c r="J61" s="891"/>
    </row>
    <row r="62" spans="1:11">
      <c r="J62" s="891"/>
    </row>
    <row r="63" spans="1:11">
      <c r="J63" s="891"/>
    </row>
    <row r="64" spans="1:11">
      <c r="J64" s="891"/>
    </row>
    <row r="65" spans="10:10">
      <c r="J65" s="891"/>
    </row>
    <row r="66" spans="10:10">
      <c r="J66" s="891"/>
    </row>
    <row r="67" spans="10:10">
      <c r="J67" s="891"/>
    </row>
    <row r="68" spans="10:10">
      <c r="J68" s="891"/>
    </row>
    <row r="69" spans="10:10">
      <c r="J69" s="891"/>
    </row>
    <row r="70" spans="10:10">
      <c r="J70" s="891"/>
    </row>
    <row r="71" spans="10:10">
      <c r="J71" s="891"/>
    </row>
    <row r="72" spans="10:10">
      <c r="J72" s="891"/>
    </row>
    <row r="73" spans="10:10">
      <c r="J73" s="891"/>
    </row>
    <row r="74" spans="10:10">
      <c r="J74" s="891"/>
    </row>
    <row r="75" spans="10:10">
      <c r="J75" s="891"/>
    </row>
    <row r="76" spans="10:10">
      <c r="J76" s="891"/>
    </row>
    <row r="77" spans="10:10">
      <c r="J77" s="891"/>
    </row>
    <row r="78" spans="10:10">
      <c r="J78" s="891"/>
    </row>
    <row r="79" spans="10:10">
      <c r="J79" s="891"/>
    </row>
    <row r="80" spans="10:10">
      <c r="J80" s="891"/>
    </row>
    <row r="81" spans="10:10">
      <c r="J81" s="891"/>
    </row>
    <row r="82" spans="10:10">
      <c r="J82" s="891"/>
    </row>
    <row r="83" spans="10:10">
      <c r="J83" s="891"/>
    </row>
    <row r="84" spans="10:10">
      <c r="J84" s="891"/>
    </row>
    <row r="85" spans="10:10">
      <c r="J85" s="891"/>
    </row>
    <row r="86" spans="10:10">
      <c r="J86" s="891"/>
    </row>
    <row r="87" spans="10:10">
      <c r="J87" s="891"/>
    </row>
    <row r="88" spans="10:10">
      <c r="J88" s="891"/>
    </row>
    <row r="89" spans="10:10">
      <c r="J89" s="891"/>
    </row>
    <row r="90" spans="10:10">
      <c r="J90" s="891"/>
    </row>
    <row r="91" spans="10:10">
      <c r="J91" s="891"/>
    </row>
  </sheetData>
  <mergeCells count="2">
    <mergeCell ref="A5:E5"/>
    <mergeCell ref="A6:E6"/>
  </mergeCells>
  <pageMargins left="0.7" right="0.7" top="0.75" bottom="0.75" header="0.3" footer="0.3"/>
  <pageSetup scale="64" orientation="portrait" r:id="rId1"/>
  <customProperties>
    <customPr name="_pios_id" r:id="rId2"/>
  </customPropertie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545C64-B5B6-4D0A-BF13-E787DF4EE795}">
  <sheetPr>
    <tabColor theme="9" tint="0.79998168889431442"/>
  </sheetPr>
  <dimension ref="A1:AD135"/>
  <sheetViews>
    <sheetView zoomScaleNormal="100" zoomScaleSheetLayoutView="100" workbookViewId="0">
      <selection activeCell="K12" sqref="K12"/>
    </sheetView>
  </sheetViews>
  <sheetFormatPr defaultRowHeight="15"/>
  <cols>
    <col min="1" max="1" width="5.81640625" customWidth="1"/>
    <col min="4" max="4" width="10.81640625" customWidth="1"/>
    <col min="5" max="5" width="10.54296875" customWidth="1"/>
    <col min="10" max="10" width="10.1796875" customWidth="1"/>
    <col min="11" max="11" width="10.453125" customWidth="1"/>
    <col min="12" max="12" width="9.81640625" customWidth="1"/>
    <col min="20" max="20" width="9.81640625" customWidth="1"/>
    <col min="23" max="23" width="10.54296875" customWidth="1"/>
    <col min="25" max="25" width="10.81640625" customWidth="1"/>
  </cols>
  <sheetData>
    <row r="1" spans="1:30" ht="15.6">
      <c r="A1" s="892" t="s">
        <v>0</v>
      </c>
      <c r="B1" s="893"/>
      <c r="C1" s="893"/>
      <c r="D1" s="893"/>
      <c r="E1" s="893"/>
      <c r="F1" s="893"/>
      <c r="G1" s="893"/>
      <c r="H1" s="893"/>
      <c r="I1" s="893"/>
      <c r="J1" s="893"/>
      <c r="K1" s="893"/>
      <c r="L1" s="893"/>
      <c r="M1" s="893"/>
      <c r="N1" s="893"/>
      <c r="O1" s="893"/>
      <c r="P1" s="893"/>
      <c r="Q1" s="893"/>
      <c r="R1" s="893"/>
      <c r="S1" s="893"/>
      <c r="T1" s="893"/>
      <c r="U1" s="893"/>
      <c r="V1" s="893"/>
      <c r="W1" s="893"/>
      <c r="X1" s="893"/>
      <c r="Y1" s="893"/>
      <c r="Z1" s="893"/>
      <c r="AA1" s="893"/>
      <c r="AB1" s="893"/>
      <c r="AC1" s="893"/>
      <c r="AD1" s="893"/>
    </row>
    <row r="2" spans="1:30" ht="15.6">
      <c r="A2" s="1287" t="s">
        <v>869</v>
      </c>
      <c r="B2" s="1287"/>
      <c r="C2" s="1287"/>
      <c r="D2" s="1287"/>
      <c r="E2" s="1287"/>
      <c r="F2" s="1287"/>
      <c r="G2" s="1287"/>
      <c r="H2" s="1287"/>
      <c r="I2" s="1287"/>
      <c r="J2" s="1287"/>
      <c r="K2" s="1287"/>
      <c r="L2" s="1287"/>
      <c r="M2" s="1287"/>
      <c r="N2" s="1287"/>
      <c r="O2" s="1287"/>
      <c r="P2" s="1287"/>
      <c r="Q2" s="1287"/>
      <c r="R2" s="1287"/>
      <c r="S2" s="1287"/>
      <c r="T2" s="1287"/>
      <c r="U2" s="1287"/>
      <c r="V2" s="1287"/>
      <c r="W2" s="1287"/>
      <c r="X2" s="1287"/>
      <c r="Y2" s="1287"/>
      <c r="Z2" s="1287"/>
      <c r="AA2" s="1287"/>
      <c r="AB2" s="1287"/>
      <c r="AC2" s="893"/>
      <c r="AD2" s="893"/>
    </row>
    <row r="3" spans="1:30" ht="15.6">
      <c r="A3" s="1288" t="str">
        <f>+'1 - Revenue Credits'!A2:D2</f>
        <v>NextEra Energy Transmission New York, Inc.</v>
      </c>
      <c r="B3" s="1288"/>
      <c r="C3" s="1288"/>
      <c r="D3" s="1288"/>
      <c r="E3" s="1288"/>
      <c r="F3" s="1288"/>
      <c r="G3" s="1288"/>
      <c r="H3" s="1288"/>
      <c r="I3" s="1288"/>
      <c r="J3" s="1288"/>
      <c r="K3" s="1288"/>
      <c r="L3" s="1288"/>
      <c r="M3" s="1288"/>
      <c r="N3" s="1288"/>
      <c r="O3" s="1288"/>
      <c r="P3" s="1288"/>
      <c r="Q3" s="1288"/>
      <c r="R3" s="1288"/>
      <c r="S3" s="1288"/>
      <c r="T3" s="1288"/>
      <c r="U3" s="1288"/>
      <c r="V3" s="1288"/>
      <c r="W3" s="1288"/>
      <c r="X3" s="1288"/>
      <c r="Y3" s="1288"/>
      <c r="Z3" s="1288"/>
      <c r="AA3" s="1288"/>
      <c r="AB3" s="1288"/>
      <c r="AC3" s="893"/>
      <c r="AD3" s="893"/>
    </row>
    <row r="4" spans="1:30" ht="15.6">
      <c r="A4" s="892"/>
      <c r="B4" s="892"/>
      <c r="C4" s="892"/>
      <c r="D4" s="892"/>
      <c r="E4" s="892"/>
      <c r="F4" s="892"/>
      <c r="G4" s="892"/>
      <c r="H4" s="892"/>
      <c r="I4" s="892"/>
      <c r="J4" s="892"/>
      <c r="K4" s="892"/>
      <c r="L4" s="892"/>
      <c r="M4" s="892"/>
      <c r="N4" s="892"/>
      <c r="O4" s="892"/>
      <c r="P4" s="892"/>
      <c r="Q4" s="892"/>
      <c r="R4" s="892"/>
      <c r="S4" s="892"/>
      <c r="T4" s="892"/>
      <c r="U4" s="892"/>
      <c r="V4" s="892"/>
      <c r="W4" s="892"/>
      <c r="X4" s="892"/>
      <c r="Y4" s="892"/>
      <c r="Z4" s="892"/>
      <c r="AA4" s="892"/>
      <c r="AB4" s="892"/>
      <c r="AC4" s="893"/>
      <c r="AD4" s="893"/>
    </row>
    <row r="5" spans="1:30" ht="15.6">
      <c r="A5" s="893"/>
      <c r="B5" s="892"/>
      <c r="C5" s="892"/>
      <c r="D5" s="892"/>
      <c r="E5" s="892"/>
      <c r="F5" s="892"/>
      <c r="G5" s="892"/>
      <c r="H5" s="892"/>
      <c r="I5" s="892"/>
      <c r="J5" s="892"/>
      <c r="K5" s="892"/>
      <c r="L5" s="892"/>
      <c r="M5" s="892"/>
      <c r="N5" s="892"/>
      <c r="O5" s="892"/>
      <c r="P5" s="892"/>
      <c r="Q5" s="892"/>
      <c r="R5" s="892"/>
      <c r="S5" s="892"/>
      <c r="T5" s="892"/>
      <c r="U5" s="892"/>
      <c r="V5" s="892"/>
      <c r="W5" s="892"/>
      <c r="X5" s="892"/>
      <c r="Y5" s="892"/>
      <c r="Z5" s="892"/>
      <c r="AA5" s="892"/>
      <c r="AB5" s="892"/>
      <c r="AC5" s="893"/>
      <c r="AD5" s="893"/>
    </row>
    <row r="6" spans="1:30" ht="15.6">
      <c r="A6" s="894" t="s">
        <v>870</v>
      </c>
      <c r="B6" s="892"/>
      <c r="C6" s="892"/>
      <c r="D6" s="892"/>
      <c r="E6" s="892"/>
      <c r="F6" s="892"/>
      <c r="G6" s="892"/>
      <c r="H6" s="892"/>
      <c r="I6" s="892"/>
      <c r="J6" s="892"/>
      <c r="K6" s="892"/>
      <c r="L6" s="892"/>
      <c r="M6" s="892"/>
      <c r="N6" s="892"/>
      <c r="O6" s="892"/>
      <c r="P6" s="892"/>
      <c r="Q6" s="892"/>
      <c r="R6" s="892"/>
      <c r="S6" s="892"/>
      <c r="T6" s="892"/>
      <c r="U6" s="892"/>
      <c r="V6" s="892"/>
      <c r="W6" s="892"/>
      <c r="X6" s="892"/>
      <c r="Y6" s="892"/>
      <c r="Z6" s="892"/>
      <c r="AA6" s="892"/>
      <c r="AB6" s="892"/>
      <c r="AC6" s="893"/>
      <c r="AD6" s="893"/>
    </row>
    <row r="7" spans="1:30" ht="15.6">
      <c r="A7" s="892"/>
      <c r="B7" s="895" t="s">
        <v>175</v>
      </c>
      <c r="C7" s="895" t="s">
        <v>176</v>
      </c>
      <c r="D7" s="896" t="s">
        <v>177</v>
      </c>
      <c r="E7" s="895" t="s">
        <v>380</v>
      </c>
      <c r="F7" s="896" t="s">
        <v>381</v>
      </c>
      <c r="G7" s="895" t="s">
        <v>382</v>
      </c>
      <c r="H7" s="896" t="s">
        <v>383</v>
      </c>
      <c r="I7" s="895" t="s">
        <v>384</v>
      </c>
      <c r="J7" s="896" t="s">
        <v>576</v>
      </c>
      <c r="K7" s="895" t="s">
        <v>577</v>
      </c>
      <c r="L7" s="896" t="s">
        <v>578</v>
      </c>
      <c r="M7" s="895" t="s">
        <v>579</v>
      </c>
      <c r="N7" s="896" t="s">
        <v>580</v>
      </c>
      <c r="O7" s="895" t="s">
        <v>581</v>
      </c>
      <c r="P7" s="896" t="s">
        <v>582</v>
      </c>
      <c r="Q7" s="895" t="s">
        <v>583</v>
      </c>
      <c r="R7" s="895" t="s">
        <v>584</v>
      </c>
      <c r="S7" s="896" t="s">
        <v>871</v>
      </c>
      <c r="T7" s="896" t="s">
        <v>872</v>
      </c>
      <c r="U7" s="896" t="s">
        <v>873</v>
      </c>
      <c r="V7" s="896" t="s">
        <v>874</v>
      </c>
      <c r="W7" s="896" t="s">
        <v>875</v>
      </c>
      <c r="X7" s="896" t="s">
        <v>876</v>
      </c>
      <c r="Y7" s="896" t="s">
        <v>877</v>
      </c>
      <c r="Z7" s="896" t="s">
        <v>878</v>
      </c>
      <c r="AA7" s="896" t="s">
        <v>879</v>
      </c>
      <c r="AB7" s="896" t="s">
        <v>880</v>
      </c>
      <c r="AC7" s="893"/>
      <c r="AD7" s="893"/>
    </row>
    <row r="8" spans="1:30" ht="15.6">
      <c r="A8" s="892"/>
      <c r="B8" s="893"/>
      <c r="C8" s="893"/>
      <c r="D8" s="893"/>
      <c r="E8" s="893"/>
      <c r="F8" s="893"/>
      <c r="G8" s="893"/>
      <c r="H8" s="893"/>
      <c r="I8" s="893"/>
      <c r="J8" s="897" t="s">
        <v>881</v>
      </c>
      <c r="K8" s="898" t="s">
        <v>882</v>
      </c>
      <c r="L8" s="898" t="s">
        <v>883</v>
      </c>
      <c r="M8" s="898" t="s">
        <v>884</v>
      </c>
      <c r="N8" s="898" t="s">
        <v>885</v>
      </c>
      <c r="O8" s="898" t="s">
        <v>886</v>
      </c>
      <c r="P8" s="898" t="s">
        <v>887</v>
      </c>
      <c r="Q8" s="898" t="s">
        <v>888</v>
      </c>
      <c r="R8" s="898" t="s">
        <v>889</v>
      </c>
      <c r="S8" s="898" t="s">
        <v>890</v>
      </c>
      <c r="T8" s="898" t="s">
        <v>891</v>
      </c>
      <c r="U8" s="898" t="s">
        <v>892</v>
      </c>
      <c r="V8" s="898" t="s">
        <v>881</v>
      </c>
      <c r="W8" s="893"/>
      <c r="X8" s="893"/>
      <c r="Y8" s="893"/>
      <c r="Z8" s="893"/>
      <c r="AA8" s="893"/>
      <c r="AB8" s="893"/>
      <c r="AC8" s="893"/>
      <c r="AD8" s="893"/>
    </row>
    <row r="9" spans="1:30" ht="73.5" customHeight="1">
      <c r="A9" s="899" t="s">
        <v>32</v>
      </c>
      <c r="B9" s="900" t="s">
        <v>651</v>
      </c>
      <c r="C9" s="901" t="s">
        <v>893</v>
      </c>
      <c r="D9" s="901" t="s">
        <v>894</v>
      </c>
      <c r="E9" s="901" t="s">
        <v>895</v>
      </c>
      <c r="F9" s="901" t="s">
        <v>896</v>
      </c>
      <c r="G9" s="902" t="s">
        <v>897</v>
      </c>
      <c r="H9" s="902" t="s">
        <v>898</v>
      </c>
      <c r="I9" s="902" t="s">
        <v>899</v>
      </c>
      <c r="J9" s="903" t="s">
        <v>900</v>
      </c>
      <c r="K9" s="904" t="s">
        <v>901</v>
      </c>
      <c r="L9" s="904" t="s">
        <v>901</v>
      </c>
      <c r="M9" s="904" t="s">
        <v>901</v>
      </c>
      <c r="N9" s="904" t="s">
        <v>901</v>
      </c>
      <c r="O9" s="904" t="s">
        <v>901</v>
      </c>
      <c r="P9" s="904" t="s">
        <v>901</v>
      </c>
      <c r="Q9" s="904" t="s">
        <v>901</v>
      </c>
      <c r="R9" s="904" t="s">
        <v>901</v>
      </c>
      <c r="S9" s="904" t="s">
        <v>901</v>
      </c>
      <c r="T9" s="904" t="s">
        <v>901</v>
      </c>
      <c r="U9" s="904" t="s">
        <v>901</v>
      </c>
      <c r="V9" s="904" t="s">
        <v>901</v>
      </c>
      <c r="W9" s="902" t="s">
        <v>902</v>
      </c>
      <c r="X9" s="902" t="s">
        <v>903</v>
      </c>
      <c r="Y9" s="902" t="s">
        <v>904</v>
      </c>
      <c r="Z9" s="902" t="s">
        <v>905</v>
      </c>
      <c r="AA9" s="902" t="s">
        <v>906</v>
      </c>
      <c r="AB9" s="905" t="s">
        <v>907</v>
      </c>
      <c r="AC9" s="893"/>
      <c r="AD9" s="893"/>
    </row>
    <row r="10" spans="1:30" ht="15.6">
      <c r="A10" s="906" t="s">
        <v>278</v>
      </c>
      <c r="B10" s="907"/>
      <c r="C10" s="908"/>
      <c r="D10" s="909"/>
      <c r="E10" s="910">
        <f>IF(D10=0,0,C10/D10)</f>
        <v>0</v>
      </c>
      <c r="F10" s="909"/>
      <c r="G10" s="910">
        <f>+E10*F10</f>
        <v>0</v>
      </c>
      <c r="H10" s="911"/>
      <c r="I10" s="910">
        <f>+G10*H10</f>
        <v>0</v>
      </c>
      <c r="J10" s="908"/>
      <c r="K10" s="908"/>
      <c r="L10" s="908"/>
      <c r="M10" s="908"/>
      <c r="N10" s="908"/>
      <c r="O10" s="908"/>
      <c r="P10" s="908"/>
      <c r="Q10" s="908"/>
      <c r="R10" s="908"/>
      <c r="S10" s="908"/>
      <c r="T10" s="908"/>
      <c r="U10" s="908"/>
      <c r="V10" s="908"/>
      <c r="W10" s="912">
        <f>SUM(J10:V10)/13</f>
        <v>0</v>
      </c>
      <c r="X10" s="913"/>
      <c r="Y10" s="914">
        <f>+H10</f>
        <v>0</v>
      </c>
      <c r="Z10" s="915">
        <f>+W10*X10*Y10</f>
        <v>0</v>
      </c>
      <c r="AA10" s="909"/>
      <c r="AB10" s="916"/>
      <c r="AC10" s="893"/>
      <c r="AD10" s="893"/>
    </row>
    <row r="11" spans="1:30" ht="15.6">
      <c r="A11" s="906" t="s">
        <v>908</v>
      </c>
      <c r="B11" s="917"/>
      <c r="C11" s="918"/>
      <c r="D11" s="918"/>
      <c r="E11" s="919">
        <f t="shared" ref="E11:E20" si="0">IF(D11=0,0,C11/D11)</f>
        <v>0</v>
      </c>
      <c r="F11" s="918"/>
      <c r="G11" s="919">
        <f t="shared" ref="G11:G20" si="1">+E11*F11</f>
        <v>0</v>
      </c>
      <c r="H11" s="918"/>
      <c r="I11" s="919">
        <f t="shared" ref="I11:I20" si="2">+G11*H11</f>
        <v>0</v>
      </c>
      <c r="J11" s="918"/>
      <c r="K11" s="918"/>
      <c r="L11" s="918"/>
      <c r="M11" s="918"/>
      <c r="N11" s="918"/>
      <c r="O11" s="918"/>
      <c r="P11" s="918"/>
      <c r="Q11" s="918"/>
      <c r="R11" s="918"/>
      <c r="S11" s="918"/>
      <c r="T11" s="918"/>
      <c r="U11" s="918"/>
      <c r="V11" s="918"/>
      <c r="W11" s="920">
        <f t="shared" ref="W11:W20" si="3">SUM(J11:V11)/13</f>
        <v>0</v>
      </c>
      <c r="X11" s="921"/>
      <c r="Y11" s="920">
        <f t="shared" ref="Y11:Y20" si="4">+H11</f>
        <v>0</v>
      </c>
      <c r="Z11" s="922">
        <f t="shared" ref="Z11:Z19" si="5">+W11*X11*Y11</f>
        <v>0</v>
      </c>
      <c r="AA11" s="918"/>
      <c r="AB11" s="923"/>
      <c r="AC11" s="893"/>
      <c r="AD11" s="893"/>
    </row>
    <row r="12" spans="1:30" ht="15.6">
      <c r="A12" s="906" t="s">
        <v>909</v>
      </c>
      <c r="B12" s="917"/>
      <c r="C12" s="918"/>
      <c r="D12" s="918"/>
      <c r="E12" s="919">
        <f t="shared" si="0"/>
        <v>0</v>
      </c>
      <c r="F12" s="918"/>
      <c r="G12" s="919">
        <f t="shared" si="1"/>
        <v>0</v>
      </c>
      <c r="H12" s="918"/>
      <c r="I12" s="919">
        <f t="shared" si="2"/>
        <v>0</v>
      </c>
      <c r="J12" s="918"/>
      <c r="K12" s="918"/>
      <c r="L12" s="918"/>
      <c r="M12" s="918"/>
      <c r="N12" s="918"/>
      <c r="O12" s="918"/>
      <c r="P12" s="918"/>
      <c r="Q12" s="918"/>
      <c r="R12" s="918"/>
      <c r="S12" s="918"/>
      <c r="T12" s="918"/>
      <c r="U12" s="918"/>
      <c r="V12" s="918"/>
      <c r="W12" s="920">
        <f t="shared" si="3"/>
        <v>0</v>
      </c>
      <c r="X12" s="921"/>
      <c r="Y12" s="920">
        <f t="shared" si="4"/>
        <v>0</v>
      </c>
      <c r="Z12" s="922">
        <f t="shared" si="5"/>
        <v>0</v>
      </c>
      <c r="AA12" s="918"/>
      <c r="AB12" s="923"/>
      <c r="AC12" s="893"/>
      <c r="AD12" s="893"/>
    </row>
    <row r="13" spans="1:30" ht="15.6">
      <c r="A13" s="906"/>
      <c r="B13" s="917"/>
      <c r="C13" s="918"/>
      <c r="D13" s="918"/>
      <c r="E13" s="919">
        <f t="shared" si="0"/>
        <v>0</v>
      </c>
      <c r="F13" s="918"/>
      <c r="G13" s="919">
        <f t="shared" si="1"/>
        <v>0</v>
      </c>
      <c r="H13" s="918"/>
      <c r="I13" s="919">
        <f t="shared" si="2"/>
        <v>0</v>
      </c>
      <c r="J13" s="918"/>
      <c r="K13" s="918"/>
      <c r="L13" s="918"/>
      <c r="M13" s="918"/>
      <c r="N13" s="918"/>
      <c r="O13" s="918"/>
      <c r="P13" s="918"/>
      <c r="Q13" s="918"/>
      <c r="R13" s="918"/>
      <c r="S13" s="918"/>
      <c r="T13" s="918"/>
      <c r="U13" s="918"/>
      <c r="V13" s="918"/>
      <c r="W13" s="920">
        <f t="shared" si="3"/>
        <v>0</v>
      </c>
      <c r="X13" s="921"/>
      <c r="Y13" s="920">
        <f t="shared" si="4"/>
        <v>0</v>
      </c>
      <c r="Z13" s="922">
        <f t="shared" si="5"/>
        <v>0</v>
      </c>
      <c r="AA13" s="918"/>
      <c r="AB13" s="923"/>
      <c r="AC13" s="893"/>
      <c r="AD13" s="893"/>
    </row>
    <row r="14" spans="1:30" ht="15.6">
      <c r="A14" s="906" t="s">
        <v>279</v>
      </c>
      <c r="B14" s="917"/>
      <c r="C14" s="918"/>
      <c r="D14" s="918"/>
      <c r="E14" s="919">
        <f t="shared" si="0"/>
        <v>0</v>
      </c>
      <c r="F14" s="918"/>
      <c r="G14" s="919">
        <f t="shared" si="1"/>
        <v>0</v>
      </c>
      <c r="H14" s="918"/>
      <c r="I14" s="919">
        <f t="shared" si="2"/>
        <v>0</v>
      </c>
      <c r="J14" s="918"/>
      <c r="K14" s="918"/>
      <c r="L14" s="918"/>
      <c r="M14" s="918"/>
      <c r="N14" s="918"/>
      <c r="O14" s="918"/>
      <c r="P14" s="918"/>
      <c r="Q14" s="918"/>
      <c r="R14" s="918"/>
      <c r="S14" s="918"/>
      <c r="T14" s="918"/>
      <c r="U14" s="918"/>
      <c r="V14" s="918"/>
      <c r="W14" s="920">
        <f t="shared" si="3"/>
        <v>0</v>
      </c>
      <c r="X14" s="921"/>
      <c r="Y14" s="920">
        <f t="shared" si="4"/>
        <v>0</v>
      </c>
      <c r="Z14" s="922">
        <f t="shared" si="5"/>
        <v>0</v>
      </c>
      <c r="AA14" s="918"/>
      <c r="AB14" s="923"/>
      <c r="AC14" s="893"/>
      <c r="AD14" s="893"/>
    </row>
    <row r="15" spans="1:30" ht="15.6">
      <c r="A15" s="906"/>
      <c r="B15" s="917"/>
      <c r="C15" s="918"/>
      <c r="D15" s="918"/>
      <c r="E15" s="919">
        <f t="shared" si="0"/>
        <v>0</v>
      </c>
      <c r="F15" s="918"/>
      <c r="G15" s="919">
        <f t="shared" si="1"/>
        <v>0</v>
      </c>
      <c r="H15" s="918"/>
      <c r="I15" s="919">
        <f t="shared" si="2"/>
        <v>0</v>
      </c>
      <c r="J15" s="918"/>
      <c r="K15" s="918"/>
      <c r="L15" s="918"/>
      <c r="M15" s="918"/>
      <c r="N15" s="918"/>
      <c r="O15" s="918"/>
      <c r="P15" s="918"/>
      <c r="Q15" s="918"/>
      <c r="R15" s="918"/>
      <c r="S15" s="918"/>
      <c r="T15" s="918"/>
      <c r="U15" s="918"/>
      <c r="V15" s="918"/>
      <c r="W15" s="920">
        <f t="shared" si="3"/>
        <v>0</v>
      </c>
      <c r="X15" s="921"/>
      <c r="Y15" s="920">
        <f t="shared" si="4"/>
        <v>0</v>
      </c>
      <c r="Z15" s="922">
        <f t="shared" si="5"/>
        <v>0</v>
      </c>
      <c r="AA15" s="918"/>
      <c r="AB15" s="923"/>
      <c r="AC15" s="893"/>
      <c r="AD15" s="893"/>
    </row>
    <row r="16" spans="1:30" ht="15.6">
      <c r="A16" s="906" t="s">
        <v>279</v>
      </c>
      <c r="B16" s="917"/>
      <c r="C16" s="918"/>
      <c r="D16" s="918"/>
      <c r="E16" s="919">
        <f t="shared" si="0"/>
        <v>0</v>
      </c>
      <c r="F16" s="918"/>
      <c r="G16" s="919">
        <f t="shared" si="1"/>
        <v>0</v>
      </c>
      <c r="H16" s="918"/>
      <c r="I16" s="919">
        <f t="shared" si="2"/>
        <v>0</v>
      </c>
      <c r="J16" s="918"/>
      <c r="K16" s="918"/>
      <c r="L16" s="918"/>
      <c r="M16" s="918"/>
      <c r="N16" s="918"/>
      <c r="O16" s="918"/>
      <c r="P16" s="918"/>
      <c r="Q16" s="918"/>
      <c r="R16" s="918"/>
      <c r="S16" s="918"/>
      <c r="T16" s="918"/>
      <c r="U16" s="918"/>
      <c r="V16" s="918"/>
      <c r="W16" s="920">
        <f t="shared" si="3"/>
        <v>0</v>
      </c>
      <c r="X16" s="921"/>
      <c r="Y16" s="920">
        <f t="shared" si="4"/>
        <v>0</v>
      </c>
      <c r="Z16" s="922">
        <f t="shared" si="5"/>
        <v>0</v>
      </c>
      <c r="AA16" s="918"/>
      <c r="AB16" s="923"/>
      <c r="AC16" s="893"/>
      <c r="AD16" s="893"/>
    </row>
    <row r="17" spans="1:30" ht="15.6">
      <c r="A17" s="906"/>
      <c r="B17" s="917"/>
      <c r="C17" s="918"/>
      <c r="D17" s="918"/>
      <c r="E17" s="919">
        <f t="shared" si="0"/>
        <v>0</v>
      </c>
      <c r="F17" s="918"/>
      <c r="G17" s="919">
        <f t="shared" si="1"/>
        <v>0</v>
      </c>
      <c r="H17" s="918"/>
      <c r="I17" s="919">
        <f t="shared" si="2"/>
        <v>0</v>
      </c>
      <c r="J17" s="918"/>
      <c r="K17" s="918"/>
      <c r="L17" s="918"/>
      <c r="M17" s="918"/>
      <c r="N17" s="918"/>
      <c r="O17" s="918"/>
      <c r="P17" s="918"/>
      <c r="Q17" s="918"/>
      <c r="R17" s="918"/>
      <c r="S17" s="918"/>
      <c r="T17" s="918"/>
      <c r="U17" s="918"/>
      <c r="V17" s="918"/>
      <c r="W17" s="920">
        <f t="shared" si="3"/>
        <v>0</v>
      </c>
      <c r="X17" s="921"/>
      <c r="Y17" s="920">
        <f t="shared" si="4"/>
        <v>0</v>
      </c>
      <c r="Z17" s="922">
        <f t="shared" si="5"/>
        <v>0</v>
      </c>
      <c r="AA17" s="918"/>
      <c r="AB17" s="923"/>
      <c r="AC17" s="893"/>
      <c r="AD17" s="893"/>
    </row>
    <row r="18" spans="1:30" ht="15.6">
      <c r="A18" s="906" t="s">
        <v>279</v>
      </c>
      <c r="B18" s="917"/>
      <c r="C18" s="918"/>
      <c r="D18" s="918"/>
      <c r="E18" s="919">
        <f t="shared" si="0"/>
        <v>0</v>
      </c>
      <c r="F18" s="918"/>
      <c r="G18" s="919">
        <f t="shared" si="1"/>
        <v>0</v>
      </c>
      <c r="H18" s="918"/>
      <c r="I18" s="919">
        <f t="shared" si="2"/>
        <v>0</v>
      </c>
      <c r="J18" s="918"/>
      <c r="K18" s="918"/>
      <c r="L18" s="918"/>
      <c r="M18" s="918"/>
      <c r="N18" s="918"/>
      <c r="O18" s="918"/>
      <c r="P18" s="918"/>
      <c r="Q18" s="918"/>
      <c r="R18" s="918"/>
      <c r="S18" s="918"/>
      <c r="T18" s="918"/>
      <c r="U18" s="918"/>
      <c r="V18" s="918"/>
      <c r="W18" s="920">
        <f t="shared" si="3"/>
        <v>0</v>
      </c>
      <c r="X18" s="921"/>
      <c r="Y18" s="920">
        <f t="shared" si="4"/>
        <v>0</v>
      </c>
      <c r="Z18" s="922">
        <f t="shared" si="5"/>
        <v>0</v>
      </c>
      <c r="AA18" s="918"/>
      <c r="AB18" s="923"/>
      <c r="AC18" s="893"/>
      <c r="AD18" s="893"/>
    </row>
    <row r="19" spans="1:30" ht="15.6">
      <c r="A19" s="906"/>
      <c r="B19" s="917"/>
      <c r="C19" s="918"/>
      <c r="D19" s="918"/>
      <c r="E19" s="919">
        <f t="shared" si="0"/>
        <v>0</v>
      </c>
      <c r="F19" s="918"/>
      <c r="G19" s="919">
        <f t="shared" si="1"/>
        <v>0</v>
      </c>
      <c r="H19" s="918"/>
      <c r="I19" s="919">
        <f t="shared" si="2"/>
        <v>0</v>
      </c>
      <c r="J19" s="918"/>
      <c r="K19" s="918"/>
      <c r="L19" s="918"/>
      <c r="M19" s="918"/>
      <c r="N19" s="918"/>
      <c r="O19" s="918"/>
      <c r="P19" s="918"/>
      <c r="Q19" s="918"/>
      <c r="R19" s="918"/>
      <c r="S19" s="918"/>
      <c r="T19" s="918"/>
      <c r="U19" s="918"/>
      <c r="V19" s="918"/>
      <c r="W19" s="920">
        <f t="shared" si="3"/>
        <v>0</v>
      </c>
      <c r="X19" s="921"/>
      <c r="Y19" s="920">
        <f t="shared" si="4"/>
        <v>0</v>
      </c>
      <c r="Z19" s="922">
        <f t="shared" si="5"/>
        <v>0</v>
      </c>
      <c r="AA19" s="918"/>
      <c r="AB19" s="923"/>
      <c r="AC19" s="893"/>
      <c r="AD19" s="893"/>
    </row>
    <row r="20" spans="1:30" ht="15.6">
      <c r="A20" s="906" t="s">
        <v>280</v>
      </c>
      <c r="B20" s="924"/>
      <c r="C20" s="925"/>
      <c r="D20" s="925"/>
      <c r="E20" s="926">
        <f t="shared" si="0"/>
        <v>0</v>
      </c>
      <c r="F20" s="925"/>
      <c r="G20" s="926">
        <f t="shared" si="1"/>
        <v>0</v>
      </c>
      <c r="H20" s="925"/>
      <c r="I20" s="926">
        <f t="shared" si="2"/>
        <v>0</v>
      </c>
      <c r="J20" s="925"/>
      <c r="K20" s="925"/>
      <c r="L20" s="925"/>
      <c r="M20" s="925"/>
      <c r="N20" s="925"/>
      <c r="O20" s="925"/>
      <c r="P20" s="925"/>
      <c r="Q20" s="925"/>
      <c r="R20" s="925"/>
      <c r="S20" s="925"/>
      <c r="T20" s="925"/>
      <c r="U20" s="925"/>
      <c r="V20" s="925"/>
      <c r="W20" s="927">
        <f t="shared" si="3"/>
        <v>0</v>
      </c>
      <c r="X20" s="928"/>
      <c r="Y20" s="927">
        <f t="shared" si="4"/>
        <v>0</v>
      </c>
      <c r="Z20" s="929">
        <f t="shared" ref="Z20" si="6">+W20+X20+Y20</f>
        <v>0</v>
      </c>
      <c r="AA20" s="928"/>
      <c r="AB20" s="930"/>
      <c r="AC20" s="893"/>
      <c r="AD20" s="893"/>
    </row>
    <row r="21" spans="1:30" ht="15.6">
      <c r="A21" s="931">
        <v>2</v>
      </c>
      <c r="B21" s="892" t="s">
        <v>910</v>
      </c>
      <c r="C21" s="892"/>
      <c r="D21" s="892"/>
      <c r="E21" s="892"/>
      <c r="F21" s="892"/>
      <c r="G21" s="892"/>
      <c r="H21" s="892"/>
      <c r="I21" s="932">
        <f>SUM(I10:I20)</f>
        <v>0</v>
      </c>
      <c r="J21" s="892"/>
      <c r="K21" s="892"/>
      <c r="L21" s="892"/>
      <c r="M21" s="892"/>
      <c r="N21" s="892"/>
      <c r="O21" s="892"/>
      <c r="P21" s="892"/>
      <c r="Q21" s="892"/>
      <c r="R21" s="892"/>
      <c r="S21" s="892"/>
      <c r="T21" s="892"/>
      <c r="U21" s="893"/>
      <c r="V21" s="892"/>
      <c r="W21" s="892"/>
      <c r="X21" s="892"/>
      <c r="Y21" s="895"/>
      <c r="Z21" s="933">
        <f>SUM(Z10:Z20)</f>
        <v>0</v>
      </c>
      <c r="AA21" s="895"/>
      <c r="AB21" s="895"/>
      <c r="AC21" s="893"/>
      <c r="AD21" s="893"/>
    </row>
    <row r="22" spans="1:30" ht="15.6">
      <c r="A22" s="892"/>
      <c r="B22" s="892"/>
      <c r="C22" s="892"/>
      <c r="D22" s="892"/>
      <c r="E22" s="892"/>
      <c r="F22" s="892"/>
      <c r="G22" s="892"/>
      <c r="H22" s="892"/>
      <c r="I22" s="892"/>
      <c r="J22" s="892"/>
      <c r="K22" s="892"/>
      <c r="L22" s="892"/>
      <c r="M22" s="892"/>
      <c r="N22" s="892"/>
      <c r="O22" s="892"/>
      <c r="P22" s="892"/>
      <c r="Q22" s="892"/>
      <c r="R22" s="892"/>
      <c r="S22" s="892"/>
      <c r="T22" s="892"/>
      <c r="U22" s="892"/>
      <c r="V22" s="892"/>
      <c r="W22" s="892"/>
      <c r="X22" s="892"/>
      <c r="Y22" s="892"/>
      <c r="Z22" s="892"/>
      <c r="AA22" s="892"/>
      <c r="AB22" s="892"/>
      <c r="AC22" s="893"/>
      <c r="AD22" s="893"/>
    </row>
    <row r="23" spans="1:30" ht="15.6">
      <c r="A23" s="892" t="s">
        <v>911</v>
      </c>
      <c r="B23" s="892"/>
      <c r="C23" s="892"/>
      <c r="D23" s="892"/>
      <c r="E23" s="892"/>
      <c r="F23" s="892"/>
      <c r="L23" s="893"/>
      <c r="M23" s="893"/>
      <c r="N23" s="893"/>
      <c r="O23" s="893"/>
      <c r="P23" s="893"/>
      <c r="Q23" s="893"/>
      <c r="R23" s="893"/>
      <c r="S23" s="893"/>
      <c r="T23" s="893"/>
      <c r="U23" s="893"/>
      <c r="V23" s="893"/>
      <c r="W23" s="892"/>
      <c r="X23" s="892"/>
      <c r="Y23" s="892"/>
      <c r="Z23" s="892"/>
      <c r="AA23" s="892"/>
      <c r="AB23" s="892"/>
      <c r="AC23" s="893"/>
      <c r="AD23" s="893"/>
    </row>
    <row r="24" spans="1:30" ht="15" customHeight="1">
      <c r="A24" s="266" t="s">
        <v>912</v>
      </c>
      <c r="B24" s="266"/>
      <c r="C24" s="266"/>
      <c r="D24" s="266"/>
      <c r="E24" s="934"/>
      <c r="F24" s="892"/>
      <c r="G24" s="892"/>
      <c r="H24" s="892"/>
      <c r="I24" s="892"/>
      <c r="J24" s="893"/>
      <c r="K24" s="893"/>
      <c r="L24" s="893"/>
      <c r="M24" s="893"/>
      <c r="N24" s="893"/>
      <c r="O24" s="893"/>
      <c r="P24" s="893"/>
      <c r="Q24" s="893"/>
      <c r="R24" s="893"/>
      <c r="S24" s="893"/>
      <c r="T24" s="893"/>
      <c r="U24" s="893"/>
      <c r="V24" s="893"/>
      <c r="W24" s="892"/>
      <c r="X24" s="892"/>
      <c r="Y24" s="892"/>
      <c r="Z24" s="892"/>
      <c r="AA24" s="892"/>
      <c r="AB24" s="892"/>
      <c r="AC24" s="893"/>
      <c r="AD24" s="893"/>
    </row>
    <row r="25" spans="1:30" ht="15.6">
      <c r="A25" s="893"/>
      <c r="B25" s="893"/>
      <c r="C25" s="893"/>
      <c r="D25" s="893"/>
      <c r="E25" s="893"/>
      <c r="F25" s="893"/>
      <c r="G25" s="893"/>
      <c r="H25" s="893"/>
      <c r="I25" s="893"/>
      <c r="J25" s="893"/>
      <c r="K25" s="893"/>
      <c r="L25" s="893"/>
      <c r="M25" s="893"/>
      <c r="N25" s="893"/>
      <c r="O25" s="893"/>
      <c r="P25" s="893"/>
      <c r="Q25" s="893"/>
      <c r="R25" s="893"/>
      <c r="S25" s="893"/>
      <c r="T25" s="893"/>
      <c r="U25" s="893"/>
      <c r="V25" s="893"/>
      <c r="W25" s="893"/>
      <c r="X25" s="893"/>
      <c r="Y25" s="893"/>
      <c r="Z25" s="893"/>
      <c r="AA25" s="893"/>
      <c r="AB25" s="893"/>
      <c r="AC25" s="893"/>
      <c r="AD25" s="893"/>
    </row>
    <row r="26" spans="1:30" ht="15.6">
      <c r="A26" s="894" t="s">
        <v>913</v>
      </c>
      <c r="B26" s="892"/>
      <c r="C26" s="892"/>
      <c r="D26" s="892"/>
      <c r="E26" s="892"/>
      <c r="F26" s="892"/>
      <c r="G26" s="892"/>
      <c r="H26" s="892"/>
      <c r="I26" s="892"/>
      <c r="J26" s="892"/>
      <c r="K26" s="892"/>
      <c r="L26" s="892"/>
      <c r="M26" s="892"/>
      <c r="N26" s="892"/>
      <c r="O26" s="892"/>
      <c r="P26" s="892"/>
      <c r="Q26" s="892"/>
      <c r="R26" s="892"/>
      <c r="S26" s="892"/>
      <c r="T26" s="892"/>
      <c r="U26" s="892"/>
      <c r="V26" s="892"/>
      <c r="W26" s="892"/>
      <c r="X26" s="892"/>
      <c r="Y26" s="892"/>
      <c r="Z26" s="892"/>
      <c r="AA26" s="892"/>
      <c r="AB26" s="892"/>
      <c r="AC26" s="893"/>
      <c r="AD26" s="893"/>
    </row>
    <row r="27" spans="1:30" ht="15.6">
      <c r="A27" s="892"/>
      <c r="B27" s="895" t="s">
        <v>175</v>
      </c>
      <c r="C27" s="895" t="s">
        <v>176</v>
      </c>
      <c r="D27" s="896" t="s">
        <v>177</v>
      </c>
      <c r="E27" s="895" t="s">
        <v>380</v>
      </c>
      <c r="F27" s="896" t="s">
        <v>381</v>
      </c>
      <c r="G27" s="895" t="s">
        <v>382</v>
      </c>
      <c r="H27" s="896" t="s">
        <v>383</v>
      </c>
      <c r="I27" s="895" t="s">
        <v>384</v>
      </c>
      <c r="J27" s="896" t="s">
        <v>576</v>
      </c>
      <c r="K27" s="895" t="s">
        <v>577</v>
      </c>
      <c r="L27" s="896" t="s">
        <v>578</v>
      </c>
      <c r="M27" s="895" t="s">
        <v>579</v>
      </c>
      <c r="N27" s="896" t="s">
        <v>580</v>
      </c>
      <c r="O27" s="895" t="s">
        <v>581</v>
      </c>
      <c r="P27" s="896" t="s">
        <v>582</v>
      </c>
      <c r="Q27" s="895" t="s">
        <v>583</v>
      </c>
      <c r="R27" s="895" t="s">
        <v>584</v>
      </c>
      <c r="S27" s="896" t="s">
        <v>871</v>
      </c>
      <c r="T27" s="896" t="s">
        <v>872</v>
      </c>
      <c r="U27" s="896" t="s">
        <v>873</v>
      </c>
      <c r="V27" s="896" t="s">
        <v>874</v>
      </c>
      <c r="W27" s="896" t="s">
        <v>875</v>
      </c>
      <c r="X27" s="896" t="s">
        <v>876</v>
      </c>
      <c r="Y27" s="896" t="s">
        <v>877</v>
      </c>
      <c r="Z27" s="896" t="s">
        <v>878</v>
      </c>
      <c r="AA27" s="896" t="s">
        <v>879</v>
      </c>
      <c r="AB27" s="896" t="s">
        <v>880</v>
      </c>
      <c r="AC27" s="893"/>
      <c r="AD27" s="893"/>
    </row>
    <row r="28" spans="1:30" ht="15.6">
      <c r="A28" s="892"/>
      <c r="B28" s="893"/>
      <c r="C28" s="893"/>
      <c r="D28" s="893"/>
      <c r="E28" s="893"/>
      <c r="F28" s="893"/>
      <c r="G28" s="893"/>
      <c r="H28" s="893"/>
      <c r="I28" s="893"/>
      <c r="J28" s="897" t="s">
        <v>881</v>
      </c>
      <c r="K28" s="898" t="s">
        <v>882</v>
      </c>
      <c r="L28" s="898" t="s">
        <v>883</v>
      </c>
      <c r="M28" s="898" t="s">
        <v>884</v>
      </c>
      <c r="N28" s="898" t="s">
        <v>885</v>
      </c>
      <c r="O28" s="898" t="s">
        <v>886</v>
      </c>
      <c r="P28" s="898" t="s">
        <v>887</v>
      </c>
      <c r="Q28" s="898" t="s">
        <v>888</v>
      </c>
      <c r="R28" s="898" t="s">
        <v>889</v>
      </c>
      <c r="S28" s="898" t="s">
        <v>890</v>
      </c>
      <c r="T28" s="898" t="s">
        <v>891</v>
      </c>
      <c r="U28" s="898" t="s">
        <v>892</v>
      </c>
      <c r="V28" s="898" t="s">
        <v>881</v>
      </c>
      <c r="W28" s="893"/>
      <c r="X28" s="893"/>
      <c r="Y28" s="893"/>
      <c r="Z28" s="893"/>
      <c r="AA28" s="893"/>
      <c r="AB28" s="893"/>
      <c r="AC28" s="893"/>
      <c r="AD28" s="893"/>
    </row>
    <row r="29" spans="1:30" ht="73.5" customHeight="1">
      <c r="A29" s="899" t="s">
        <v>32</v>
      </c>
      <c r="B29" s="900" t="s">
        <v>651</v>
      </c>
      <c r="C29" s="901" t="s">
        <v>893</v>
      </c>
      <c r="D29" s="901" t="s">
        <v>894</v>
      </c>
      <c r="E29" s="901" t="s">
        <v>895</v>
      </c>
      <c r="F29" s="901" t="s">
        <v>896</v>
      </c>
      <c r="G29" s="902" t="s">
        <v>897</v>
      </c>
      <c r="H29" s="902" t="s">
        <v>898</v>
      </c>
      <c r="I29" s="902" t="s">
        <v>914</v>
      </c>
      <c r="J29" s="903" t="s">
        <v>915</v>
      </c>
      <c r="K29" s="904" t="s">
        <v>900</v>
      </c>
      <c r="L29" s="904" t="s">
        <v>900</v>
      </c>
      <c r="M29" s="904" t="s">
        <v>900</v>
      </c>
      <c r="N29" s="904" t="s">
        <v>900</v>
      </c>
      <c r="O29" s="904" t="s">
        <v>900</v>
      </c>
      <c r="P29" s="904" t="s">
        <v>900</v>
      </c>
      <c r="Q29" s="904" t="s">
        <v>900</v>
      </c>
      <c r="R29" s="904" t="s">
        <v>900</v>
      </c>
      <c r="S29" s="904" t="s">
        <v>900</v>
      </c>
      <c r="T29" s="904" t="s">
        <v>900</v>
      </c>
      <c r="U29" s="904" t="s">
        <v>900</v>
      </c>
      <c r="V29" s="904" t="s">
        <v>900</v>
      </c>
      <c r="W29" s="902" t="s">
        <v>902</v>
      </c>
      <c r="X29" s="902" t="s">
        <v>903</v>
      </c>
      <c r="Y29" s="902" t="s">
        <v>904</v>
      </c>
      <c r="Z29" s="902" t="s">
        <v>905</v>
      </c>
      <c r="AA29" s="902" t="s">
        <v>906</v>
      </c>
      <c r="AB29" s="905" t="s">
        <v>907</v>
      </c>
      <c r="AC29" s="893"/>
      <c r="AD29" s="893"/>
    </row>
    <row r="30" spans="1:30" ht="15.6">
      <c r="A30" s="906" t="s">
        <v>916</v>
      </c>
      <c r="B30" s="907"/>
      <c r="C30" s="909"/>
      <c r="D30" s="909"/>
      <c r="E30" s="910">
        <f t="shared" ref="E30:E40" si="7">IF(D30=0,0,C30/D30)</f>
        <v>0</v>
      </c>
      <c r="F30" s="909"/>
      <c r="G30" s="910">
        <f>+E30*F30</f>
        <v>0</v>
      </c>
      <c r="H30" s="909"/>
      <c r="I30" s="910">
        <f>+G30*H30</f>
        <v>0</v>
      </c>
      <c r="J30" s="909"/>
      <c r="K30" s="909"/>
      <c r="L30" s="909"/>
      <c r="M30" s="909"/>
      <c r="N30" s="909"/>
      <c r="O30" s="909"/>
      <c r="P30" s="909"/>
      <c r="Q30" s="909"/>
      <c r="R30" s="909"/>
      <c r="S30" s="909"/>
      <c r="T30" s="909"/>
      <c r="U30" s="909"/>
      <c r="V30" s="909"/>
      <c r="W30" s="912">
        <f>SUM(J30:V30)/13</f>
        <v>0</v>
      </c>
      <c r="X30" s="935"/>
      <c r="Y30" s="912">
        <f>+H30</f>
        <v>0</v>
      </c>
      <c r="Z30" s="915">
        <f>+W30+X30+Y30</f>
        <v>0</v>
      </c>
      <c r="AA30" s="909"/>
      <c r="AB30" s="916"/>
      <c r="AC30" s="893"/>
      <c r="AD30" s="893"/>
    </row>
    <row r="31" spans="1:30" ht="15.6">
      <c r="A31" s="906" t="s">
        <v>917</v>
      </c>
      <c r="B31" s="917"/>
      <c r="C31" s="918"/>
      <c r="D31" s="918"/>
      <c r="E31" s="919">
        <f t="shared" si="7"/>
        <v>0</v>
      </c>
      <c r="F31" s="918"/>
      <c r="G31" s="919">
        <f t="shared" ref="G31:G40" si="8">+E31*F31</f>
        <v>0</v>
      </c>
      <c r="H31" s="918"/>
      <c r="I31" s="919">
        <f t="shared" ref="I31:I40" si="9">+G31*H31</f>
        <v>0</v>
      </c>
      <c r="J31" s="918"/>
      <c r="K31" s="918"/>
      <c r="L31" s="918"/>
      <c r="M31" s="918"/>
      <c r="N31" s="918"/>
      <c r="O31" s="918"/>
      <c r="P31" s="918"/>
      <c r="Q31" s="918"/>
      <c r="R31" s="918"/>
      <c r="S31" s="918"/>
      <c r="T31" s="918"/>
      <c r="U31" s="918"/>
      <c r="V31" s="918"/>
      <c r="W31" s="920">
        <f t="shared" ref="W31:W40" si="10">SUM(J31:V31)/13</f>
        <v>0</v>
      </c>
      <c r="X31" s="921"/>
      <c r="Y31" s="920">
        <f t="shared" ref="Y31:Y40" si="11">+H31</f>
        <v>0</v>
      </c>
      <c r="Z31" s="922">
        <f t="shared" ref="Z31:Z40" si="12">+W31+X31+Y31</f>
        <v>0</v>
      </c>
      <c r="AA31" s="918"/>
      <c r="AB31" s="923"/>
      <c r="AC31" s="893"/>
      <c r="AD31" s="893"/>
    </row>
    <row r="32" spans="1:30" ht="15.6">
      <c r="A32" s="906" t="s">
        <v>918</v>
      </c>
      <c r="B32" s="917"/>
      <c r="C32" s="918"/>
      <c r="D32" s="918"/>
      <c r="E32" s="919">
        <f t="shared" si="7"/>
        <v>0</v>
      </c>
      <c r="F32" s="918"/>
      <c r="G32" s="919">
        <f t="shared" si="8"/>
        <v>0</v>
      </c>
      <c r="H32" s="918"/>
      <c r="I32" s="919">
        <f t="shared" si="9"/>
        <v>0</v>
      </c>
      <c r="J32" s="918"/>
      <c r="K32" s="918"/>
      <c r="L32" s="918"/>
      <c r="M32" s="918"/>
      <c r="N32" s="918"/>
      <c r="O32" s="918"/>
      <c r="P32" s="918"/>
      <c r="Q32" s="918"/>
      <c r="R32" s="918"/>
      <c r="S32" s="918"/>
      <c r="T32" s="918"/>
      <c r="U32" s="918"/>
      <c r="V32" s="918"/>
      <c r="W32" s="920">
        <f t="shared" si="10"/>
        <v>0</v>
      </c>
      <c r="X32" s="921"/>
      <c r="Y32" s="920">
        <f t="shared" si="11"/>
        <v>0</v>
      </c>
      <c r="Z32" s="922">
        <f t="shared" si="12"/>
        <v>0</v>
      </c>
      <c r="AA32" s="918"/>
      <c r="AB32" s="923"/>
      <c r="AC32" s="893"/>
      <c r="AD32" s="893"/>
    </row>
    <row r="33" spans="1:30" ht="15.6">
      <c r="A33" s="906"/>
      <c r="B33" s="917"/>
      <c r="C33" s="918"/>
      <c r="D33" s="918"/>
      <c r="E33" s="919">
        <f t="shared" si="7"/>
        <v>0</v>
      </c>
      <c r="F33" s="918"/>
      <c r="G33" s="919">
        <f t="shared" si="8"/>
        <v>0</v>
      </c>
      <c r="H33" s="918"/>
      <c r="I33" s="919">
        <f t="shared" si="9"/>
        <v>0</v>
      </c>
      <c r="J33" s="918"/>
      <c r="K33" s="918"/>
      <c r="L33" s="918"/>
      <c r="M33" s="918"/>
      <c r="N33" s="918"/>
      <c r="O33" s="918"/>
      <c r="P33" s="918"/>
      <c r="Q33" s="918"/>
      <c r="R33" s="918"/>
      <c r="S33" s="918"/>
      <c r="T33" s="918"/>
      <c r="U33" s="918"/>
      <c r="V33" s="918"/>
      <c r="W33" s="920">
        <f t="shared" si="10"/>
        <v>0</v>
      </c>
      <c r="X33" s="921"/>
      <c r="Y33" s="920">
        <f t="shared" si="11"/>
        <v>0</v>
      </c>
      <c r="Z33" s="922">
        <f t="shared" si="12"/>
        <v>0</v>
      </c>
      <c r="AA33" s="918"/>
      <c r="AB33" s="923"/>
      <c r="AC33" s="893"/>
      <c r="AD33" s="893"/>
    </row>
    <row r="34" spans="1:30" ht="15.6">
      <c r="A34" s="906" t="s">
        <v>279</v>
      </c>
      <c r="B34" s="917"/>
      <c r="C34" s="918"/>
      <c r="D34" s="918"/>
      <c r="E34" s="919">
        <f t="shared" si="7"/>
        <v>0</v>
      </c>
      <c r="F34" s="918"/>
      <c r="G34" s="919">
        <f t="shared" si="8"/>
        <v>0</v>
      </c>
      <c r="H34" s="918"/>
      <c r="I34" s="919">
        <f t="shared" si="9"/>
        <v>0</v>
      </c>
      <c r="J34" s="918"/>
      <c r="K34" s="918"/>
      <c r="L34" s="918"/>
      <c r="M34" s="918"/>
      <c r="N34" s="918"/>
      <c r="O34" s="918"/>
      <c r="P34" s="918"/>
      <c r="Q34" s="918"/>
      <c r="R34" s="918"/>
      <c r="S34" s="918"/>
      <c r="T34" s="918"/>
      <c r="U34" s="918"/>
      <c r="V34" s="918"/>
      <c r="W34" s="920">
        <f t="shared" si="10"/>
        <v>0</v>
      </c>
      <c r="X34" s="921"/>
      <c r="Y34" s="920">
        <f t="shared" si="11"/>
        <v>0</v>
      </c>
      <c r="Z34" s="922">
        <f t="shared" si="12"/>
        <v>0</v>
      </c>
      <c r="AA34" s="918"/>
      <c r="AB34" s="923"/>
      <c r="AC34" s="893"/>
      <c r="AD34" s="893"/>
    </row>
    <row r="35" spans="1:30" ht="15.6">
      <c r="A35" s="906"/>
      <c r="B35" s="917"/>
      <c r="C35" s="918"/>
      <c r="D35" s="918"/>
      <c r="E35" s="919">
        <f t="shared" si="7"/>
        <v>0</v>
      </c>
      <c r="F35" s="918"/>
      <c r="G35" s="919">
        <f t="shared" si="8"/>
        <v>0</v>
      </c>
      <c r="H35" s="918"/>
      <c r="I35" s="919">
        <f t="shared" si="9"/>
        <v>0</v>
      </c>
      <c r="J35" s="918"/>
      <c r="K35" s="918"/>
      <c r="L35" s="918"/>
      <c r="M35" s="918"/>
      <c r="N35" s="918"/>
      <c r="O35" s="918"/>
      <c r="P35" s="918"/>
      <c r="Q35" s="918"/>
      <c r="R35" s="918"/>
      <c r="S35" s="918"/>
      <c r="T35" s="918"/>
      <c r="U35" s="918"/>
      <c r="V35" s="918"/>
      <c r="W35" s="920">
        <f t="shared" si="10"/>
        <v>0</v>
      </c>
      <c r="X35" s="921"/>
      <c r="Y35" s="920">
        <f t="shared" si="11"/>
        <v>0</v>
      </c>
      <c r="Z35" s="922">
        <f t="shared" si="12"/>
        <v>0</v>
      </c>
      <c r="AA35" s="918"/>
      <c r="AB35" s="923"/>
      <c r="AC35" s="893"/>
      <c r="AD35" s="893"/>
    </row>
    <row r="36" spans="1:30" ht="15.6">
      <c r="A36" s="906"/>
      <c r="B36" s="917"/>
      <c r="C36" s="918"/>
      <c r="D36" s="918"/>
      <c r="E36" s="919">
        <f t="shared" si="7"/>
        <v>0</v>
      </c>
      <c r="F36" s="918"/>
      <c r="G36" s="919">
        <f t="shared" si="8"/>
        <v>0</v>
      </c>
      <c r="H36" s="918"/>
      <c r="I36" s="919">
        <f t="shared" si="9"/>
        <v>0</v>
      </c>
      <c r="J36" s="918"/>
      <c r="K36" s="918"/>
      <c r="L36" s="918"/>
      <c r="M36" s="918"/>
      <c r="N36" s="918"/>
      <c r="O36" s="918"/>
      <c r="P36" s="918"/>
      <c r="Q36" s="918"/>
      <c r="R36" s="918"/>
      <c r="S36" s="918"/>
      <c r="T36" s="918"/>
      <c r="U36" s="918"/>
      <c r="V36" s="918"/>
      <c r="W36" s="920">
        <f t="shared" si="10"/>
        <v>0</v>
      </c>
      <c r="X36" s="921"/>
      <c r="Y36" s="920">
        <f t="shared" si="11"/>
        <v>0</v>
      </c>
      <c r="Z36" s="922">
        <f t="shared" si="12"/>
        <v>0</v>
      </c>
      <c r="AA36" s="918"/>
      <c r="AB36" s="923"/>
      <c r="AC36" s="893"/>
      <c r="AD36" s="893"/>
    </row>
    <row r="37" spans="1:30" ht="15.6">
      <c r="A37" s="906"/>
      <c r="B37" s="917"/>
      <c r="C37" s="918"/>
      <c r="D37" s="918"/>
      <c r="E37" s="919">
        <f t="shared" si="7"/>
        <v>0</v>
      </c>
      <c r="F37" s="918"/>
      <c r="G37" s="919">
        <f t="shared" si="8"/>
        <v>0</v>
      </c>
      <c r="H37" s="918"/>
      <c r="I37" s="919">
        <f t="shared" si="9"/>
        <v>0</v>
      </c>
      <c r="J37" s="918"/>
      <c r="K37" s="918"/>
      <c r="L37" s="918"/>
      <c r="M37" s="918"/>
      <c r="N37" s="918"/>
      <c r="O37" s="918"/>
      <c r="P37" s="918"/>
      <c r="Q37" s="918"/>
      <c r="R37" s="918"/>
      <c r="S37" s="918"/>
      <c r="T37" s="918"/>
      <c r="U37" s="918"/>
      <c r="V37" s="918"/>
      <c r="W37" s="920">
        <f t="shared" si="10"/>
        <v>0</v>
      </c>
      <c r="X37" s="921"/>
      <c r="Y37" s="920">
        <f t="shared" si="11"/>
        <v>0</v>
      </c>
      <c r="Z37" s="922">
        <f t="shared" si="12"/>
        <v>0</v>
      </c>
      <c r="AA37" s="918"/>
      <c r="AB37" s="923"/>
      <c r="AC37" s="893"/>
      <c r="AD37" s="893"/>
    </row>
    <row r="38" spans="1:30" ht="15.6">
      <c r="A38" s="906" t="s">
        <v>279</v>
      </c>
      <c r="B38" s="917"/>
      <c r="C38" s="918"/>
      <c r="D38" s="918"/>
      <c r="E38" s="919">
        <f t="shared" si="7"/>
        <v>0</v>
      </c>
      <c r="F38" s="918"/>
      <c r="G38" s="919">
        <f t="shared" si="8"/>
        <v>0</v>
      </c>
      <c r="H38" s="918"/>
      <c r="I38" s="919">
        <f t="shared" si="9"/>
        <v>0</v>
      </c>
      <c r="J38" s="918"/>
      <c r="K38" s="918"/>
      <c r="L38" s="918"/>
      <c r="M38" s="918"/>
      <c r="N38" s="918"/>
      <c r="O38" s="918"/>
      <c r="P38" s="918"/>
      <c r="Q38" s="918"/>
      <c r="R38" s="918"/>
      <c r="S38" s="918"/>
      <c r="T38" s="918"/>
      <c r="U38" s="918"/>
      <c r="V38" s="918"/>
      <c r="W38" s="920">
        <f t="shared" si="10"/>
        <v>0</v>
      </c>
      <c r="X38" s="921"/>
      <c r="Y38" s="920">
        <f t="shared" si="11"/>
        <v>0</v>
      </c>
      <c r="Z38" s="922">
        <f t="shared" si="12"/>
        <v>0</v>
      </c>
      <c r="AA38" s="918"/>
      <c r="AB38" s="923"/>
      <c r="AC38" s="893"/>
      <c r="AD38" s="893"/>
    </row>
    <row r="39" spans="1:30" ht="15.6">
      <c r="A39" s="906"/>
      <c r="B39" s="917"/>
      <c r="C39" s="918"/>
      <c r="D39" s="918"/>
      <c r="E39" s="919">
        <f t="shared" si="7"/>
        <v>0</v>
      </c>
      <c r="F39" s="918"/>
      <c r="G39" s="919">
        <f t="shared" si="8"/>
        <v>0</v>
      </c>
      <c r="H39" s="918"/>
      <c r="I39" s="919">
        <f t="shared" si="9"/>
        <v>0</v>
      </c>
      <c r="J39" s="918"/>
      <c r="K39" s="918"/>
      <c r="L39" s="918"/>
      <c r="M39" s="918"/>
      <c r="N39" s="918"/>
      <c r="O39" s="918"/>
      <c r="P39" s="918"/>
      <c r="Q39" s="918"/>
      <c r="R39" s="918"/>
      <c r="S39" s="918"/>
      <c r="T39" s="918"/>
      <c r="U39" s="918"/>
      <c r="V39" s="918"/>
      <c r="W39" s="920">
        <f t="shared" si="10"/>
        <v>0</v>
      </c>
      <c r="X39" s="921"/>
      <c r="Y39" s="920">
        <f t="shared" si="11"/>
        <v>0</v>
      </c>
      <c r="Z39" s="922">
        <f t="shared" si="12"/>
        <v>0</v>
      </c>
      <c r="AA39" s="918"/>
      <c r="AB39" s="923"/>
      <c r="AC39" s="893"/>
      <c r="AD39" s="893"/>
    </row>
    <row r="40" spans="1:30" ht="15.6">
      <c r="A40" s="906" t="s">
        <v>919</v>
      </c>
      <c r="B40" s="924"/>
      <c r="C40" s="925"/>
      <c r="D40" s="925"/>
      <c r="E40" s="926">
        <f t="shared" si="7"/>
        <v>0</v>
      </c>
      <c r="F40" s="925"/>
      <c r="G40" s="926">
        <f t="shared" si="8"/>
        <v>0</v>
      </c>
      <c r="H40" s="925"/>
      <c r="I40" s="926">
        <f t="shared" si="9"/>
        <v>0</v>
      </c>
      <c r="J40" s="925"/>
      <c r="K40" s="925"/>
      <c r="L40" s="925"/>
      <c r="M40" s="925"/>
      <c r="N40" s="925"/>
      <c r="O40" s="925"/>
      <c r="P40" s="925"/>
      <c r="Q40" s="925"/>
      <c r="R40" s="925"/>
      <c r="S40" s="925"/>
      <c r="T40" s="925"/>
      <c r="U40" s="925"/>
      <c r="V40" s="925"/>
      <c r="W40" s="927">
        <f t="shared" si="10"/>
        <v>0</v>
      </c>
      <c r="X40" s="928"/>
      <c r="Y40" s="927">
        <f t="shared" si="11"/>
        <v>0</v>
      </c>
      <c r="Z40" s="929">
        <f t="shared" si="12"/>
        <v>0</v>
      </c>
      <c r="AA40" s="928"/>
      <c r="AB40" s="930"/>
      <c r="AC40" s="893"/>
      <c r="AD40" s="893"/>
    </row>
    <row r="41" spans="1:30" ht="15.6">
      <c r="A41" s="931">
        <v>4</v>
      </c>
      <c r="B41" s="892" t="s">
        <v>920</v>
      </c>
      <c r="C41" s="892"/>
      <c r="D41" s="892"/>
      <c r="E41" s="892"/>
      <c r="F41" s="892"/>
      <c r="G41" s="892"/>
      <c r="H41" s="892"/>
      <c r="I41" s="936">
        <f>SUM(I30:I40)</f>
        <v>0</v>
      </c>
      <c r="J41" s="892"/>
      <c r="K41" s="892"/>
      <c r="L41" s="892"/>
      <c r="M41" s="892"/>
      <c r="N41" s="892"/>
      <c r="O41" s="892"/>
      <c r="P41" s="892"/>
      <c r="Q41" s="892"/>
      <c r="R41" s="892"/>
      <c r="S41" s="892"/>
      <c r="T41" s="892"/>
      <c r="U41" s="893"/>
      <c r="V41" s="892"/>
      <c r="W41" s="892"/>
      <c r="X41" s="892"/>
      <c r="Y41" s="895"/>
      <c r="Z41" s="937">
        <f>SUM(Z30:Z40)</f>
        <v>0</v>
      </c>
      <c r="AA41" s="895"/>
      <c r="AB41" s="895"/>
      <c r="AC41" s="893"/>
      <c r="AD41" s="893"/>
    </row>
    <row r="42" spans="1:30" ht="15.6">
      <c r="A42" s="892"/>
      <c r="B42" s="892"/>
      <c r="C42" s="892"/>
      <c r="D42" s="892"/>
      <c r="E42" s="892"/>
      <c r="F42" s="892"/>
      <c r="G42" s="892"/>
      <c r="H42" s="892"/>
      <c r="I42" s="892"/>
      <c r="J42" s="892"/>
      <c r="K42" s="892"/>
      <c r="L42" s="892"/>
      <c r="M42" s="892"/>
      <c r="N42" s="892"/>
      <c r="O42" s="892"/>
      <c r="P42" s="892"/>
      <c r="Q42" s="892"/>
      <c r="R42" s="892"/>
      <c r="S42" s="892"/>
      <c r="T42" s="892"/>
      <c r="U42" s="892"/>
      <c r="V42" s="892"/>
      <c r="W42" s="892"/>
      <c r="X42" s="892"/>
      <c r="Y42" s="892"/>
      <c r="Z42" s="892"/>
      <c r="AA42" s="892"/>
      <c r="AB42" s="892"/>
      <c r="AC42" s="893"/>
      <c r="AD42" s="893"/>
    </row>
    <row r="43" spans="1:30" ht="15.6">
      <c r="A43" s="892" t="s">
        <v>911</v>
      </c>
      <c r="B43" s="892"/>
      <c r="C43" s="892"/>
      <c r="D43" s="892"/>
      <c r="E43" s="892"/>
      <c r="F43" s="892"/>
      <c r="G43" s="892"/>
      <c r="H43" s="892"/>
      <c r="I43" s="892"/>
      <c r="J43" s="892"/>
      <c r="K43" s="892"/>
      <c r="L43" s="892"/>
      <c r="M43" s="892"/>
      <c r="N43" s="892"/>
      <c r="O43" s="892"/>
      <c r="P43" s="892"/>
      <c r="Q43" s="892"/>
      <c r="R43" s="892"/>
      <c r="S43" s="892"/>
      <c r="T43" s="892"/>
      <c r="U43" s="892"/>
      <c r="V43" s="892"/>
      <c r="W43" s="892"/>
      <c r="X43" s="892"/>
      <c r="Y43" s="892"/>
      <c r="Z43" s="892"/>
      <c r="AA43" s="892"/>
      <c r="AB43" s="892"/>
      <c r="AC43" s="893"/>
      <c r="AD43" s="893"/>
    </row>
    <row r="44" spans="1:30" ht="15.6">
      <c r="A44" s="893"/>
      <c r="B44" s="892"/>
      <c r="C44" s="892"/>
      <c r="D44" s="892"/>
      <c r="E44" s="892"/>
      <c r="F44" s="892"/>
      <c r="G44" s="892"/>
      <c r="H44" s="892"/>
      <c r="I44" s="892"/>
      <c r="J44" s="892"/>
      <c r="K44" s="892"/>
      <c r="L44" s="892"/>
      <c r="M44" s="892"/>
      <c r="N44" s="892"/>
      <c r="O44" s="892"/>
      <c r="P44" s="892"/>
      <c r="Q44" s="892"/>
      <c r="R44" s="892"/>
      <c r="S44" s="892"/>
      <c r="T44" s="892"/>
      <c r="U44" s="892"/>
      <c r="V44" s="892"/>
      <c r="W44" s="892"/>
      <c r="X44" s="892"/>
      <c r="Y44" s="892"/>
      <c r="Z44" s="892"/>
      <c r="AA44" s="892"/>
      <c r="AB44" s="892"/>
      <c r="AC44" s="893"/>
      <c r="AD44" s="893"/>
    </row>
    <row r="45" spans="1:30" ht="15.6">
      <c r="F45" s="1287"/>
      <c r="G45" s="1287"/>
      <c r="H45" s="1287"/>
      <c r="I45" s="1287"/>
      <c r="J45" s="1287"/>
      <c r="K45" s="1287"/>
      <c r="L45" s="1287"/>
      <c r="M45" s="1287"/>
      <c r="N45" s="1287"/>
      <c r="O45" s="1287"/>
      <c r="P45" s="1287"/>
      <c r="Q45" s="1287"/>
      <c r="R45" s="1287"/>
      <c r="S45" s="893"/>
      <c r="T45" s="893"/>
      <c r="U45" s="893"/>
      <c r="V45" s="893"/>
      <c r="W45" s="893"/>
      <c r="X45" s="893"/>
      <c r="Y45" s="893"/>
      <c r="Z45" s="893"/>
      <c r="AA45" s="893"/>
      <c r="AB45" s="893"/>
      <c r="AC45" s="893"/>
      <c r="AD45" s="893"/>
    </row>
    <row r="46" spans="1:30" ht="15.6">
      <c r="A46" s="938" t="s">
        <v>921</v>
      </c>
      <c r="B46" s="893"/>
      <c r="C46" s="893"/>
      <c r="D46" s="893"/>
      <c r="E46" s="893"/>
      <c r="F46" s="1289"/>
      <c r="G46" s="1289"/>
      <c r="H46" s="1289"/>
      <c r="I46" s="1289"/>
      <c r="J46" s="1289"/>
      <c r="K46" s="1289"/>
      <c r="L46" s="1289"/>
      <c r="M46" s="1289"/>
      <c r="N46" s="1289"/>
      <c r="O46" s="1289"/>
      <c r="P46" s="1289"/>
      <c r="Q46" s="1289"/>
      <c r="R46" s="1289"/>
      <c r="S46" s="893"/>
      <c r="T46" s="893"/>
      <c r="U46" s="893"/>
      <c r="V46" s="893"/>
      <c r="W46" s="893"/>
      <c r="X46" s="893"/>
      <c r="Y46" s="893"/>
      <c r="Z46" s="893"/>
      <c r="AA46" s="893"/>
      <c r="AB46" s="893"/>
      <c r="AC46" s="893"/>
      <c r="AD46" s="893"/>
    </row>
    <row r="47" spans="1:30" ht="15.6">
      <c r="A47" s="939"/>
      <c r="B47" s="940"/>
      <c r="C47" s="940"/>
      <c r="D47" s="940"/>
      <c r="E47" s="941"/>
      <c r="F47" s="940"/>
      <c r="G47" s="941"/>
      <c r="H47" s="941"/>
      <c r="I47" s="941"/>
      <c r="J47" s="941"/>
      <c r="K47" s="941"/>
      <c r="L47" s="941"/>
      <c r="M47" s="941"/>
      <c r="N47" s="941"/>
      <c r="O47" s="941"/>
      <c r="P47" s="941"/>
      <c r="Q47" s="941"/>
      <c r="R47" s="941"/>
      <c r="S47" s="893"/>
      <c r="T47" s="893"/>
      <c r="U47" s="893"/>
      <c r="V47" s="893"/>
      <c r="W47" s="893"/>
      <c r="X47" s="893"/>
      <c r="Y47" s="893"/>
      <c r="Z47" s="893"/>
      <c r="AA47" s="893"/>
      <c r="AB47" s="893"/>
      <c r="AC47" s="893"/>
      <c r="AD47" s="893"/>
    </row>
    <row r="48" spans="1:30" ht="15.6">
      <c r="A48" s="942"/>
      <c r="B48" s="943" t="s">
        <v>175</v>
      </c>
      <c r="C48" s="944" t="s">
        <v>176</v>
      </c>
      <c r="D48" s="945" t="s">
        <v>922</v>
      </c>
      <c r="E48" s="945" t="s">
        <v>380</v>
      </c>
      <c r="F48" s="945" t="s">
        <v>923</v>
      </c>
      <c r="G48" s="945" t="s">
        <v>382</v>
      </c>
      <c r="H48" s="945" t="s">
        <v>383</v>
      </c>
      <c r="I48" s="945" t="s">
        <v>384</v>
      </c>
      <c r="J48" s="945" t="s">
        <v>576</v>
      </c>
      <c r="K48" s="945" t="s">
        <v>577</v>
      </c>
      <c r="L48" s="945" t="s">
        <v>578</v>
      </c>
      <c r="M48" s="945" t="s">
        <v>579</v>
      </c>
      <c r="N48" s="945" t="s">
        <v>580</v>
      </c>
      <c r="O48" s="945" t="s">
        <v>581</v>
      </c>
      <c r="P48" s="945" t="s">
        <v>582</v>
      </c>
      <c r="Q48" s="944" t="s">
        <v>583</v>
      </c>
      <c r="R48" s="942" t="s">
        <v>584</v>
      </c>
      <c r="S48" s="893"/>
      <c r="T48" s="893"/>
      <c r="U48" s="893"/>
      <c r="V48" s="893"/>
      <c r="W48" s="893"/>
      <c r="X48" s="893"/>
      <c r="Y48" s="893"/>
      <c r="Z48" s="893"/>
      <c r="AA48" s="893"/>
      <c r="AB48" s="893"/>
      <c r="AC48" s="893"/>
      <c r="AD48" s="893"/>
    </row>
    <row r="49" spans="1:30" ht="15.6">
      <c r="A49" s="1290" t="s">
        <v>32</v>
      </c>
      <c r="B49" s="1292" t="s">
        <v>924</v>
      </c>
      <c r="C49" s="1293" t="s">
        <v>925</v>
      </c>
      <c r="D49" s="1293" t="s">
        <v>926</v>
      </c>
      <c r="E49" s="946" t="s">
        <v>881</v>
      </c>
      <c r="F49" s="947" t="s">
        <v>882</v>
      </c>
      <c r="G49" s="947" t="s">
        <v>883</v>
      </c>
      <c r="H49" s="947" t="s">
        <v>884</v>
      </c>
      <c r="I49" s="947" t="s">
        <v>885</v>
      </c>
      <c r="J49" s="947" t="s">
        <v>886</v>
      </c>
      <c r="K49" s="947" t="s">
        <v>887</v>
      </c>
      <c r="L49" s="947" t="s">
        <v>888</v>
      </c>
      <c r="M49" s="947" t="s">
        <v>889</v>
      </c>
      <c r="N49" s="947" t="s">
        <v>890</v>
      </c>
      <c r="O49" s="947" t="s">
        <v>891</v>
      </c>
      <c r="P49" s="947" t="s">
        <v>892</v>
      </c>
      <c r="Q49" s="947" t="s">
        <v>881</v>
      </c>
      <c r="R49" s="1295" t="s">
        <v>927</v>
      </c>
      <c r="T49" s="893"/>
      <c r="U49" s="893"/>
      <c r="V49" s="893"/>
      <c r="W49" s="893"/>
      <c r="X49" s="893"/>
      <c r="Y49" s="893"/>
      <c r="Z49" s="893"/>
      <c r="AA49" s="893"/>
      <c r="AB49" s="893"/>
      <c r="AC49" s="893"/>
      <c r="AD49" s="893"/>
    </row>
    <row r="50" spans="1:30" ht="24" customHeight="1">
      <c r="A50" s="1291"/>
      <c r="B50" s="1291"/>
      <c r="C50" s="1294"/>
      <c r="D50" s="1294"/>
      <c r="E50" s="948" t="s">
        <v>915</v>
      </c>
      <c r="F50" s="949" t="s">
        <v>900</v>
      </c>
      <c r="G50" s="949" t="s">
        <v>900</v>
      </c>
      <c r="H50" s="949" t="s">
        <v>900</v>
      </c>
      <c r="I50" s="949" t="s">
        <v>900</v>
      </c>
      <c r="J50" s="949" t="s">
        <v>900</v>
      </c>
      <c r="K50" s="949" t="s">
        <v>900</v>
      </c>
      <c r="L50" s="949" t="s">
        <v>900</v>
      </c>
      <c r="M50" s="949" t="s">
        <v>900</v>
      </c>
      <c r="N50" s="949" t="s">
        <v>900</v>
      </c>
      <c r="O50" s="949" t="s">
        <v>900</v>
      </c>
      <c r="P50" s="949" t="s">
        <v>900</v>
      </c>
      <c r="Q50" s="949" t="s">
        <v>900</v>
      </c>
      <c r="R50" s="1296"/>
      <c r="T50" s="893"/>
      <c r="U50" s="893"/>
      <c r="V50" s="893"/>
      <c r="W50" s="893"/>
      <c r="X50" s="893"/>
      <c r="Y50" s="893"/>
      <c r="Z50" s="893"/>
      <c r="AA50" s="893"/>
      <c r="AB50" s="893"/>
      <c r="AC50" s="893"/>
      <c r="AD50" s="893"/>
    </row>
    <row r="51" spans="1:30" ht="15.6">
      <c r="A51" s="950" t="s">
        <v>928</v>
      </c>
      <c r="B51" s="951"/>
      <c r="C51" s="952"/>
      <c r="D51" s="952"/>
      <c r="E51" s="952"/>
      <c r="F51" s="952"/>
      <c r="G51" s="952"/>
      <c r="H51" s="952"/>
      <c r="I51" s="952"/>
      <c r="J51" s="952"/>
      <c r="K51" s="952"/>
      <c r="L51" s="952"/>
      <c r="M51" s="952"/>
      <c r="N51" s="952"/>
      <c r="O51" s="952"/>
      <c r="P51" s="952"/>
      <c r="Q51" s="952"/>
      <c r="R51" s="953">
        <f t="shared" ref="R51:R60" si="13">IFERROR(SUM(E51:Q51)/13,0)</f>
        <v>0</v>
      </c>
      <c r="T51" s="893"/>
      <c r="U51" s="893"/>
      <c r="V51" s="893"/>
      <c r="W51" s="893"/>
      <c r="X51" s="893"/>
      <c r="Y51" s="893"/>
      <c r="Z51" s="893"/>
      <c r="AA51" s="893"/>
      <c r="AB51" s="893"/>
      <c r="AC51" s="893"/>
      <c r="AD51" s="893"/>
    </row>
    <row r="52" spans="1:30" ht="15.6">
      <c r="A52" s="954" t="s">
        <v>929</v>
      </c>
      <c r="B52" s="955"/>
      <c r="C52" s="952"/>
      <c r="D52" s="952"/>
      <c r="E52" s="952"/>
      <c r="F52" s="952"/>
      <c r="G52" s="952"/>
      <c r="H52" s="952"/>
      <c r="I52" s="952"/>
      <c r="J52" s="952"/>
      <c r="K52" s="952"/>
      <c r="L52" s="952"/>
      <c r="M52" s="952"/>
      <c r="N52" s="952"/>
      <c r="O52" s="952"/>
      <c r="P52" s="952"/>
      <c r="Q52" s="952"/>
      <c r="R52" s="953">
        <f t="shared" si="13"/>
        <v>0</v>
      </c>
      <c r="T52" s="893"/>
      <c r="U52" s="893"/>
      <c r="V52" s="893"/>
      <c r="W52" s="893"/>
      <c r="X52" s="893"/>
      <c r="Y52" s="893"/>
      <c r="Z52" s="893"/>
      <c r="AA52" s="893"/>
      <c r="AB52" s="893"/>
      <c r="AC52" s="893"/>
      <c r="AD52" s="893"/>
    </row>
    <row r="53" spans="1:30" ht="15.6">
      <c r="A53" s="954" t="s">
        <v>930</v>
      </c>
      <c r="B53" s="955"/>
      <c r="C53" s="952"/>
      <c r="D53" s="952"/>
      <c r="E53" s="952"/>
      <c r="F53" s="952"/>
      <c r="G53" s="952"/>
      <c r="H53" s="952"/>
      <c r="I53" s="952"/>
      <c r="J53" s="952"/>
      <c r="K53" s="952"/>
      <c r="L53" s="952"/>
      <c r="M53" s="952"/>
      <c r="N53" s="952"/>
      <c r="O53" s="952"/>
      <c r="P53" s="952"/>
      <c r="Q53" s="952"/>
      <c r="R53" s="953">
        <f t="shared" si="13"/>
        <v>0</v>
      </c>
      <c r="T53" s="893"/>
      <c r="U53" s="893"/>
      <c r="V53" s="893"/>
      <c r="W53" s="893"/>
      <c r="X53" s="893"/>
      <c r="Y53" s="893"/>
      <c r="Z53" s="893"/>
      <c r="AA53" s="893"/>
      <c r="AB53" s="893"/>
      <c r="AC53" s="893"/>
      <c r="AD53" s="893"/>
    </row>
    <row r="54" spans="1:30" ht="15.6">
      <c r="A54" s="954" t="s">
        <v>279</v>
      </c>
      <c r="B54" s="955"/>
      <c r="C54" s="952"/>
      <c r="D54" s="952"/>
      <c r="E54" s="952"/>
      <c r="F54" s="952"/>
      <c r="G54" s="952"/>
      <c r="H54" s="952"/>
      <c r="I54" s="952"/>
      <c r="J54" s="952"/>
      <c r="K54" s="952"/>
      <c r="L54" s="952"/>
      <c r="M54" s="952"/>
      <c r="N54" s="952"/>
      <c r="O54" s="952"/>
      <c r="P54" s="952"/>
      <c r="Q54" s="952"/>
      <c r="R54" s="953">
        <f t="shared" si="13"/>
        <v>0</v>
      </c>
      <c r="T54" s="893"/>
      <c r="U54" s="893"/>
      <c r="V54" s="893"/>
      <c r="W54" s="893"/>
      <c r="X54" s="893"/>
      <c r="Y54" s="893"/>
      <c r="Z54" s="893"/>
      <c r="AA54" s="893"/>
      <c r="AB54" s="893"/>
      <c r="AC54" s="893"/>
      <c r="AD54" s="893"/>
    </row>
    <row r="55" spans="1:30" ht="15.6">
      <c r="A55" s="954" t="s">
        <v>279</v>
      </c>
      <c r="B55" s="955"/>
      <c r="C55" s="952"/>
      <c r="D55" s="952"/>
      <c r="E55" s="952"/>
      <c r="F55" s="952"/>
      <c r="G55" s="952"/>
      <c r="H55" s="952"/>
      <c r="I55" s="952"/>
      <c r="J55" s="952"/>
      <c r="K55" s="952"/>
      <c r="L55" s="952"/>
      <c r="M55" s="952"/>
      <c r="N55" s="952"/>
      <c r="O55" s="952"/>
      <c r="P55" s="952"/>
      <c r="Q55" s="952"/>
      <c r="R55" s="953">
        <f t="shared" si="13"/>
        <v>0</v>
      </c>
      <c r="T55" s="893"/>
      <c r="U55" s="893"/>
      <c r="V55" s="893"/>
      <c r="W55" s="893"/>
      <c r="X55" s="893"/>
      <c r="Y55" s="893"/>
      <c r="Z55" s="893"/>
      <c r="AA55" s="893"/>
      <c r="AB55" s="893"/>
      <c r="AC55" s="893"/>
      <c r="AD55" s="893"/>
    </row>
    <row r="56" spans="1:30" ht="15.6">
      <c r="A56" s="954" t="s">
        <v>279</v>
      </c>
      <c r="B56" s="955"/>
      <c r="C56" s="952"/>
      <c r="D56" s="952"/>
      <c r="E56" s="952"/>
      <c r="F56" s="952"/>
      <c r="G56" s="952"/>
      <c r="H56" s="952"/>
      <c r="I56" s="952"/>
      <c r="J56" s="952"/>
      <c r="K56" s="952"/>
      <c r="L56" s="952"/>
      <c r="M56" s="952"/>
      <c r="N56" s="952"/>
      <c r="O56" s="952"/>
      <c r="P56" s="952"/>
      <c r="Q56" s="952"/>
      <c r="R56" s="953">
        <f t="shared" si="13"/>
        <v>0</v>
      </c>
      <c r="T56" s="893"/>
      <c r="U56" s="893"/>
      <c r="V56" s="893"/>
      <c r="W56" s="893"/>
      <c r="X56" s="893"/>
      <c r="Y56" s="893"/>
      <c r="Z56" s="893"/>
      <c r="AA56" s="893"/>
      <c r="AB56" s="893"/>
      <c r="AC56" s="893"/>
      <c r="AD56" s="893"/>
    </row>
    <row r="57" spans="1:30" ht="15.6">
      <c r="A57" s="954" t="s">
        <v>279</v>
      </c>
      <c r="B57" s="955"/>
      <c r="C57" s="952"/>
      <c r="D57" s="952"/>
      <c r="E57" s="952"/>
      <c r="F57" s="952"/>
      <c r="G57" s="952"/>
      <c r="H57" s="952"/>
      <c r="I57" s="952"/>
      <c r="J57" s="952"/>
      <c r="K57" s="952"/>
      <c r="L57" s="952"/>
      <c r="M57" s="952"/>
      <c r="N57" s="952"/>
      <c r="O57" s="952"/>
      <c r="P57" s="952"/>
      <c r="Q57" s="952"/>
      <c r="R57" s="953">
        <f t="shared" si="13"/>
        <v>0</v>
      </c>
      <c r="T57" s="893"/>
      <c r="U57" s="893"/>
      <c r="V57" s="893"/>
      <c r="W57" s="893"/>
      <c r="X57" s="893"/>
      <c r="Y57" s="893"/>
      <c r="Z57" s="893"/>
      <c r="AA57" s="893"/>
      <c r="AB57" s="893"/>
      <c r="AC57" s="893"/>
      <c r="AD57" s="893"/>
    </row>
    <row r="58" spans="1:30" ht="15.6">
      <c r="A58" s="954" t="s">
        <v>279</v>
      </c>
      <c r="B58" s="955"/>
      <c r="C58" s="952"/>
      <c r="D58" s="952"/>
      <c r="E58" s="952"/>
      <c r="F58" s="952"/>
      <c r="G58" s="952"/>
      <c r="H58" s="952"/>
      <c r="I58" s="952"/>
      <c r="J58" s="952"/>
      <c r="K58" s="952"/>
      <c r="L58" s="952"/>
      <c r="M58" s="952"/>
      <c r="N58" s="952"/>
      <c r="O58" s="952"/>
      <c r="P58" s="952"/>
      <c r="Q58" s="952"/>
      <c r="R58" s="953">
        <f>IFERROR(SUM(E58:Q58)/13,0)</f>
        <v>0</v>
      </c>
      <c r="T58" s="893"/>
      <c r="U58" s="893"/>
      <c r="V58" s="893"/>
      <c r="W58" s="893"/>
      <c r="X58" s="893"/>
      <c r="Y58" s="893"/>
      <c r="Z58" s="893"/>
      <c r="AA58" s="893"/>
      <c r="AB58" s="893"/>
      <c r="AC58" s="893"/>
      <c r="AD58" s="893"/>
    </row>
    <row r="59" spans="1:30" ht="15.6">
      <c r="A59" s="954" t="s">
        <v>279</v>
      </c>
      <c r="B59" s="955"/>
      <c r="C59" s="952"/>
      <c r="D59" s="952"/>
      <c r="E59" s="952"/>
      <c r="F59" s="952"/>
      <c r="G59" s="952"/>
      <c r="H59" s="952"/>
      <c r="I59" s="952"/>
      <c r="J59" s="952"/>
      <c r="K59" s="952"/>
      <c r="L59" s="952"/>
      <c r="M59" s="952"/>
      <c r="N59" s="952"/>
      <c r="O59" s="952"/>
      <c r="P59" s="952"/>
      <c r="Q59" s="952"/>
      <c r="R59" s="953">
        <f t="shared" si="13"/>
        <v>0</v>
      </c>
      <c r="T59" s="893"/>
      <c r="U59" s="893"/>
      <c r="V59" s="893"/>
      <c r="W59" s="893"/>
      <c r="X59" s="893"/>
      <c r="Y59" s="893"/>
      <c r="Z59" s="893"/>
      <c r="AA59" s="893"/>
      <c r="AB59" s="893"/>
      <c r="AC59" s="893"/>
      <c r="AD59" s="893"/>
    </row>
    <row r="60" spans="1:30" ht="15.6">
      <c r="A60" s="956" t="s">
        <v>931</v>
      </c>
      <c r="B60" s="957"/>
      <c r="C60" s="958"/>
      <c r="D60" s="958"/>
      <c r="E60" s="958"/>
      <c r="F60" s="958"/>
      <c r="G60" s="958"/>
      <c r="H60" s="958"/>
      <c r="I60" s="958"/>
      <c r="J60" s="958"/>
      <c r="K60" s="958"/>
      <c r="L60" s="958"/>
      <c r="M60" s="958"/>
      <c r="N60" s="958"/>
      <c r="O60" s="958"/>
      <c r="P60" s="958"/>
      <c r="Q60" s="958"/>
      <c r="R60" s="959">
        <f t="shared" si="13"/>
        <v>0</v>
      </c>
      <c r="T60" s="893"/>
      <c r="U60" s="893"/>
      <c r="V60" s="893"/>
      <c r="W60" s="893"/>
      <c r="X60" s="893"/>
      <c r="Y60" s="893"/>
      <c r="Z60" s="893"/>
      <c r="AA60" s="893"/>
      <c r="AB60" s="893"/>
      <c r="AC60" s="893"/>
      <c r="AD60" s="893"/>
    </row>
    <row r="61" spans="1:30" ht="15.6">
      <c r="A61" s="960">
        <v>6</v>
      </c>
      <c r="B61" s="961"/>
      <c r="C61" s="962"/>
      <c r="D61" s="962" t="s">
        <v>932</v>
      </c>
      <c r="F61" s="963"/>
      <c r="G61" s="963"/>
      <c r="H61" s="963"/>
      <c r="I61" s="963"/>
      <c r="J61" s="963"/>
      <c r="K61" s="963"/>
      <c r="L61" s="963"/>
      <c r="M61" s="963"/>
      <c r="N61" s="939"/>
      <c r="O61" s="939"/>
      <c r="P61" s="939"/>
      <c r="Q61" s="939"/>
      <c r="R61" s="964">
        <f>SUM(R51:R60)</f>
        <v>0</v>
      </c>
      <c r="T61" s="893"/>
      <c r="U61" s="893"/>
      <c r="V61" s="893"/>
      <c r="W61" s="893"/>
      <c r="X61" s="893"/>
      <c r="Y61" s="893"/>
      <c r="Z61" s="893"/>
      <c r="AA61" s="893"/>
      <c r="AB61" s="893"/>
      <c r="AC61" s="893"/>
      <c r="AD61" s="893"/>
    </row>
    <row r="62" spans="1:30" ht="15.6">
      <c r="A62" s="893"/>
      <c r="B62" s="893"/>
      <c r="C62" s="893"/>
      <c r="D62" s="893"/>
      <c r="F62" s="893"/>
      <c r="G62" s="893"/>
      <c r="H62" s="893"/>
      <c r="I62" s="893"/>
      <c r="J62" s="893"/>
      <c r="K62" s="893"/>
      <c r="L62" s="893"/>
      <c r="M62" s="893"/>
      <c r="N62" s="893"/>
      <c r="O62" s="893"/>
      <c r="P62" s="893"/>
      <c r="Q62" s="893"/>
      <c r="R62" s="893"/>
      <c r="S62" s="893"/>
      <c r="T62" s="893"/>
      <c r="U62" s="893"/>
      <c r="V62" s="893"/>
      <c r="W62" s="893"/>
      <c r="X62" s="893"/>
      <c r="Y62" s="893"/>
      <c r="Z62" s="893"/>
      <c r="AA62" s="893"/>
      <c r="AB62" s="893"/>
      <c r="AC62" s="893"/>
      <c r="AD62" s="893"/>
    </row>
    <row r="63" spans="1:30" ht="15.6">
      <c r="A63" s="892"/>
      <c r="B63" s="892"/>
      <c r="C63" s="892"/>
      <c r="D63" s="892"/>
      <c r="E63" s="892"/>
      <c r="F63" s="892"/>
      <c r="G63" s="892"/>
      <c r="H63" s="892"/>
      <c r="I63" s="892"/>
      <c r="J63" s="892"/>
      <c r="K63" s="892"/>
      <c r="L63" s="892"/>
      <c r="M63" s="892"/>
      <c r="N63" s="892"/>
      <c r="O63" s="892"/>
      <c r="P63" s="892"/>
      <c r="Q63" s="892"/>
      <c r="R63" s="892"/>
      <c r="S63" s="892"/>
      <c r="T63" s="892"/>
      <c r="U63" s="892"/>
      <c r="V63" s="892"/>
      <c r="W63" s="893"/>
      <c r="X63" s="893"/>
      <c r="Y63" s="893"/>
      <c r="Z63" s="893"/>
      <c r="AA63" s="893"/>
      <c r="AB63" s="893"/>
      <c r="AC63" s="893"/>
      <c r="AD63" s="893"/>
    </row>
    <row r="64" spans="1:30" ht="15.6">
      <c r="A64" s="892"/>
      <c r="B64" s="892"/>
      <c r="C64" s="892"/>
      <c r="D64" s="892"/>
      <c r="E64" s="892"/>
      <c r="F64" s="892"/>
      <c r="G64" s="892"/>
      <c r="H64" s="892"/>
      <c r="I64" s="892"/>
      <c r="J64" s="892"/>
      <c r="K64" s="892"/>
      <c r="L64" s="892"/>
      <c r="M64" s="892"/>
      <c r="N64" s="892"/>
      <c r="O64" s="892"/>
      <c r="P64" s="892"/>
      <c r="Q64" s="892"/>
      <c r="R64" s="892"/>
      <c r="S64" s="892"/>
      <c r="T64" s="892"/>
      <c r="U64" s="892"/>
      <c r="V64" s="892"/>
      <c r="W64" s="893"/>
      <c r="X64" s="893"/>
      <c r="Y64" s="893"/>
      <c r="Z64" s="893"/>
      <c r="AA64" s="893"/>
      <c r="AB64" s="893"/>
      <c r="AC64" s="893"/>
      <c r="AD64" s="893"/>
    </row>
    <row r="65" spans="1:30" ht="15.6">
      <c r="A65" s="894" t="s">
        <v>182</v>
      </c>
      <c r="B65" s="892"/>
      <c r="C65" s="892"/>
      <c r="D65" s="892"/>
      <c r="E65" s="892"/>
      <c r="F65" s="892"/>
      <c r="G65" s="893"/>
      <c r="H65" s="893"/>
      <c r="I65" s="893"/>
      <c r="J65" s="893"/>
      <c r="K65" s="893"/>
      <c r="L65" s="893"/>
      <c r="M65" s="893"/>
      <c r="N65" s="893"/>
      <c r="O65" s="893"/>
      <c r="P65" s="893"/>
      <c r="Q65" s="893"/>
      <c r="R65" s="893"/>
      <c r="S65" s="893"/>
      <c r="T65" s="892"/>
      <c r="U65" s="892"/>
      <c r="V65" s="892"/>
      <c r="W65" s="893"/>
      <c r="X65" s="893"/>
      <c r="Y65" s="893"/>
      <c r="Z65" s="893"/>
      <c r="AA65" s="893"/>
      <c r="AB65" s="893"/>
      <c r="AC65" s="893"/>
      <c r="AD65" s="893"/>
    </row>
    <row r="66" spans="1:30" ht="15.6">
      <c r="A66" s="892"/>
      <c r="B66" s="892"/>
      <c r="C66" s="892"/>
      <c r="D66" s="892"/>
      <c r="E66" s="892"/>
      <c r="F66" s="892"/>
      <c r="G66" s="893"/>
      <c r="H66" s="893"/>
      <c r="I66" s="893"/>
      <c r="J66" s="893"/>
      <c r="K66" s="893"/>
      <c r="L66" s="893"/>
      <c r="M66" s="893"/>
      <c r="N66" s="893"/>
      <c r="O66" s="893"/>
      <c r="P66" s="893"/>
      <c r="Q66" s="893"/>
      <c r="R66" s="893"/>
      <c r="S66" s="893"/>
      <c r="T66" s="892"/>
      <c r="U66" s="892"/>
      <c r="V66" s="892"/>
      <c r="W66" s="893"/>
      <c r="X66" s="893"/>
      <c r="Y66" s="893"/>
      <c r="Z66" s="893"/>
      <c r="AA66" s="893"/>
      <c r="AB66" s="893"/>
      <c r="AC66" s="893"/>
      <c r="AD66" s="893"/>
    </row>
    <row r="67" spans="1:30" ht="15.6">
      <c r="A67" s="892"/>
      <c r="B67" s="895" t="s">
        <v>175</v>
      </c>
      <c r="C67" s="895" t="s">
        <v>176</v>
      </c>
      <c r="D67" s="896" t="s">
        <v>177</v>
      </c>
      <c r="E67" s="895" t="s">
        <v>380</v>
      </c>
      <c r="F67" s="896" t="s">
        <v>381</v>
      </c>
      <c r="G67" s="895" t="s">
        <v>382</v>
      </c>
      <c r="H67" s="896" t="s">
        <v>383</v>
      </c>
      <c r="I67" s="895" t="s">
        <v>384</v>
      </c>
      <c r="J67" s="896" t="s">
        <v>576</v>
      </c>
      <c r="K67" s="895" t="s">
        <v>577</v>
      </c>
      <c r="L67" s="896" t="s">
        <v>578</v>
      </c>
      <c r="M67" s="895" t="s">
        <v>579</v>
      </c>
      <c r="N67" s="896" t="s">
        <v>580</v>
      </c>
      <c r="O67" s="895" t="s">
        <v>581</v>
      </c>
      <c r="P67" s="896" t="s">
        <v>582</v>
      </c>
      <c r="Q67" s="895" t="s">
        <v>583</v>
      </c>
      <c r="R67" s="895" t="s">
        <v>584</v>
      </c>
      <c r="S67" s="896" t="s">
        <v>871</v>
      </c>
      <c r="T67" s="896" t="s">
        <v>872</v>
      </c>
      <c r="U67" s="896" t="s">
        <v>873</v>
      </c>
      <c r="V67" s="896" t="s">
        <v>874</v>
      </c>
      <c r="W67" s="893"/>
      <c r="X67" s="893"/>
      <c r="Y67" s="893"/>
      <c r="Z67" s="893"/>
      <c r="AA67" s="893"/>
      <c r="AB67" s="893"/>
      <c r="AC67" s="893"/>
      <c r="AD67" s="893"/>
    </row>
    <row r="68" spans="1:30" ht="15.6">
      <c r="A68" s="965"/>
      <c r="B68" s="1284" t="s">
        <v>651</v>
      </c>
      <c r="C68" s="1277" t="s">
        <v>933</v>
      </c>
      <c r="D68" s="1277" t="s">
        <v>934</v>
      </c>
      <c r="E68" s="1277" t="s">
        <v>935</v>
      </c>
      <c r="F68" s="1277" t="s">
        <v>936</v>
      </c>
      <c r="G68" s="946" t="s">
        <v>881</v>
      </c>
      <c r="H68" s="947" t="s">
        <v>882</v>
      </c>
      <c r="I68" s="947" t="s">
        <v>883</v>
      </c>
      <c r="J68" s="947" t="s">
        <v>884</v>
      </c>
      <c r="K68" s="947" t="s">
        <v>885</v>
      </c>
      <c r="L68" s="947" t="s">
        <v>886</v>
      </c>
      <c r="M68" s="947" t="s">
        <v>887</v>
      </c>
      <c r="N68" s="947" t="s">
        <v>888</v>
      </c>
      <c r="O68" s="947" t="s">
        <v>889</v>
      </c>
      <c r="P68" s="947" t="s">
        <v>890</v>
      </c>
      <c r="Q68" s="947" t="s">
        <v>891</v>
      </c>
      <c r="R68" s="947" t="s">
        <v>892</v>
      </c>
      <c r="S68" s="947" t="s">
        <v>881</v>
      </c>
      <c r="T68" s="1279" t="s">
        <v>937</v>
      </c>
      <c r="U68" s="1279" t="s">
        <v>938</v>
      </c>
      <c r="V68" s="1281" t="s">
        <v>939</v>
      </c>
      <c r="W68" s="893"/>
      <c r="X68" s="893"/>
      <c r="Y68" s="893"/>
      <c r="Z68" s="893"/>
      <c r="AA68" s="893"/>
      <c r="AB68" s="893"/>
      <c r="AC68" s="893"/>
      <c r="AD68" s="893"/>
    </row>
    <row r="69" spans="1:30" ht="25.5" customHeight="1">
      <c r="A69" s="966" t="s">
        <v>32</v>
      </c>
      <c r="B69" s="1285"/>
      <c r="C69" s="1278"/>
      <c r="D69" s="1278"/>
      <c r="E69" s="1278"/>
      <c r="F69" s="1278"/>
      <c r="G69" s="948" t="s">
        <v>900</v>
      </c>
      <c r="H69" s="949" t="s">
        <v>901</v>
      </c>
      <c r="I69" s="949" t="s">
        <v>901</v>
      </c>
      <c r="J69" s="949" t="s">
        <v>901</v>
      </c>
      <c r="K69" s="949" t="s">
        <v>940</v>
      </c>
      <c r="L69" s="949" t="s">
        <v>901</v>
      </c>
      <c r="M69" s="949" t="s">
        <v>901</v>
      </c>
      <c r="N69" s="949" t="s">
        <v>901</v>
      </c>
      <c r="O69" s="949" t="s">
        <v>901</v>
      </c>
      <c r="P69" s="949" t="s">
        <v>901</v>
      </c>
      <c r="Q69" s="949" t="s">
        <v>901</v>
      </c>
      <c r="R69" s="949" t="s">
        <v>901</v>
      </c>
      <c r="S69" s="949" t="s">
        <v>901</v>
      </c>
      <c r="T69" s="1280"/>
      <c r="U69" s="1280"/>
      <c r="V69" s="1282"/>
      <c r="W69" s="893"/>
      <c r="X69" s="893"/>
      <c r="Y69" s="893"/>
      <c r="Z69" s="893"/>
      <c r="AA69" s="893"/>
      <c r="AB69" s="893"/>
      <c r="AC69" s="893"/>
      <c r="AD69" s="893"/>
    </row>
    <row r="70" spans="1:30" ht="15.6">
      <c r="A70" s="906" t="s">
        <v>941</v>
      </c>
      <c r="B70" s="909"/>
      <c r="C70" s="909"/>
      <c r="D70" s="909"/>
      <c r="E70" s="909"/>
      <c r="F70" s="909"/>
      <c r="G70" s="909"/>
      <c r="H70" s="909"/>
      <c r="I70" s="909"/>
      <c r="J70" s="909"/>
      <c r="K70" s="909"/>
      <c r="L70" s="908"/>
      <c r="M70" s="909"/>
      <c r="N70" s="909"/>
      <c r="O70" s="909"/>
      <c r="P70" s="909"/>
      <c r="Q70" s="909"/>
      <c r="R70" s="909"/>
      <c r="S70" s="909"/>
      <c r="T70" s="967">
        <f>SUM(G70:S70)/13</f>
        <v>0</v>
      </c>
      <c r="U70" s="968">
        <v>0</v>
      </c>
      <c r="V70" s="969">
        <f>T70*U70</f>
        <v>0</v>
      </c>
      <c r="W70" s="893"/>
      <c r="X70" s="893"/>
      <c r="Y70" s="893"/>
      <c r="Z70" s="893"/>
      <c r="AA70" s="893"/>
      <c r="AB70" s="893"/>
      <c r="AC70" s="893"/>
      <c r="AD70" s="893"/>
    </row>
    <row r="71" spans="1:30" ht="15.6">
      <c r="A71" s="906" t="s">
        <v>942</v>
      </c>
      <c r="B71" s="918"/>
      <c r="C71" s="918"/>
      <c r="D71" s="918"/>
      <c r="E71" s="918"/>
      <c r="F71" s="918"/>
      <c r="G71" s="918"/>
      <c r="H71" s="918"/>
      <c r="I71" s="918"/>
      <c r="J71" s="918"/>
      <c r="K71" s="918"/>
      <c r="L71" s="918"/>
      <c r="M71" s="918"/>
      <c r="N71" s="918"/>
      <c r="O71" s="918"/>
      <c r="P71" s="918"/>
      <c r="Q71" s="918"/>
      <c r="R71" s="918"/>
      <c r="S71" s="918"/>
      <c r="T71" s="970">
        <f t="shared" ref="T71:T80" si="14">SUM(G71:S71)/13</f>
        <v>0</v>
      </c>
      <c r="U71" s="971">
        <v>0</v>
      </c>
      <c r="V71" s="972">
        <f t="shared" ref="V71:V80" si="15">T71*U71</f>
        <v>0</v>
      </c>
      <c r="W71" s="893"/>
      <c r="X71" s="893"/>
      <c r="Y71" s="893"/>
      <c r="Z71" s="893"/>
      <c r="AA71" s="893"/>
      <c r="AB71" s="893"/>
      <c r="AC71" s="893"/>
      <c r="AD71" s="893"/>
    </row>
    <row r="72" spans="1:30" ht="15.6">
      <c r="A72" s="906" t="s">
        <v>943</v>
      </c>
      <c r="B72" s="918"/>
      <c r="C72" s="918"/>
      <c r="D72" s="918"/>
      <c r="E72" s="918"/>
      <c r="F72" s="918"/>
      <c r="G72" s="918"/>
      <c r="H72" s="918"/>
      <c r="I72" s="918"/>
      <c r="J72" s="918"/>
      <c r="K72" s="918"/>
      <c r="L72" s="918"/>
      <c r="M72" s="918"/>
      <c r="N72" s="918"/>
      <c r="O72" s="918"/>
      <c r="P72" s="918"/>
      <c r="Q72" s="918"/>
      <c r="R72" s="918"/>
      <c r="S72" s="918"/>
      <c r="T72" s="970">
        <f t="shared" si="14"/>
        <v>0</v>
      </c>
      <c r="U72" s="971">
        <v>0</v>
      </c>
      <c r="V72" s="972">
        <f t="shared" si="15"/>
        <v>0</v>
      </c>
      <c r="W72" s="893"/>
      <c r="X72" s="893"/>
      <c r="Y72" s="893"/>
      <c r="Z72" s="893"/>
      <c r="AA72" s="893"/>
      <c r="AB72" s="893"/>
      <c r="AC72" s="893"/>
      <c r="AD72" s="893"/>
    </row>
    <row r="73" spans="1:30" ht="15.6">
      <c r="A73" s="906"/>
      <c r="B73" s="918"/>
      <c r="C73" s="918"/>
      <c r="D73" s="918"/>
      <c r="E73" s="918"/>
      <c r="F73" s="918"/>
      <c r="G73" s="918"/>
      <c r="H73" s="918"/>
      <c r="I73" s="918"/>
      <c r="J73" s="918"/>
      <c r="K73" s="918"/>
      <c r="L73" s="918"/>
      <c r="M73" s="918"/>
      <c r="N73" s="918"/>
      <c r="O73" s="918"/>
      <c r="P73" s="918"/>
      <c r="Q73" s="918"/>
      <c r="R73" s="918"/>
      <c r="S73" s="918"/>
      <c r="T73" s="970">
        <f t="shared" si="14"/>
        <v>0</v>
      </c>
      <c r="U73" s="971">
        <v>0</v>
      </c>
      <c r="V73" s="972">
        <f t="shared" si="15"/>
        <v>0</v>
      </c>
      <c r="W73" s="893"/>
      <c r="X73" s="893"/>
      <c r="Y73" s="893"/>
      <c r="Z73" s="893"/>
      <c r="AA73" s="893"/>
      <c r="AB73" s="893"/>
      <c r="AC73" s="893"/>
      <c r="AD73" s="893"/>
    </row>
    <row r="74" spans="1:30" ht="15.6">
      <c r="A74" s="906" t="s">
        <v>279</v>
      </c>
      <c r="B74" s="918"/>
      <c r="C74" s="918"/>
      <c r="D74" s="918"/>
      <c r="E74" s="918"/>
      <c r="F74" s="918"/>
      <c r="G74" s="918"/>
      <c r="H74" s="918"/>
      <c r="I74" s="918"/>
      <c r="J74" s="918"/>
      <c r="K74" s="918"/>
      <c r="L74" s="918"/>
      <c r="M74" s="918"/>
      <c r="N74" s="918"/>
      <c r="O74" s="918"/>
      <c r="P74" s="918"/>
      <c r="Q74" s="918"/>
      <c r="R74" s="918"/>
      <c r="S74" s="918"/>
      <c r="T74" s="970">
        <f t="shared" si="14"/>
        <v>0</v>
      </c>
      <c r="U74" s="971">
        <v>0</v>
      </c>
      <c r="V74" s="972">
        <f t="shared" si="15"/>
        <v>0</v>
      </c>
      <c r="W74" s="893"/>
      <c r="X74" s="893"/>
      <c r="Y74" s="893"/>
      <c r="Z74" s="893"/>
      <c r="AA74" s="893"/>
      <c r="AB74" s="893"/>
      <c r="AC74" s="893"/>
      <c r="AD74" s="893"/>
    </row>
    <row r="75" spans="1:30" ht="15.6">
      <c r="A75" s="906"/>
      <c r="B75" s="918"/>
      <c r="C75" s="918"/>
      <c r="D75" s="918"/>
      <c r="E75" s="918"/>
      <c r="F75" s="918"/>
      <c r="G75" s="918"/>
      <c r="H75" s="918"/>
      <c r="I75" s="918"/>
      <c r="J75" s="918"/>
      <c r="K75" s="918"/>
      <c r="L75" s="918"/>
      <c r="M75" s="918"/>
      <c r="N75" s="918"/>
      <c r="O75" s="918"/>
      <c r="P75" s="918"/>
      <c r="Q75" s="918"/>
      <c r="R75" s="918"/>
      <c r="S75" s="918"/>
      <c r="T75" s="970">
        <f t="shared" si="14"/>
        <v>0</v>
      </c>
      <c r="U75" s="971">
        <v>0</v>
      </c>
      <c r="V75" s="972">
        <f t="shared" si="15"/>
        <v>0</v>
      </c>
      <c r="W75" s="893"/>
      <c r="X75" s="893"/>
      <c r="Y75" s="893"/>
      <c r="Z75" s="893"/>
      <c r="AA75" s="893"/>
      <c r="AB75" s="893"/>
      <c r="AC75" s="893"/>
      <c r="AD75" s="893"/>
    </row>
    <row r="76" spans="1:30" ht="15.6">
      <c r="A76" s="906"/>
      <c r="B76" s="918"/>
      <c r="C76" s="918"/>
      <c r="D76" s="918"/>
      <c r="E76" s="918"/>
      <c r="F76" s="918"/>
      <c r="G76" s="918"/>
      <c r="H76" s="918"/>
      <c r="I76" s="918"/>
      <c r="J76" s="918"/>
      <c r="K76" s="918"/>
      <c r="L76" s="918"/>
      <c r="M76" s="918"/>
      <c r="N76" s="918"/>
      <c r="O76" s="918"/>
      <c r="P76" s="918"/>
      <c r="Q76" s="918"/>
      <c r="R76" s="918"/>
      <c r="S76" s="918"/>
      <c r="T76" s="970">
        <f t="shared" si="14"/>
        <v>0</v>
      </c>
      <c r="U76" s="971">
        <v>0</v>
      </c>
      <c r="V76" s="972">
        <f t="shared" si="15"/>
        <v>0</v>
      </c>
      <c r="W76" s="893"/>
      <c r="X76" s="893"/>
      <c r="Y76" s="893"/>
      <c r="Z76" s="893"/>
      <c r="AA76" s="893"/>
      <c r="AB76" s="893"/>
      <c r="AC76" s="893"/>
      <c r="AD76" s="893"/>
    </row>
    <row r="77" spans="1:30" ht="15.6">
      <c r="A77" s="906"/>
      <c r="B77" s="918"/>
      <c r="C77" s="918"/>
      <c r="D77" s="918"/>
      <c r="E77" s="918"/>
      <c r="F77" s="918"/>
      <c r="G77" s="918"/>
      <c r="H77" s="918"/>
      <c r="I77" s="918"/>
      <c r="J77" s="918"/>
      <c r="K77" s="918"/>
      <c r="L77" s="918"/>
      <c r="M77" s="918"/>
      <c r="N77" s="918"/>
      <c r="O77" s="918"/>
      <c r="P77" s="918"/>
      <c r="Q77" s="918"/>
      <c r="R77" s="918"/>
      <c r="S77" s="918"/>
      <c r="T77" s="970">
        <f t="shared" si="14"/>
        <v>0</v>
      </c>
      <c r="U77" s="971">
        <v>0</v>
      </c>
      <c r="V77" s="972">
        <f t="shared" si="15"/>
        <v>0</v>
      </c>
      <c r="W77" s="893"/>
      <c r="X77" s="893"/>
      <c r="Y77" s="893"/>
      <c r="Z77" s="893"/>
      <c r="AA77" s="893"/>
      <c r="AB77" s="893"/>
      <c r="AC77" s="893"/>
      <c r="AD77" s="893"/>
    </row>
    <row r="78" spans="1:30" ht="15.6">
      <c r="A78" s="906" t="s">
        <v>279</v>
      </c>
      <c r="B78" s="918"/>
      <c r="C78" s="918"/>
      <c r="D78" s="918"/>
      <c r="E78" s="918"/>
      <c r="F78" s="918"/>
      <c r="G78" s="918"/>
      <c r="H78" s="918"/>
      <c r="I78" s="918"/>
      <c r="J78" s="918"/>
      <c r="K78" s="918"/>
      <c r="L78" s="918"/>
      <c r="M78" s="918"/>
      <c r="N78" s="918"/>
      <c r="O78" s="918"/>
      <c r="P78" s="918"/>
      <c r="Q78" s="918"/>
      <c r="R78" s="918"/>
      <c r="S78" s="918"/>
      <c r="T78" s="970">
        <f t="shared" si="14"/>
        <v>0</v>
      </c>
      <c r="U78" s="971">
        <v>0</v>
      </c>
      <c r="V78" s="972">
        <f t="shared" si="15"/>
        <v>0</v>
      </c>
      <c r="W78" s="893"/>
      <c r="X78" s="893"/>
      <c r="Y78" s="893"/>
      <c r="Z78" s="893"/>
      <c r="AA78" s="893"/>
      <c r="AB78" s="893"/>
      <c r="AC78" s="893"/>
      <c r="AD78" s="893"/>
    </row>
    <row r="79" spans="1:30" ht="15.6">
      <c r="A79" s="906"/>
      <c r="B79" s="918"/>
      <c r="C79" s="918"/>
      <c r="D79" s="918"/>
      <c r="E79" s="918"/>
      <c r="F79" s="918"/>
      <c r="G79" s="918"/>
      <c r="H79" s="918"/>
      <c r="I79" s="918"/>
      <c r="J79" s="918"/>
      <c r="K79" s="918"/>
      <c r="L79" s="918"/>
      <c r="M79" s="918"/>
      <c r="N79" s="918"/>
      <c r="O79" s="918"/>
      <c r="P79" s="918"/>
      <c r="Q79" s="918"/>
      <c r="R79" s="918"/>
      <c r="S79" s="918"/>
      <c r="T79" s="970">
        <f t="shared" si="14"/>
        <v>0</v>
      </c>
      <c r="U79" s="971">
        <v>0</v>
      </c>
      <c r="V79" s="972">
        <f t="shared" si="15"/>
        <v>0</v>
      </c>
      <c r="W79" s="893"/>
      <c r="X79" s="893"/>
      <c r="Y79" s="893"/>
      <c r="Z79" s="893"/>
      <c r="AA79" s="893"/>
      <c r="AB79" s="893"/>
      <c r="AC79" s="893"/>
      <c r="AD79" s="893"/>
    </row>
    <row r="80" spans="1:30" ht="15.6">
      <c r="A80" s="973" t="s">
        <v>944</v>
      </c>
      <c r="B80" s="925"/>
      <c r="C80" s="925"/>
      <c r="D80" s="925"/>
      <c r="E80" s="925"/>
      <c r="F80" s="925"/>
      <c r="G80" s="925"/>
      <c r="H80" s="925"/>
      <c r="I80" s="925"/>
      <c r="J80" s="925"/>
      <c r="K80" s="925"/>
      <c r="L80" s="925"/>
      <c r="M80" s="925"/>
      <c r="N80" s="925"/>
      <c r="O80" s="925"/>
      <c r="P80" s="925"/>
      <c r="Q80" s="925"/>
      <c r="R80" s="925"/>
      <c r="S80" s="925"/>
      <c r="T80" s="974">
        <f t="shared" si="14"/>
        <v>0</v>
      </c>
      <c r="U80" s="975">
        <v>0</v>
      </c>
      <c r="V80" s="976">
        <f t="shared" si="15"/>
        <v>0</v>
      </c>
      <c r="W80" s="893"/>
      <c r="X80" s="893"/>
      <c r="Y80" s="893"/>
      <c r="Z80" s="893"/>
      <c r="AA80" s="893"/>
      <c r="AB80" s="893"/>
      <c r="AC80" s="893"/>
      <c r="AD80" s="893"/>
    </row>
    <row r="81" spans="1:30" ht="15.6">
      <c r="A81" s="931">
        <v>8</v>
      </c>
      <c r="B81" s="977" t="s">
        <v>945</v>
      </c>
      <c r="C81" s="978"/>
      <c r="D81" s="978"/>
      <c r="E81" s="978"/>
      <c r="F81" s="978"/>
      <c r="G81" s="978"/>
      <c r="H81" s="978"/>
      <c r="I81" s="978"/>
      <c r="J81" s="978"/>
      <c r="K81" s="978"/>
      <c r="L81" s="978"/>
      <c r="M81" s="978"/>
      <c r="N81" s="978"/>
      <c r="O81" s="978"/>
      <c r="P81" s="978"/>
      <c r="Q81" s="978"/>
      <c r="R81" s="978"/>
      <c r="S81" s="978"/>
      <c r="T81" s="978" t="s">
        <v>946</v>
      </c>
      <c r="U81" s="978"/>
      <c r="V81" s="979">
        <f>SUM(V70:V80)</f>
        <v>0</v>
      </c>
      <c r="W81" s="893"/>
      <c r="X81" s="893"/>
      <c r="Y81" s="893"/>
      <c r="Z81" s="893"/>
      <c r="AA81" s="893"/>
      <c r="AB81" s="893"/>
      <c r="AC81" s="893"/>
      <c r="AD81" s="893"/>
    </row>
    <row r="82" spans="1:30" ht="15.6">
      <c r="A82" s="892"/>
      <c r="B82" s="892"/>
      <c r="C82" s="892"/>
      <c r="D82" s="892"/>
      <c r="E82" s="892"/>
      <c r="F82" s="892"/>
      <c r="G82" s="892"/>
      <c r="H82" s="892"/>
      <c r="I82" s="892"/>
      <c r="J82" s="892"/>
      <c r="K82" s="892"/>
      <c r="L82" s="892"/>
      <c r="M82" s="892"/>
      <c r="N82" s="892"/>
      <c r="O82" s="892"/>
      <c r="P82" s="892"/>
      <c r="Q82" s="892"/>
      <c r="R82" s="892"/>
      <c r="S82" s="892"/>
      <c r="T82" s="892"/>
      <c r="U82" s="892"/>
      <c r="V82" s="892"/>
      <c r="W82" s="893"/>
      <c r="X82" s="893"/>
      <c r="Y82" s="893"/>
      <c r="Z82" s="893"/>
      <c r="AA82" s="893"/>
      <c r="AB82" s="893"/>
      <c r="AC82" s="893"/>
      <c r="AD82" s="893"/>
    </row>
    <row r="83" spans="1:30" ht="15.6">
      <c r="A83" s="892" t="s">
        <v>947</v>
      </c>
      <c r="B83" s="892"/>
      <c r="C83" s="892"/>
      <c r="D83" s="892"/>
      <c r="E83" s="892"/>
      <c r="F83" s="892"/>
      <c r="G83" s="892"/>
      <c r="H83" s="892"/>
      <c r="I83" s="892"/>
      <c r="J83" s="892"/>
      <c r="K83" s="892"/>
      <c r="L83" s="892"/>
      <c r="M83" s="892"/>
      <c r="N83" s="892"/>
      <c r="O83" s="892"/>
      <c r="P83" s="892"/>
      <c r="Q83" s="892"/>
      <c r="R83" s="892"/>
      <c r="S83" s="892"/>
      <c r="T83" s="892"/>
      <c r="U83" s="892"/>
      <c r="V83" s="892"/>
      <c r="W83" s="893"/>
      <c r="X83" s="893"/>
      <c r="Y83" s="893"/>
      <c r="Z83" s="893"/>
      <c r="AA83" s="893"/>
      <c r="AB83" s="893"/>
      <c r="AC83" s="893"/>
      <c r="AD83" s="893"/>
    </row>
    <row r="84" spans="1:30" ht="15.6">
      <c r="A84" s="892"/>
      <c r="B84" s="892"/>
      <c r="C84" s="892"/>
      <c r="D84" s="892"/>
      <c r="E84" s="892"/>
      <c r="F84" s="892"/>
      <c r="G84" s="892"/>
      <c r="H84" s="892"/>
      <c r="I84" s="892"/>
      <c r="J84" s="892"/>
      <c r="K84" s="892"/>
      <c r="L84" s="892"/>
      <c r="M84" s="892"/>
      <c r="N84" s="892"/>
      <c r="O84" s="892"/>
      <c r="P84" s="892"/>
      <c r="Q84" s="892"/>
      <c r="R84" s="892"/>
      <c r="S84" s="892"/>
      <c r="T84" s="892"/>
      <c r="U84" s="892"/>
      <c r="V84" s="892"/>
      <c r="W84" s="893"/>
      <c r="X84" s="893"/>
      <c r="Y84" s="893"/>
      <c r="Z84" s="893"/>
      <c r="AA84" s="893"/>
      <c r="AB84" s="893"/>
      <c r="AC84" s="893"/>
      <c r="AD84" s="893"/>
    </row>
    <row r="85" spans="1:30" ht="15.6">
      <c r="A85" s="980"/>
      <c r="B85" s="981"/>
      <c r="C85" s="981"/>
      <c r="D85" s="982"/>
      <c r="E85" s="982"/>
      <c r="F85" s="982"/>
      <c r="G85" s="981"/>
      <c r="H85" s="981"/>
      <c r="I85" s="982"/>
      <c r="J85" s="982"/>
      <c r="K85" s="982"/>
      <c r="L85" s="982"/>
      <c r="M85" s="982"/>
      <c r="N85" s="893"/>
      <c r="O85" s="893"/>
      <c r="P85" s="893"/>
      <c r="Q85" s="893"/>
      <c r="R85" s="893"/>
      <c r="S85" s="893"/>
      <c r="T85" s="893"/>
      <c r="U85" s="893"/>
      <c r="V85" s="893"/>
      <c r="W85" s="893"/>
      <c r="X85" s="893"/>
      <c r="Y85" s="893"/>
      <c r="Z85" s="893"/>
      <c r="AA85" s="893"/>
      <c r="AB85" s="893"/>
      <c r="AC85" s="893"/>
      <c r="AD85" s="893"/>
    </row>
    <row r="86" spans="1:30" ht="15.6">
      <c r="A86" s="980"/>
      <c r="B86" s="981"/>
      <c r="C86" s="981"/>
      <c r="D86" s="981"/>
      <c r="E86" s="981"/>
      <c r="F86" s="981"/>
      <c r="G86" s="981"/>
      <c r="H86" s="981"/>
      <c r="I86" s="981"/>
      <c r="J86" s="981"/>
      <c r="K86" s="981"/>
      <c r="L86" s="981"/>
      <c r="M86" s="981"/>
      <c r="N86" s="893"/>
      <c r="O86" s="893"/>
      <c r="P86" s="893"/>
      <c r="Q86" s="893"/>
      <c r="R86" s="893"/>
      <c r="S86" s="893"/>
      <c r="T86" s="893"/>
      <c r="U86" s="893"/>
      <c r="V86" s="893"/>
      <c r="W86" s="893"/>
      <c r="X86" s="893"/>
      <c r="Y86" s="893"/>
      <c r="Z86" s="893"/>
      <c r="AA86" s="893"/>
      <c r="AB86" s="893"/>
      <c r="AC86" s="893"/>
      <c r="AD86" s="893"/>
    </row>
    <row r="87" spans="1:30" ht="15.6">
      <c r="A87" s="983" t="s">
        <v>948</v>
      </c>
      <c r="B87" s="983"/>
      <c r="C87" s="983"/>
      <c r="D87" s="981"/>
      <c r="E87" s="981"/>
      <c r="F87" s="981"/>
      <c r="G87" s="981"/>
      <c r="H87" s="981"/>
      <c r="I87" s="981"/>
      <c r="J87" s="981"/>
      <c r="K87" s="981"/>
      <c r="L87" s="981"/>
      <c r="M87" s="981"/>
      <c r="N87" s="893"/>
      <c r="O87" s="893"/>
      <c r="P87" s="893"/>
      <c r="Q87" s="893"/>
      <c r="R87" s="893"/>
      <c r="S87" s="893"/>
      <c r="T87" s="893"/>
      <c r="U87" s="893"/>
      <c r="V87" s="893"/>
      <c r="W87" s="893"/>
      <c r="X87" s="893"/>
      <c r="Y87" s="893"/>
      <c r="Z87" s="893"/>
      <c r="AA87" s="893"/>
      <c r="AB87" s="893"/>
      <c r="AC87" s="893"/>
      <c r="AD87" s="893"/>
    </row>
    <row r="88" spans="1:30" ht="15.6">
      <c r="A88" s="980"/>
      <c r="B88" s="981" t="s">
        <v>949</v>
      </c>
      <c r="C88" s="981"/>
      <c r="D88" s="981"/>
      <c r="E88" s="981"/>
      <c r="F88" s="981"/>
      <c r="G88" s="981"/>
      <c r="H88" s="981"/>
      <c r="I88" s="981"/>
      <c r="J88" s="981"/>
      <c r="K88" s="981"/>
      <c r="L88" s="981"/>
      <c r="M88" s="981"/>
      <c r="N88" s="893"/>
      <c r="O88" s="893"/>
      <c r="P88" s="893"/>
      <c r="Q88" s="893"/>
      <c r="R88" s="893"/>
      <c r="S88" s="893"/>
      <c r="T88" s="893"/>
      <c r="U88" s="893"/>
      <c r="V88" s="893"/>
      <c r="W88" s="893"/>
      <c r="X88" s="893"/>
      <c r="Y88" s="893"/>
      <c r="Z88" s="893"/>
      <c r="AA88" s="893"/>
      <c r="AB88" s="893"/>
      <c r="AC88" s="893"/>
      <c r="AD88" s="893"/>
    </row>
    <row r="89" spans="1:30" ht="15.6">
      <c r="A89" s="980"/>
      <c r="B89" s="981"/>
      <c r="C89" s="981"/>
      <c r="D89" s="981"/>
      <c r="E89" s="981"/>
      <c r="F89" s="981"/>
      <c r="G89" s="981"/>
      <c r="H89" s="981"/>
      <c r="I89" s="981"/>
      <c r="J89" s="981"/>
      <c r="K89" s="981"/>
      <c r="L89" s="981"/>
      <c r="M89" s="981"/>
      <c r="N89" s="893"/>
      <c r="O89" s="893"/>
      <c r="P89" s="893"/>
      <c r="Q89" s="893"/>
      <c r="R89" s="893"/>
      <c r="S89" s="893"/>
      <c r="T89" s="893"/>
      <c r="U89" s="893"/>
      <c r="V89" s="893"/>
      <c r="W89" s="893"/>
      <c r="X89" s="893"/>
      <c r="Y89" s="893"/>
      <c r="Z89" s="893"/>
      <c r="AA89" s="893"/>
      <c r="AB89" s="893"/>
      <c r="AC89" s="893"/>
      <c r="AD89" s="893"/>
    </row>
    <row r="90" spans="1:30" ht="15.6">
      <c r="A90" s="984"/>
      <c r="B90" s="985" t="s">
        <v>616</v>
      </c>
      <c r="C90" s="986">
        <v>350</v>
      </c>
      <c r="D90" s="986">
        <v>352</v>
      </c>
      <c r="E90" s="986">
        <v>352</v>
      </c>
      <c r="F90" s="986">
        <v>353</v>
      </c>
      <c r="G90" s="986">
        <v>354</v>
      </c>
      <c r="H90" s="986">
        <v>355</v>
      </c>
      <c r="I90" s="986">
        <v>356</v>
      </c>
      <c r="J90" s="986">
        <v>357</v>
      </c>
      <c r="K90" s="986">
        <v>358</v>
      </c>
      <c r="L90" s="986">
        <v>359</v>
      </c>
      <c r="M90" s="987"/>
      <c r="N90" s="893"/>
      <c r="O90" s="893"/>
      <c r="P90" s="893"/>
      <c r="Q90" s="893"/>
      <c r="R90" s="893"/>
      <c r="S90" s="893"/>
      <c r="T90" s="893"/>
      <c r="U90" s="893"/>
      <c r="V90" s="893"/>
      <c r="W90" s="893"/>
      <c r="X90" s="893"/>
      <c r="Y90" s="893"/>
      <c r="Z90" s="893"/>
      <c r="AA90" s="893"/>
      <c r="AB90" s="893"/>
      <c r="AC90" s="893"/>
      <c r="AD90" s="893"/>
    </row>
    <row r="91" spans="1:30" ht="58.5" customHeight="1">
      <c r="A91" s="988"/>
      <c r="B91" s="989"/>
      <c r="C91" s="990" t="s">
        <v>950</v>
      </c>
      <c r="D91" s="990" t="s">
        <v>951</v>
      </c>
      <c r="E91" s="990" t="s">
        <v>952</v>
      </c>
      <c r="F91" s="990" t="s">
        <v>953</v>
      </c>
      <c r="G91" s="990" t="s">
        <v>954</v>
      </c>
      <c r="H91" s="990" t="s">
        <v>955</v>
      </c>
      <c r="I91" s="990" t="s">
        <v>956</v>
      </c>
      <c r="J91" s="990" t="s">
        <v>957</v>
      </c>
      <c r="K91" s="990" t="s">
        <v>958</v>
      </c>
      <c r="L91" s="990" t="s">
        <v>959</v>
      </c>
      <c r="M91" s="991" t="s">
        <v>37</v>
      </c>
      <c r="N91" s="893"/>
      <c r="O91" s="893"/>
      <c r="P91" s="893"/>
      <c r="Q91" s="893"/>
      <c r="R91" s="893"/>
      <c r="S91" s="893"/>
      <c r="T91" s="893"/>
      <c r="U91" s="893"/>
      <c r="V91" s="893"/>
      <c r="W91" s="893"/>
      <c r="X91" s="893"/>
      <c r="Y91" s="893"/>
      <c r="Z91" s="893"/>
      <c r="AA91" s="893"/>
      <c r="AB91" s="893"/>
      <c r="AC91" s="893"/>
      <c r="AD91" s="893"/>
    </row>
    <row r="92" spans="1:30" ht="15.6">
      <c r="A92" s="992" t="s">
        <v>287</v>
      </c>
      <c r="B92" s="993"/>
      <c r="C92" s="994"/>
      <c r="D92" s="994"/>
      <c r="E92" s="994"/>
      <c r="F92" s="994"/>
      <c r="G92" s="994"/>
      <c r="H92" s="994"/>
      <c r="I92" s="994"/>
      <c r="J92" s="994"/>
      <c r="K92" s="994"/>
      <c r="L92" s="994"/>
      <c r="M92" s="995">
        <f t="shared" ref="M92:M108" si="16">SUM(C92:L92)</f>
        <v>0</v>
      </c>
      <c r="N92" s="893"/>
      <c r="O92" s="893"/>
      <c r="P92" s="893"/>
      <c r="Q92" s="893"/>
      <c r="R92" s="893"/>
      <c r="S92" s="893"/>
      <c r="T92" s="893"/>
      <c r="U92" s="893"/>
      <c r="V92" s="893"/>
      <c r="W92" s="893"/>
      <c r="X92" s="893"/>
      <c r="Y92" s="893"/>
      <c r="Z92" s="893"/>
      <c r="AA92" s="893"/>
      <c r="AB92" s="893"/>
      <c r="AC92" s="893"/>
      <c r="AD92" s="893"/>
    </row>
    <row r="93" spans="1:30" ht="15.6">
      <c r="A93" s="996" t="s">
        <v>288</v>
      </c>
      <c r="B93" s="997"/>
      <c r="C93" s="998"/>
      <c r="D93" s="998"/>
      <c r="E93" s="998"/>
      <c r="F93" s="998"/>
      <c r="G93" s="998"/>
      <c r="H93" s="998"/>
      <c r="I93" s="998"/>
      <c r="J93" s="998"/>
      <c r="K93" s="998"/>
      <c r="L93" s="998"/>
      <c r="M93" s="999">
        <f t="shared" si="16"/>
        <v>0</v>
      </c>
      <c r="N93" s="893"/>
      <c r="O93" s="893"/>
      <c r="P93" s="893"/>
      <c r="Q93" s="893"/>
      <c r="R93" s="893"/>
      <c r="S93" s="893"/>
      <c r="T93" s="893"/>
      <c r="U93" s="893"/>
      <c r="V93" s="893"/>
      <c r="W93" s="893"/>
      <c r="X93" s="893"/>
      <c r="Y93" s="893"/>
      <c r="Z93" s="893"/>
      <c r="AA93" s="893"/>
      <c r="AB93" s="893"/>
      <c r="AC93" s="893"/>
      <c r="AD93" s="893"/>
    </row>
    <row r="94" spans="1:30" ht="15.6">
      <c r="A94" s="996" t="s">
        <v>289</v>
      </c>
      <c r="B94" s="997"/>
      <c r="C94" s="998"/>
      <c r="D94" s="998"/>
      <c r="E94" s="998"/>
      <c r="F94" s="998"/>
      <c r="G94" s="998"/>
      <c r="H94" s="998"/>
      <c r="I94" s="998"/>
      <c r="J94" s="998"/>
      <c r="K94" s="998"/>
      <c r="L94" s="998"/>
      <c r="M94" s="999">
        <f t="shared" si="16"/>
        <v>0</v>
      </c>
      <c r="N94" s="893"/>
      <c r="O94" s="893"/>
      <c r="P94" s="893"/>
      <c r="Q94" s="893"/>
      <c r="R94" s="893"/>
      <c r="S94" s="893"/>
      <c r="T94" s="893"/>
      <c r="U94" s="893"/>
      <c r="V94" s="893"/>
      <c r="W94" s="893"/>
      <c r="X94" s="893"/>
      <c r="Y94" s="893"/>
      <c r="Z94" s="893"/>
      <c r="AA94" s="893"/>
      <c r="AB94" s="893"/>
      <c r="AC94" s="893"/>
      <c r="AD94" s="893"/>
    </row>
    <row r="95" spans="1:30" ht="15.6">
      <c r="A95" s="996" t="s">
        <v>279</v>
      </c>
      <c r="B95" s="997"/>
      <c r="C95" s="998"/>
      <c r="D95" s="998"/>
      <c r="E95" s="998"/>
      <c r="F95" s="998"/>
      <c r="G95" s="998"/>
      <c r="H95" s="998"/>
      <c r="I95" s="998"/>
      <c r="J95" s="998"/>
      <c r="K95" s="998"/>
      <c r="L95" s="998"/>
      <c r="M95" s="999">
        <f t="shared" si="16"/>
        <v>0</v>
      </c>
      <c r="N95" s="893"/>
      <c r="O95" s="893"/>
      <c r="P95" s="893"/>
      <c r="Q95" s="893"/>
      <c r="R95" s="893"/>
      <c r="S95" s="893"/>
      <c r="T95" s="893"/>
      <c r="U95" s="893"/>
      <c r="V95" s="893"/>
      <c r="W95" s="893"/>
      <c r="X95" s="893"/>
      <c r="Y95" s="893"/>
      <c r="Z95" s="893"/>
      <c r="AA95" s="893"/>
      <c r="AB95" s="893"/>
      <c r="AC95" s="893"/>
      <c r="AD95" s="893"/>
    </row>
    <row r="96" spans="1:30" ht="15.6">
      <c r="A96" s="996" t="s">
        <v>279</v>
      </c>
      <c r="B96" s="997"/>
      <c r="C96" s="998"/>
      <c r="D96" s="998"/>
      <c r="E96" s="998"/>
      <c r="F96" s="998"/>
      <c r="G96" s="998"/>
      <c r="H96" s="998"/>
      <c r="I96" s="998"/>
      <c r="J96" s="998"/>
      <c r="K96" s="998"/>
      <c r="L96" s="998"/>
      <c r="M96" s="999">
        <f t="shared" si="16"/>
        <v>0</v>
      </c>
      <c r="N96" s="893"/>
      <c r="O96" s="893"/>
      <c r="P96" s="893"/>
      <c r="Q96" s="893"/>
      <c r="R96" s="893"/>
      <c r="S96" s="893"/>
      <c r="T96" s="893"/>
      <c r="U96" s="893"/>
      <c r="V96" s="893"/>
      <c r="W96" s="893"/>
      <c r="X96" s="893"/>
      <c r="Y96" s="893"/>
      <c r="Z96" s="893"/>
      <c r="AA96" s="893"/>
      <c r="AB96" s="893"/>
      <c r="AC96" s="893"/>
      <c r="AD96" s="893"/>
    </row>
    <row r="97" spans="1:30" ht="15.6">
      <c r="A97" s="996" t="s">
        <v>279</v>
      </c>
      <c r="B97" s="997"/>
      <c r="C97" s="998"/>
      <c r="D97" s="998"/>
      <c r="E97" s="998"/>
      <c r="F97" s="998"/>
      <c r="G97" s="998"/>
      <c r="H97" s="998"/>
      <c r="I97" s="998"/>
      <c r="J97" s="998"/>
      <c r="K97" s="998"/>
      <c r="L97" s="998"/>
      <c r="M97" s="999">
        <f t="shared" si="16"/>
        <v>0</v>
      </c>
      <c r="N97" s="893"/>
      <c r="O97" s="893"/>
      <c r="P97" s="893"/>
      <c r="Q97" s="893"/>
      <c r="R97" s="893"/>
      <c r="S97" s="893"/>
      <c r="T97" s="893"/>
      <c r="U97" s="893"/>
      <c r="V97" s="893"/>
      <c r="W97" s="893"/>
      <c r="X97" s="893"/>
      <c r="Y97" s="893"/>
      <c r="Z97" s="893"/>
      <c r="AA97" s="893"/>
      <c r="AB97" s="893"/>
      <c r="AC97" s="893"/>
      <c r="AD97" s="893"/>
    </row>
    <row r="98" spans="1:30" ht="15.6">
      <c r="A98" s="996" t="s">
        <v>279</v>
      </c>
      <c r="B98" s="997"/>
      <c r="C98" s="998"/>
      <c r="D98" s="998"/>
      <c r="E98" s="998"/>
      <c r="F98" s="998"/>
      <c r="G98" s="998"/>
      <c r="H98" s="998"/>
      <c r="I98" s="998"/>
      <c r="J98" s="998"/>
      <c r="K98" s="998"/>
      <c r="L98" s="998"/>
      <c r="M98" s="999">
        <f t="shared" si="16"/>
        <v>0</v>
      </c>
      <c r="N98" s="893"/>
      <c r="O98" s="893"/>
      <c r="P98" s="893"/>
      <c r="Q98" s="893"/>
      <c r="R98" s="893"/>
      <c r="S98" s="893"/>
      <c r="T98" s="893"/>
      <c r="U98" s="893"/>
      <c r="V98" s="893"/>
      <c r="W98" s="893"/>
      <c r="X98" s="893"/>
      <c r="Y98" s="893"/>
      <c r="Z98" s="893"/>
      <c r="AA98" s="893"/>
      <c r="AB98" s="893"/>
      <c r="AC98" s="893"/>
      <c r="AD98" s="893"/>
    </row>
    <row r="99" spans="1:30" ht="15.6">
      <c r="A99" s="996" t="s">
        <v>279</v>
      </c>
      <c r="B99" s="997"/>
      <c r="C99" s="998"/>
      <c r="D99" s="998"/>
      <c r="E99" s="998"/>
      <c r="F99" s="998"/>
      <c r="G99" s="998"/>
      <c r="H99" s="998"/>
      <c r="I99" s="998"/>
      <c r="J99" s="998"/>
      <c r="K99" s="998"/>
      <c r="L99" s="998"/>
      <c r="M99" s="999">
        <f t="shared" si="16"/>
        <v>0</v>
      </c>
      <c r="N99" s="893"/>
      <c r="O99" s="893"/>
      <c r="P99" s="893"/>
      <c r="Q99" s="893"/>
      <c r="R99" s="893"/>
      <c r="S99" s="893"/>
      <c r="T99" s="893"/>
      <c r="U99" s="893"/>
      <c r="V99" s="893"/>
      <c r="W99" s="893"/>
      <c r="X99" s="893"/>
      <c r="Y99" s="893"/>
      <c r="Z99" s="893"/>
      <c r="AA99" s="893"/>
      <c r="AB99" s="893"/>
      <c r="AC99" s="893"/>
      <c r="AD99" s="893"/>
    </row>
    <row r="100" spans="1:30" ht="15.6">
      <c r="A100" s="996" t="s">
        <v>279</v>
      </c>
      <c r="B100" s="997"/>
      <c r="C100" s="998"/>
      <c r="D100" s="998"/>
      <c r="E100" s="998"/>
      <c r="F100" s="998"/>
      <c r="G100" s="998"/>
      <c r="H100" s="998"/>
      <c r="I100" s="998"/>
      <c r="J100" s="998"/>
      <c r="K100" s="998"/>
      <c r="L100" s="998"/>
      <c r="M100" s="999">
        <f t="shared" si="16"/>
        <v>0</v>
      </c>
      <c r="N100" s="893"/>
      <c r="O100" s="893"/>
      <c r="P100" s="893"/>
      <c r="Q100" s="893"/>
      <c r="R100" s="893"/>
      <c r="S100" s="893"/>
      <c r="T100" s="893"/>
      <c r="U100" s="893"/>
      <c r="V100" s="893"/>
      <c r="W100" s="893"/>
      <c r="X100" s="893"/>
      <c r="Y100" s="893"/>
      <c r="Z100" s="893"/>
      <c r="AA100" s="893"/>
      <c r="AB100" s="893"/>
      <c r="AC100" s="893"/>
      <c r="AD100" s="893"/>
    </row>
    <row r="101" spans="1:30" ht="15.6">
      <c r="A101" s="996" t="s">
        <v>279</v>
      </c>
      <c r="B101" s="997"/>
      <c r="C101" s="998"/>
      <c r="D101" s="998"/>
      <c r="E101" s="998"/>
      <c r="F101" s="998"/>
      <c r="G101" s="998"/>
      <c r="H101" s="998"/>
      <c r="I101" s="998"/>
      <c r="J101" s="998"/>
      <c r="K101" s="998"/>
      <c r="L101" s="998"/>
      <c r="M101" s="999">
        <f>SUM(C101:L101)</f>
        <v>0</v>
      </c>
      <c r="N101" s="893"/>
      <c r="O101" s="893"/>
      <c r="P101" s="893"/>
      <c r="Q101" s="893"/>
      <c r="R101" s="893"/>
      <c r="S101" s="893"/>
      <c r="T101" s="893"/>
      <c r="U101" s="893"/>
      <c r="V101" s="893"/>
      <c r="W101" s="893"/>
      <c r="X101" s="893"/>
      <c r="Y101" s="893"/>
      <c r="Z101" s="893"/>
      <c r="AA101" s="893"/>
      <c r="AB101" s="893"/>
      <c r="AC101" s="893"/>
      <c r="AD101" s="893"/>
    </row>
    <row r="102" spans="1:30" ht="15.6">
      <c r="A102" s="996" t="s">
        <v>279</v>
      </c>
      <c r="B102" s="997"/>
      <c r="C102" s="998"/>
      <c r="D102" s="998"/>
      <c r="E102" s="998"/>
      <c r="F102" s="998"/>
      <c r="G102" s="998"/>
      <c r="H102" s="998"/>
      <c r="I102" s="998"/>
      <c r="J102" s="998"/>
      <c r="K102" s="998"/>
      <c r="L102" s="998"/>
      <c r="M102" s="999">
        <f t="shared" si="16"/>
        <v>0</v>
      </c>
      <c r="N102" s="893"/>
      <c r="O102" s="893"/>
      <c r="P102" s="893"/>
      <c r="Q102" s="893"/>
      <c r="R102" s="893"/>
      <c r="S102" s="893"/>
      <c r="T102" s="893"/>
      <c r="U102" s="893"/>
      <c r="V102" s="893"/>
      <c r="W102" s="893"/>
      <c r="X102" s="893"/>
      <c r="Y102" s="893"/>
      <c r="Z102" s="893"/>
      <c r="AA102" s="893"/>
      <c r="AB102" s="893"/>
      <c r="AC102" s="893"/>
      <c r="AD102" s="893"/>
    </row>
    <row r="103" spans="1:30" ht="15.6">
      <c r="A103" s="996" t="s">
        <v>279</v>
      </c>
      <c r="B103" s="997"/>
      <c r="C103" s="998"/>
      <c r="D103" s="998"/>
      <c r="E103" s="998"/>
      <c r="F103" s="998"/>
      <c r="G103" s="998"/>
      <c r="H103" s="998"/>
      <c r="I103" s="998"/>
      <c r="J103" s="998"/>
      <c r="K103" s="998"/>
      <c r="L103" s="998"/>
      <c r="M103" s="999">
        <f t="shared" si="16"/>
        <v>0</v>
      </c>
      <c r="N103" s="893"/>
      <c r="O103" s="893"/>
      <c r="P103" s="893"/>
      <c r="Q103" s="893"/>
      <c r="R103" s="893"/>
      <c r="S103" s="893"/>
      <c r="T103" s="893"/>
      <c r="U103" s="893"/>
      <c r="V103" s="893"/>
      <c r="W103" s="893"/>
      <c r="X103" s="893"/>
      <c r="Y103" s="893"/>
      <c r="Z103" s="893"/>
      <c r="AA103" s="893"/>
      <c r="AB103" s="893"/>
      <c r="AC103" s="893"/>
      <c r="AD103" s="893"/>
    </row>
    <row r="104" spans="1:30" ht="15.6">
      <c r="A104" s="996" t="s">
        <v>279</v>
      </c>
      <c r="B104" s="997"/>
      <c r="C104" s="998"/>
      <c r="D104" s="998"/>
      <c r="E104" s="998"/>
      <c r="F104" s="998"/>
      <c r="G104" s="998"/>
      <c r="H104" s="998"/>
      <c r="I104" s="998"/>
      <c r="J104" s="998"/>
      <c r="K104" s="998"/>
      <c r="L104" s="998"/>
      <c r="M104" s="999">
        <f t="shared" si="16"/>
        <v>0</v>
      </c>
      <c r="N104" s="893"/>
      <c r="O104" s="893"/>
      <c r="P104" s="893"/>
      <c r="Q104" s="893"/>
      <c r="R104" s="893"/>
      <c r="S104" s="893"/>
      <c r="T104" s="893"/>
      <c r="U104" s="893"/>
      <c r="V104" s="893"/>
      <c r="W104" s="893"/>
      <c r="X104" s="893"/>
      <c r="Y104" s="893"/>
      <c r="Z104" s="893"/>
      <c r="AA104" s="893"/>
      <c r="AB104" s="893"/>
      <c r="AC104" s="893"/>
      <c r="AD104" s="893"/>
    </row>
    <row r="105" spans="1:30" ht="15.6">
      <c r="A105" s="996"/>
      <c r="B105" s="997"/>
      <c r="C105" s="998"/>
      <c r="D105" s="998"/>
      <c r="E105" s="998"/>
      <c r="F105" s="998"/>
      <c r="G105" s="998"/>
      <c r="H105" s="998"/>
      <c r="I105" s="998"/>
      <c r="J105" s="998"/>
      <c r="K105" s="998"/>
      <c r="L105" s="998"/>
      <c r="M105" s="999">
        <f t="shared" si="16"/>
        <v>0</v>
      </c>
      <c r="N105" s="893"/>
      <c r="O105" s="893"/>
      <c r="P105" s="893"/>
      <c r="Q105" s="893"/>
      <c r="R105" s="893"/>
      <c r="S105" s="893"/>
      <c r="T105" s="893"/>
      <c r="U105" s="893"/>
      <c r="V105" s="893"/>
      <c r="W105" s="893"/>
      <c r="X105" s="893"/>
      <c r="Y105" s="893"/>
      <c r="Z105" s="893"/>
      <c r="AA105" s="893"/>
      <c r="AB105" s="893"/>
      <c r="AC105" s="893"/>
      <c r="AD105" s="893"/>
    </row>
    <row r="106" spans="1:30" ht="15.6">
      <c r="A106" s="996"/>
      <c r="B106" s="997"/>
      <c r="C106" s="998"/>
      <c r="D106" s="998"/>
      <c r="E106" s="998"/>
      <c r="F106" s="998"/>
      <c r="G106" s="998"/>
      <c r="H106" s="998"/>
      <c r="I106" s="998"/>
      <c r="J106" s="998"/>
      <c r="K106" s="998"/>
      <c r="L106" s="998"/>
      <c r="M106" s="999">
        <f t="shared" si="16"/>
        <v>0</v>
      </c>
      <c r="N106" s="893"/>
      <c r="O106" s="893"/>
      <c r="P106" s="893"/>
      <c r="Q106" s="893"/>
      <c r="R106" s="893"/>
      <c r="S106" s="893"/>
      <c r="T106" s="893"/>
      <c r="U106" s="893"/>
      <c r="V106" s="893"/>
      <c r="W106" s="893"/>
      <c r="X106" s="893"/>
      <c r="Y106" s="893"/>
      <c r="Z106" s="893"/>
      <c r="AA106" s="893"/>
      <c r="AB106" s="893"/>
      <c r="AC106" s="893"/>
      <c r="AD106" s="893"/>
    </row>
    <row r="107" spans="1:30" ht="15.6">
      <c r="A107" s="996"/>
      <c r="B107" s="997"/>
      <c r="C107" s="998"/>
      <c r="D107" s="998"/>
      <c r="E107" s="998"/>
      <c r="F107" s="998"/>
      <c r="G107" s="998"/>
      <c r="H107" s="998"/>
      <c r="I107" s="998"/>
      <c r="J107" s="998"/>
      <c r="K107" s="998"/>
      <c r="L107" s="998"/>
      <c r="M107" s="999">
        <f t="shared" si="16"/>
        <v>0</v>
      </c>
      <c r="N107" s="893"/>
      <c r="O107" s="893"/>
      <c r="P107" s="893"/>
      <c r="Q107" s="893"/>
      <c r="R107" s="893"/>
      <c r="S107" s="893"/>
      <c r="T107" s="893"/>
      <c r="U107" s="893"/>
      <c r="V107" s="893"/>
      <c r="W107" s="893"/>
      <c r="X107" s="893"/>
      <c r="Y107" s="893"/>
      <c r="Z107" s="893"/>
      <c r="AA107" s="893"/>
      <c r="AB107" s="893"/>
      <c r="AC107" s="893"/>
      <c r="AD107" s="893"/>
    </row>
    <row r="108" spans="1:30" ht="15.6">
      <c r="A108" s="1000" t="s">
        <v>294</v>
      </c>
      <c r="B108" s="1001"/>
      <c r="C108" s="1002"/>
      <c r="D108" s="1002"/>
      <c r="E108" s="1002"/>
      <c r="F108" s="1002"/>
      <c r="G108" s="1002"/>
      <c r="H108" s="1002"/>
      <c r="I108" s="1002"/>
      <c r="J108" s="1002"/>
      <c r="K108" s="1002"/>
      <c r="L108" s="1002"/>
      <c r="M108" s="1003">
        <f t="shared" si="16"/>
        <v>0</v>
      </c>
      <c r="N108" s="893"/>
      <c r="O108" s="893"/>
      <c r="P108" s="893"/>
      <c r="Q108" s="893"/>
      <c r="R108" s="893"/>
      <c r="S108" s="893"/>
      <c r="T108" s="893"/>
      <c r="U108" s="893"/>
      <c r="V108" s="893"/>
      <c r="W108" s="893"/>
      <c r="X108" s="893"/>
      <c r="Y108" s="893"/>
      <c r="Z108" s="893"/>
      <c r="AA108" s="893"/>
      <c r="AB108" s="893"/>
      <c r="AC108" s="893"/>
      <c r="AD108" s="893"/>
    </row>
    <row r="109" spans="1:30" ht="15.6">
      <c r="A109" s="1004">
        <v>10</v>
      </c>
      <c r="B109" s="977" t="s">
        <v>960</v>
      </c>
      <c r="C109" s="1005"/>
      <c r="D109" s="1005"/>
      <c r="E109" s="1005"/>
      <c r="F109" s="1005"/>
      <c r="G109" s="1005"/>
      <c r="H109" s="1005"/>
      <c r="I109" s="1005"/>
      <c r="J109" s="1005"/>
      <c r="K109" s="1005"/>
      <c r="L109" s="1005"/>
      <c r="M109" s="932">
        <f>SUM(M92:M108)</f>
        <v>0</v>
      </c>
      <c r="N109" s="893"/>
      <c r="O109" s="893"/>
      <c r="P109" s="893"/>
      <c r="Q109" s="893"/>
      <c r="R109" s="893"/>
      <c r="S109" s="893"/>
      <c r="T109" s="893"/>
      <c r="U109" s="893"/>
      <c r="V109" s="893"/>
      <c r="W109" s="893"/>
      <c r="X109" s="893"/>
      <c r="Y109" s="893"/>
      <c r="Z109" s="893"/>
      <c r="AA109" s="893"/>
      <c r="AB109" s="893"/>
      <c r="AC109" s="893"/>
      <c r="AD109" s="893"/>
    </row>
    <row r="110" spans="1:30" ht="15.6">
      <c r="A110" s="893"/>
      <c r="B110" s="893"/>
      <c r="C110" s="893"/>
      <c r="D110" s="893"/>
      <c r="E110" s="893"/>
      <c r="F110" s="893"/>
      <c r="G110" s="893"/>
      <c r="H110" s="893"/>
      <c r="I110" s="893"/>
      <c r="J110" s="893"/>
      <c r="K110" s="893"/>
      <c r="L110" s="893"/>
      <c r="M110" s="893"/>
      <c r="N110" s="893"/>
      <c r="O110" s="893"/>
      <c r="P110" s="893"/>
      <c r="Q110" s="893"/>
      <c r="R110" s="893"/>
      <c r="S110" s="893"/>
      <c r="T110" s="893"/>
      <c r="U110" s="893"/>
      <c r="V110" s="893"/>
      <c r="W110" s="893"/>
      <c r="X110" s="893"/>
      <c r="Y110" s="893"/>
      <c r="Z110" s="893"/>
      <c r="AA110" s="893"/>
      <c r="AB110" s="893"/>
      <c r="AC110" s="893"/>
      <c r="AD110" s="893"/>
    </row>
    <row r="111" spans="1:30" ht="15.6">
      <c r="A111" s="893"/>
      <c r="B111" s="893"/>
      <c r="C111" s="893"/>
      <c r="D111" s="893"/>
      <c r="E111" s="893"/>
      <c r="F111" s="893"/>
      <c r="G111" s="893"/>
      <c r="H111" s="893"/>
      <c r="I111" s="893"/>
      <c r="J111" s="893"/>
      <c r="K111" s="893"/>
      <c r="L111" s="893"/>
      <c r="M111" s="893"/>
    </row>
    <row r="112" spans="1:30" ht="15.6">
      <c r="A112" s="1283" t="s">
        <v>961</v>
      </c>
      <c r="B112" s="1283"/>
      <c r="C112" s="1283"/>
      <c r="D112" s="981"/>
      <c r="E112" s="981"/>
      <c r="F112" s="981"/>
      <c r="G112" s="981"/>
      <c r="H112" s="981"/>
      <c r="I112" s="981"/>
      <c r="J112" s="981"/>
      <c r="K112" s="981"/>
      <c r="L112" s="981"/>
      <c r="M112" s="981"/>
      <c r="N112" s="893"/>
    </row>
    <row r="113" spans="1:14" ht="15.6">
      <c r="A113" s="980"/>
      <c r="B113" s="981"/>
      <c r="C113" s="981"/>
      <c r="D113" s="981"/>
      <c r="E113" s="981"/>
      <c r="F113" s="981"/>
      <c r="G113" s="981"/>
      <c r="H113" s="981"/>
      <c r="I113" s="981"/>
      <c r="J113" s="981"/>
      <c r="K113" s="981"/>
      <c r="L113" s="981"/>
      <c r="M113" s="981"/>
      <c r="N113" s="893"/>
    </row>
    <row r="114" spans="1:14" ht="15.6">
      <c r="A114" s="1006"/>
      <c r="B114" s="981"/>
      <c r="C114" s="981"/>
      <c r="D114" s="981"/>
      <c r="E114" s="981"/>
      <c r="F114" s="981"/>
      <c r="G114" s="981"/>
      <c r="H114" s="981"/>
      <c r="I114" s="981"/>
      <c r="J114" s="981"/>
      <c r="K114" s="981"/>
      <c r="L114" s="981"/>
      <c r="M114" s="981"/>
      <c r="N114" s="893"/>
    </row>
    <row r="115" spans="1:14" ht="15.6">
      <c r="A115" s="1006"/>
      <c r="B115" s="981"/>
      <c r="C115" s="982"/>
      <c r="D115" s="982"/>
      <c r="E115" s="982"/>
      <c r="F115" s="982"/>
      <c r="G115" s="982"/>
      <c r="H115" s="982"/>
      <c r="I115" s="982"/>
      <c r="J115" s="982"/>
      <c r="K115" s="982"/>
      <c r="L115" s="982"/>
      <c r="M115" s="1007"/>
      <c r="N115" s="893"/>
    </row>
    <row r="116" spans="1:14" ht="15.6">
      <c r="A116" s="1008"/>
      <c r="B116" s="985" t="s">
        <v>684</v>
      </c>
      <c r="C116" s="1009" t="s">
        <v>469</v>
      </c>
      <c r="D116" s="1009"/>
      <c r="E116" s="1010" t="s">
        <v>962</v>
      </c>
      <c r="F116" s="1010"/>
      <c r="G116" s="1010" t="s">
        <v>963</v>
      </c>
      <c r="H116" s="1011" t="s">
        <v>33</v>
      </c>
      <c r="I116" s="1012"/>
      <c r="J116" s="1012"/>
      <c r="K116" s="1012"/>
      <c r="L116" s="1012"/>
      <c r="M116" s="1012"/>
      <c r="N116" s="893"/>
    </row>
    <row r="117" spans="1:14" ht="25.5" customHeight="1">
      <c r="A117" s="996" t="s">
        <v>964</v>
      </c>
      <c r="B117" s="1013"/>
      <c r="C117" s="994"/>
      <c r="D117" s="994"/>
      <c r="E117" s="1286" t="s">
        <v>451</v>
      </c>
      <c r="F117" s="1286"/>
      <c r="G117" s="994"/>
      <c r="H117" s="1014"/>
      <c r="I117" s="1015"/>
      <c r="J117" s="1015"/>
      <c r="K117" s="1015"/>
      <c r="L117" s="1015"/>
      <c r="M117" s="1015"/>
      <c r="N117" s="893"/>
    </row>
    <row r="118" spans="1:14" ht="15.6">
      <c r="A118" s="996" t="s">
        <v>965</v>
      </c>
      <c r="B118" s="1016"/>
      <c r="C118" s="998"/>
      <c r="D118" s="998"/>
      <c r="E118" s="1275" t="s">
        <v>451</v>
      </c>
      <c r="F118" s="1275"/>
      <c r="G118" s="998"/>
      <c r="H118" s="1017"/>
      <c r="I118" s="1018"/>
      <c r="J118" s="1018"/>
      <c r="K118" s="1018"/>
      <c r="L118" s="1018"/>
      <c r="M118" s="1015"/>
      <c r="N118" s="893"/>
    </row>
    <row r="119" spans="1:14" ht="15.6">
      <c r="A119" s="996" t="s">
        <v>966</v>
      </c>
      <c r="B119" s="1016"/>
      <c r="C119" s="998"/>
      <c r="D119" s="998"/>
      <c r="E119" s="1275" t="s">
        <v>451</v>
      </c>
      <c r="F119" s="1275"/>
      <c r="G119" s="998"/>
      <c r="H119" s="1017"/>
      <c r="I119" s="1018"/>
      <c r="J119" s="1018"/>
      <c r="K119" s="1018"/>
      <c r="L119" s="1018"/>
      <c r="M119" s="1015"/>
      <c r="N119" s="893"/>
    </row>
    <row r="120" spans="1:14" ht="15.6">
      <c r="A120" s="996" t="s">
        <v>279</v>
      </c>
      <c r="B120" s="1016"/>
      <c r="C120" s="998"/>
      <c r="D120" s="998"/>
      <c r="E120" s="1275" t="s">
        <v>451</v>
      </c>
      <c r="F120" s="1275"/>
      <c r="G120" s="998"/>
      <c r="H120" s="1017"/>
      <c r="I120" s="1018"/>
      <c r="J120" s="1018"/>
      <c r="K120" s="1018"/>
      <c r="L120" s="1018"/>
      <c r="M120" s="1015"/>
      <c r="N120" s="893"/>
    </row>
    <row r="121" spans="1:14" ht="15.6">
      <c r="A121" s="996" t="s">
        <v>279</v>
      </c>
      <c r="B121" s="1016"/>
      <c r="C121" s="998"/>
      <c r="D121" s="998"/>
      <c r="E121" s="1275" t="s">
        <v>451</v>
      </c>
      <c r="F121" s="1275"/>
      <c r="G121" s="998"/>
      <c r="H121" s="1017"/>
      <c r="I121" s="1018"/>
      <c r="J121" s="1018"/>
      <c r="K121" s="1018"/>
      <c r="L121" s="1018"/>
      <c r="M121" s="1015"/>
      <c r="N121" s="893"/>
    </row>
    <row r="122" spans="1:14" ht="15.6">
      <c r="A122" s="996" t="s">
        <v>279</v>
      </c>
      <c r="B122" s="1016"/>
      <c r="C122" s="998"/>
      <c r="D122" s="998"/>
      <c r="E122" s="1275" t="s">
        <v>451</v>
      </c>
      <c r="F122" s="1275"/>
      <c r="G122" s="998"/>
      <c r="H122" s="1017"/>
      <c r="I122" s="1018"/>
      <c r="J122" s="1018"/>
      <c r="K122" s="1018"/>
      <c r="L122" s="1018"/>
      <c r="M122" s="1015"/>
      <c r="N122" s="893"/>
    </row>
    <row r="123" spans="1:14" ht="15.6">
      <c r="A123" s="996" t="s">
        <v>279</v>
      </c>
      <c r="B123" s="1016"/>
      <c r="C123" s="998"/>
      <c r="D123" s="998"/>
      <c r="E123" s="1275" t="s">
        <v>451</v>
      </c>
      <c r="F123" s="1275"/>
      <c r="G123" s="998"/>
      <c r="H123" s="1017"/>
      <c r="I123" s="1018"/>
      <c r="J123" s="1018"/>
      <c r="K123" s="1018"/>
      <c r="L123" s="1018"/>
      <c r="M123" s="1015"/>
      <c r="N123" s="893"/>
    </row>
    <row r="124" spans="1:14" ht="15.6">
      <c r="A124" s="996" t="s">
        <v>279</v>
      </c>
      <c r="B124" s="1016"/>
      <c r="C124" s="998"/>
      <c r="D124" s="998"/>
      <c r="E124" s="1275" t="s">
        <v>451</v>
      </c>
      <c r="F124" s="1275"/>
      <c r="G124" s="998"/>
      <c r="H124" s="1017"/>
      <c r="I124" s="1018"/>
      <c r="J124" s="1018"/>
      <c r="K124" s="1018"/>
      <c r="L124" s="1018"/>
      <c r="M124" s="1015"/>
      <c r="N124" s="893"/>
    </row>
    <row r="125" spans="1:14" ht="15.6">
      <c r="A125" s="996" t="s">
        <v>279</v>
      </c>
      <c r="B125" s="1016"/>
      <c r="C125" s="998"/>
      <c r="D125" s="998"/>
      <c r="E125" s="1275" t="s">
        <v>451</v>
      </c>
      <c r="F125" s="1275"/>
      <c r="G125" s="998"/>
      <c r="H125" s="1017"/>
      <c r="I125" s="1018"/>
      <c r="J125" s="1018"/>
      <c r="K125" s="1018"/>
      <c r="L125" s="1018"/>
      <c r="M125" s="1015"/>
      <c r="N125" s="893"/>
    </row>
    <row r="126" spans="1:14" ht="15.6">
      <c r="A126" s="996" t="s">
        <v>279</v>
      </c>
      <c r="B126" s="1016"/>
      <c r="C126" s="998"/>
      <c r="D126" s="998"/>
      <c r="E126" s="1275" t="s">
        <v>451</v>
      </c>
      <c r="F126" s="1275"/>
      <c r="G126" s="998"/>
      <c r="H126" s="1017"/>
      <c r="I126" s="1018"/>
      <c r="J126" s="1018"/>
      <c r="K126" s="1018"/>
      <c r="L126" s="1018"/>
      <c r="M126" s="1015"/>
      <c r="N126" s="893"/>
    </row>
    <row r="127" spans="1:14" ht="15.6">
      <c r="A127" s="996" t="s">
        <v>279</v>
      </c>
      <c r="B127" s="1016"/>
      <c r="C127" s="998"/>
      <c r="D127" s="998"/>
      <c r="E127" s="1275" t="s">
        <v>451</v>
      </c>
      <c r="F127" s="1275"/>
      <c r="G127" s="998"/>
      <c r="H127" s="1017"/>
      <c r="I127" s="1018"/>
      <c r="J127" s="1018"/>
      <c r="K127" s="1018"/>
      <c r="L127" s="1018"/>
      <c r="M127" s="1015"/>
      <c r="N127" s="893"/>
    </row>
    <row r="128" spans="1:14" ht="15.6">
      <c r="A128" s="996" t="s">
        <v>279</v>
      </c>
      <c r="B128" s="1016"/>
      <c r="C128" s="998"/>
      <c r="D128" s="998"/>
      <c r="E128" s="1275" t="s">
        <v>451</v>
      </c>
      <c r="F128" s="1275"/>
      <c r="G128" s="998"/>
      <c r="H128" s="1017"/>
      <c r="I128" s="1018"/>
      <c r="J128" s="1018"/>
      <c r="K128" s="1018"/>
      <c r="L128" s="1018"/>
      <c r="M128" s="1015"/>
      <c r="N128" s="893"/>
    </row>
    <row r="129" spans="1:14" ht="15.6">
      <c r="A129" s="996" t="s">
        <v>279</v>
      </c>
      <c r="B129" s="1016"/>
      <c r="C129" s="998"/>
      <c r="D129" s="998"/>
      <c r="E129" s="1275" t="s">
        <v>451</v>
      </c>
      <c r="F129" s="1275"/>
      <c r="G129" s="998"/>
      <c r="H129" s="1017"/>
      <c r="I129" s="1018"/>
      <c r="J129" s="1018"/>
      <c r="K129" s="1018"/>
      <c r="L129" s="1018"/>
      <c r="M129" s="1015"/>
      <c r="N129" s="893"/>
    </row>
    <row r="130" spans="1:14" ht="15.6">
      <c r="A130" s="996"/>
      <c r="B130" s="1016"/>
      <c r="C130" s="998"/>
      <c r="D130" s="998"/>
      <c r="E130" s="1275" t="s">
        <v>451</v>
      </c>
      <c r="F130" s="1275"/>
      <c r="G130" s="998"/>
      <c r="H130" s="1017"/>
      <c r="I130" s="1018"/>
      <c r="J130" s="1018"/>
      <c r="K130" s="1018"/>
      <c r="L130" s="1018"/>
      <c r="M130" s="1015"/>
      <c r="N130" s="893"/>
    </row>
    <row r="131" spans="1:14" ht="15.6">
      <c r="A131" s="996"/>
      <c r="B131" s="1016"/>
      <c r="C131" s="998"/>
      <c r="D131" s="998"/>
      <c r="E131" s="1275" t="s">
        <v>451</v>
      </c>
      <c r="F131" s="1275"/>
      <c r="G131" s="998"/>
      <c r="H131" s="1017"/>
      <c r="I131" s="1018"/>
      <c r="J131" s="1018"/>
      <c r="K131" s="1018"/>
      <c r="L131" s="1018"/>
      <c r="M131" s="1015"/>
      <c r="N131" s="893"/>
    </row>
    <row r="132" spans="1:14" ht="15.6">
      <c r="A132" s="996"/>
      <c r="B132" s="1016"/>
      <c r="C132" s="998"/>
      <c r="D132" s="998"/>
      <c r="E132" s="1275" t="s">
        <v>451</v>
      </c>
      <c r="F132" s="1275"/>
      <c r="G132" s="998"/>
      <c r="H132" s="1017"/>
      <c r="I132" s="1018"/>
      <c r="J132" s="1018"/>
      <c r="K132" s="1018"/>
      <c r="L132" s="1018"/>
      <c r="M132" s="1015"/>
      <c r="N132" s="893"/>
    </row>
    <row r="133" spans="1:14" ht="15.6">
      <c r="A133" s="1000" t="s">
        <v>967</v>
      </c>
      <c r="B133" s="1019"/>
      <c r="C133" s="1002"/>
      <c r="D133" s="1002"/>
      <c r="E133" s="1276" t="s">
        <v>451</v>
      </c>
      <c r="F133" s="1276"/>
      <c r="G133" s="1002"/>
      <c r="H133" s="1020"/>
      <c r="I133" s="1018"/>
      <c r="J133" s="1018"/>
      <c r="K133" s="1018"/>
      <c r="L133" s="1018"/>
      <c r="M133" s="1015"/>
      <c r="N133" s="893"/>
    </row>
    <row r="134" spans="1:14" ht="15.6">
      <c r="A134" s="1004">
        <v>12</v>
      </c>
      <c r="B134" s="977" t="s">
        <v>968</v>
      </c>
      <c r="C134" s="1018"/>
      <c r="D134" s="1018"/>
      <c r="E134" s="1018"/>
      <c r="F134" s="1018"/>
      <c r="G134" s="1018"/>
      <c r="H134" s="1021">
        <f>SUM(H117:H133)</f>
        <v>0</v>
      </c>
      <c r="I134" s="1018"/>
      <c r="J134" s="1018"/>
      <c r="K134" s="1018"/>
      <c r="L134" s="1018"/>
      <c r="M134" s="1018"/>
      <c r="N134" s="893"/>
    </row>
    <row r="135" spans="1:14">
      <c r="A135" s="1022"/>
    </row>
  </sheetData>
  <mergeCells count="35">
    <mergeCell ref="A2:AB2"/>
    <mergeCell ref="A3:AB3"/>
    <mergeCell ref="F45:R45"/>
    <mergeCell ref="F46:R46"/>
    <mergeCell ref="A49:A50"/>
    <mergeCell ref="B49:B50"/>
    <mergeCell ref="C49:C50"/>
    <mergeCell ref="D49:D50"/>
    <mergeCell ref="R49:R50"/>
    <mergeCell ref="U68:U69"/>
    <mergeCell ref="V68:V69"/>
    <mergeCell ref="A112:C112"/>
    <mergeCell ref="E120:F120"/>
    <mergeCell ref="E121:F121"/>
    <mergeCell ref="E119:F119"/>
    <mergeCell ref="B68:B69"/>
    <mergeCell ref="C68:C69"/>
    <mergeCell ref="D68:D69"/>
    <mergeCell ref="E117:F117"/>
    <mergeCell ref="E118:F118"/>
    <mergeCell ref="T68:T69"/>
    <mergeCell ref="E123:F123"/>
    <mergeCell ref="E124:F124"/>
    <mergeCell ref="E68:E69"/>
    <mergeCell ref="F68:F69"/>
    <mergeCell ref="E122:F122"/>
    <mergeCell ref="E125:F125"/>
    <mergeCell ref="E132:F132"/>
    <mergeCell ref="E133:F133"/>
    <mergeCell ref="E126:F126"/>
    <mergeCell ref="E127:F127"/>
    <mergeCell ref="E128:F128"/>
    <mergeCell ref="E129:F129"/>
    <mergeCell ref="E130:F130"/>
    <mergeCell ref="E131:F131"/>
  </mergeCells>
  <pageMargins left="0.7" right="0.7" top="0.75" bottom="0.75" header="0.3" footer="0.3"/>
  <pageSetup scale="39" fitToHeight="2" orientation="landscape" r:id="rId1"/>
  <rowBreaks count="1" manualBreakCount="1">
    <brk id="63" max="16383" man="1"/>
  </rowBreaks>
  <customProperties>
    <customPr name="_pios_id" r:id="rId2"/>
  </customPropertie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C3ECFB-FE29-49FB-80EC-4F618E9DC5FF}">
  <sheetPr>
    <tabColor theme="9" tint="0.79998168889431442"/>
  </sheetPr>
  <dimension ref="B1:Y36"/>
  <sheetViews>
    <sheetView topLeftCell="D1" zoomScale="110" zoomScaleNormal="110" zoomScaleSheetLayoutView="100" workbookViewId="0">
      <selection activeCell="K12" sqref="K12"/>
    </sheetView>
  </sheetViews>
  <sheetFormatPr defaultColWidth="7.81640625" defaultRowHeight="11.4"/>
  <cols>
    <col min="1" max="1" width="2.90625" style="1023" customWidth="1"/>
    <col min="2" max="2" width="39.453125" style="1023" customWidth="1"/>
    <col min="3" max="4" width="10.36328125" style="1023" customWidth="1"/>
    <col min="5" max="5" width="13.08984375" style="1023" customWidth="1"/>
    <col min="6" max="6" width="3.90625" style="1023" customWidth="1"/>
    <col min="7" max="7" width="2.36328125" style="1023" bestFit="1" customWidth="1"/>
    <col min="8" max="8" width="6.453125" style="1023" bestFit="1" customWidth="1"/>
    <col min="9" max="9" width="12.90625" style="1023" customWidth="1"/>
    <col min="10" max="10" width="10.90625" style="1023" customWidth="1"/>
    <col min="11" max="12" width="11.81640625" style="1023" customWidth="1"/>
    <col min="13" max="13" width="2.36328125" style="1023" customWidth="1"/>
    <col min="14" max="16" width="13.08984375" style="1023" customWidth="1"/>
    <col min="17" max="17" width="2.08984375" style="1023" customWidth="1"/>
    <col min="18" max="21" width="10.08984375" style="1023" customWidth="1"/>
    <col min="22" max="22" width="1.54296875" style="1023" customWidth="1"/>
    <col min="23" max="25" width="14.1796875" style="1023" customWidth="1"/>
    <col min="26" max="16384" width="7.81640625" style="1023"/>
  </cols>
  <sheetData>
    <row r="1" spans="2:22" ht="12">
      <c r="B1" s="1297" t="s">
        <v>969</v>
      </c>
      <c r="C1" s="1297"/>
      <c r="D1" s="1297"/>
      <c r="E1" s="1297"/>
    </row>
    <row r="2" spans="2:22" ht="12">
      <c r="B2" s="1297" t="s">
        <v>970</v>
      </c>
      <c r="C2" s="1297"/>
      <c r="D2" s="1297"/>
      <c r="E2" s="1297"/>
    </row>
    <row r="3" spans="2:22" s="1025" customFormat="1" ht="12">
      <c r="B3" s="1024"/>
      <c r="C3" s="1024"/>
      <c r="D3" s="1024"/>
      <c r="E3" s="1024"/>
      <c r="I3" s="1025" t="s">
        <v>971</v>
      </c>
      <c r="J3" s="1025" t="s">
        <v>971</v>
      </c>
      <c r="K3" s="1025" t="s">
        <v>971</v>
      </c>
      <c r="N3" s="1025" t="s">
        <v>972</v>
      </c>
      <c r="O3" s="1025" t="s">
        <v>972</v>
      </c>
      <c r="P3" s="1025" t="s">
        <v>972</v>
      </c>
    </row>
    <row r="4" spans="2:22" ht="60">
      <c r="B4" s="1026" t="s">
        <v>973</v>
      </c>
      <c r="C4" s="1027" t="s">
        <v>1281</v>
      </c>
      <c r="D4" s="1027" t="s">
        <v>974</v>
      </c>
      <c r="E4" s="1027" t="s">
        <v>975</v>
      </c>
      <c r="H4" s="1028"/>
      <c r="I4" s="1028" t="s">
        <v>976</v>
      </c>
      <c r="J4" s="1028" t="s">
        <v>977</v>
      </c>
      <c r="K4" s="1028" t="s">
        <v>978</v>
      </c>
      <c r="L4" s="1028" t="s">
        <v>979</v>
      </c>
      <c r="M4" s="1028"/>
      <c r="N4" s="1029" t="s">
        <v>980</v>
      </c>
      <c r="O4" s="1029" t="s">
        <v>981</v>
      </c>
      <c r="P4" s="1029" t="s">
        <v>982</v>
      </c>
      <c r="Q4" s="1028"/>
      <c r="V4" s="1030"/>
    </row>
    <row r="5" spans="2:22" ht="12">
      <c r="B5" s="1031" t="s">
        <v>603</v>
      </c>
      <c r="C5" s="1032">
        <f>C8-C7-C6</f>
        <v>176791909.67000014</v>
      </c>
      <c r="D5" s="1033">
        <f>N18</f>
        <v>175640511.93686691</v>
      </c>
      <c r="E5" s="1034">
        <f>D5-N36</f>
        <v>160989987.90485355</v>
      </c>
      <c r="G5" s="1023">
        <v>1</v>
      </c>
      <c r="H5" s="1035">
        <v>45627</v>
      </c>
      <c r="I5" s="1036">
        <v>213674047.09376761</v>
      </c>
      <c r="J5" s="1036">
        <f>'2 - Cost Support '!F55</f>
        <v>4404479.4083313635</v>
      </c>
      <c r="K5" s="1036">
        <f>'2 - Cost Support '!F39</f>
        <v>45786944.467900977</v>
      </c>
      <c r="L5" s="1033">
        <f>I5+J5+K5</f>
        <v>263865470.96999997</v>
      </c>
      <c r="M5" s="1033"/>
      <c r="N5" s="1033">
        <f t="shared" ref="N5:N17" si="0">(L5/$L$17)*$C$5</f>
        <v>175544562.12577242</v>
      </c>
      <c r="O5" s="1033">
        <f t="shared" ref="O5:O17" si="1">(L5/$L$17)*$C$6</f>
        <v>41434675.517264448</v>
      </c>
      <c r="P5" s="1033">
        <f t="shared" ref="P5:P17" si="2">(L5/$L$17)*$C$7</f>
        <v>45024542.10005533</v>
      </c>
      <c r="Q5" s="1033"/>
      <c r="V5" s="1037"/>
    </row>
    <row r="6" spans="2:22" ht="12">
      <c r="B6" s="1031" t="s">
        <v>605</v>
      </c>
      <c r="C6" s="1032">
        <v>41729093.299999878</v>
      </c>
      <c r="D6" s="1033">
        <f>O18</f>
        <v>41457323.039013319</v>
      </c>
      <c r="E6" s="1034">
        <f>D6-O36</f>
        <v>37999285.364286415</v>
      </c>
      <c r="G6" s="1023">
        <v>2</v>
      </c>
      <c r="H6" s="1035">
        <v>45658</v>
      </c>
      <c r="I6" s="1036">
        <v>213674047.09376761</v>
      </c>
      <c r="J6" s="1036">
        <f>'2 - Cost Support '!F56</f>
        <v>4404479.4083313635</v>
      </c>
      <c r="K6" s="1036">
        <f>'2 - Cost Support '!F40</f>
        <v>45786944.467900977</v>
      </c>
      <c r="L6" s="1033">
        <f t="shared" ref="L6:L17" si="3">I6+J6+K6</f>
        <v>263865470.96999997</v>
      </c>
      <c r="M6" s="1033"/>
      <c r="N6" s="1033">
        <f t="shared" si="0"/>
        <v>175544562.12577242</v>
      </c>
      <c r="O6" s="1033">
        <f t="shared" si="1"/>
        <v>41434675.517264448</v>
      </c>
      <c r="P6" s="1033">
        <f t="shared" si="2"/>
        <v>45024542.10005533</v>
      </c>
      <c r="Q6" s="1033"/>
      <c r="V6" s="1037"/>
    </row>
    <row r="7" spans="2:22" ht="12">
      <c r="B7" s="1031" t="s">
        <v>607</v>
      </c>
      <c r="C7" s="1032">
        <v>45344468</v>
      </c>
      <c r="D7" s="1036">
        <f>P18</f>
        <v>45049151.784666456</v>
      </c>
      <c r="E7" s="1038">
        <f>D7-P36</f>
        <v>41291512.538657509</v>
      </c>
      <c r="G7" s="1023">
        <v>3</v>
      </c>
      <c r="H7" s="1035">
        <v>45689</v>
      </c>
      <c r="I7" s="1036">
        <v>213674047.09376761</v>
      </c>
      <c r="J7" s="1036">
        <f>'2 - Cost Support '!F57</f>
        <v>4404479.4083313635</v>
      </c>
      <c r="K7" s="1036">
        <f>'2 - Cost Support '!F41</f>
        <v>45786944.467900977</v>
      </c>
      <c r="L7" s="1033">
        <f t="shared" si="3"/>
        <v>263865470.96999997</v>
      </c>
      <c r="M7" s="1033"/>
      <c r="N7" s="1033">
        <f t="shared" si="0"/>
        <v>175544562.12577242</v>
      </c>
      <c r="O7" s="1033">
        <f t="shared" si="1"/>
        <v>41434675.517264448</v>
      </c>
      <c r="P7" s="1033">
        <f t="shared" si="2"/>
        <v>45024542.10005533</v>
      </c>
      <c r="Q7" s="1033"/>
      <c r="V7" s="1037"/>
    </row>
    <row r="8" spans="2:22" ht="12">
      <c r="B8" s="1023" t="s">
        <v>37</v>
      </c>
      <c r="C8" s="1036">
        <v>263865470.97</v>
      </c>
      <c r="D8" s="1033">
        <f>D5+D6+D7</f>
        <v>262146986.76054668</v>
      </c>
      <c r="E8" s="1034">
        <f>E5+E6+E7</f>
        <v>240280785.80779749</v>
      </c>
      <c r="G8" s="1023">
        <v>4</v>
      </c>
      <c r="H8" s="1035">
        <v>45717</v>
      </c>
      <c r="I8" s="1036">
        <v>213674047.09376761</v>
      </c>
      <c r="J8" s="1036">
        <f>'2 - Cost Support '!F58</f>
        <v>4404479.4083313635</v>
      </c>
      <c r="K8" s="1036">
        <f>'2 - Cost Support '!F42</f>
        <v>45786944.467900977</v>
      </c>
      <c r="L8" s="1033">
        <f t="shared" si="3"/>
        <v>263865470.96999997</v>
      </c>
      <c r="M8" s="1033"/>
      <c r="N8" s="1033">
        <f t="shared" si="0"/>
        <v>175544562.12577242</v>
      </c>
      <c r="O8" s="1033">
        <f t="shared" si="1"/>
        <v>41434675.517264448</v>
      </c>
      <c r="P8" s="1033">
        <f t="shared" si="2"/>
        <v>45024542.10005533</v>
      </c>
      <c r="Q8" s="1033"/>
      <c r="V8" s="1037"/>
    </row>
    <row r="9" spans="2:22">
      <c r="C9" s="1039"/>
      <c r="D9" s="1039"/>
      <c r="E9" s="1039"/>
      <c r="G9" s="1023">
        <v>5</v>
      </c>
      <c r="H9" s="1035">
        <v>45748</v>
      </c>
      <c r="I9" s="1036">
        <v>213674047.09376761</v>
      </c>
      <c r="J9" s="1036">
        <f>'2 - Cost Support '!F59</f>
        <v>4404479.4083313635</v>
      </c>
      <c r="K9" s="1036">
        <f>'2 - Cost Support '!F43</f>
        <v>45786944.467900977</v>
      </c>
      <c r="L9" s="1033">
        <f t="shared" si="3"/>
        <v>263865470.96999997</v>
      </c>
      <c r="M9" s="1033"/>
      <c r="N9" s="1033">
        <f t="shared" si="0"/>
        <v>175544562.12577242</v>
      </c>
      <c r="O9" s="1033">
        <f t="shared" si="1"/>
        <v>41434675.517264448</v>
      </c>
      <c r="P9" s="1033">
        <f t="shared" si="2"/>
        <v>45024542.10005533</v>
      </c>
      <c r="Q9" s="1033"/>
      <c r="V9" s="1037"/>
    </row>
    <row r="10" spans="2:22">
      <c r="C10" s="1040"/>
      <c r="D10" s="1040"/>
      <c r="E10" s="1033"/>
      <c r="G10" s="1023">
        <v>6</v>
      </c>
      <c r="H10" s="1035">
        <v>45778</v>
      </c>
      <c r="I10" s="1036">
        <v>213674047.09376761</v>
      </c>
      <c r="J10" s="1036">
        <f>'2 - Cost Support '!F60</f>
        <v>4404479.4083313635</v>
      </c>
      <c r="K10" s="1036">
        <f>'2 - Cost Support '!F44</f>
        <v>45786944.467900977</v>
      </c>
      <c r="L10" s="1033">
        <f t="shared" si="3"/>
        <v>263865470.96999997</v>
      </c>
      <c r="M10" s="1033"/>
      <c r="N10" s="1033">
        <f t="shared" si="0"/>
        <v>175544562.12577242</v>
      </c>
      <c r="O10" s="1033">
        <f t="shared" si="1"/>
        <v>41434675.517264448</v>
      </c>
      <c r="P10" s="1033">
        <f t="shared" si="2"/>
        <v>45024542.10005533</v>
      </c>
      <c r="Q10" s="1033"/>
      <c r="V10" s="1037"/>
    </row>
    <row r="11" spans="2:22">
      <c r="C11" s="1040"/>
      <c r="D11" s="1040"/>
      <c r="G11" s="1023">
        <v>7</v>
      </c>
      <c r="H11" s="1035">
        <v>45809</v>
      </c>
      <c r="I11" s="1036">
        <v>213674047.09376761</v>
      </c>
      <c r="J11" s="1036">
        <f>'2 - Cost Support '!F61</f>
        <v>4404479.4083313635</v>
      </c>
      <c r="K11" s="1036">
        <f>'2 - Cost Support '!F45</f>
        <v>45786944.467900977</v>
      </c>
      <c r="L11" s="1033">
        <f t="shared" si="3"/>
        <v>263865470.96999997</v>
      </c>
      <c r="M11" s="1033"/>
      <c r="N11" s="1033">
        <f t="shared" si="0"/>
        <v>175544562.12577242</v>
      </c>
      <c r="O11" s="1033">
        <f t="shared" si="1"/>
        <v>41434675.517264448</v>
      </c>
      <c r="P11" s="1033">
        <f t="shared" si="2"/>
        <v>45024542.10005533</v>
      </c>
      <c r="Q11" s="1033"/>
      <c r="V11" s="1037"/>
    </row>
    <row r="12" spans="2:22">
      <c r="C12" s="1040"/>
      <c r="D12" s="1041"/>
      <c r="G12" s="1023">
        <v>8</v>
      </c>
      <c r="H12" s="1035">
        <v>45839</v>
      </c>
      <c r="I12" s="1036">
        <v>213674047.09376761</v>
      </c>
      <c r="J12" s="1036">
        <f>'2 - Cost Support '!F62</f>
        <v>4404479.4083313635</v>
      </c>
      <c r="K12" s="1036">
        <f>'2 - Cost Support '!F46</f>
        <v>45786944.467900977</v>
      </c>
      <c r="L12" s="1033">
        <f t="shared" si="3"/>
        <v>263865470.96999997</v>
      </c>
      <c r="M12" s="1033"/>
      <c r="N12" s="1033">
        <f t="shared" si="0"/>
        <v>175544562.12577242</v>
      </c>
      <c r="O12" s="1033">
        <f t="shared" si="1"/>
        <v>41434675.517264448</v>
      </c>
      <c r="P12" s="1033">
        <f t="shared" si="2"/>
        <v>45024542.10005533</v>
      </c>
      <c r="Q12" s="1033"/>
      <c r="V12" s="1037"/>
    </row>
    <row r="13" spans="2:22">
      <c r="C13" s="1042"/>
      <c r="D13" s="1042"/>
      <c r="G13" s="1023">
        <v>9</v>
      </c>
      <c r="H13" s="1035">
        <v>45870</v>
      </c>
      <c r="I13" s="1036">
        <v>213674047.09376761</v>
      </c>
      <c r="J13" s="1036">
        <f>'2 - Cost Support '!F63</f>
        <v>4404479.4083313635</v>
      </c>
      <c r="K13" s="1036">
        <f>'2 - Cost Support '!F47</f>
        <v>45786944.467900977</v>
      </c>
      <c r="L13" s="1033">
        <f t="shared" si="3"/>
        <v>263865470.96999997</v>
      </c>
      <c r="M13" s="1033"/>
      <c r="N13" s="1033">
        <f t="shared" si="0"/>
        <v>175544562.12577242</v>
      </c>
      <c r="O13" s="1033">
        <f t="shared" si="1"/>
        <v>41434675.517264448</v>
      </c>
      <c r="P13" s="1033">
        <f t="shared" si="2"/>
        <v>45024542.10005533</v>
      </c>
      <c r="Q13" s="1033"/>
      <c r="V13" s="1037"/>
    </row>
    <row r="14" spans="2:22">
      <c r="B14" s="1031"/>
      <c r="C14" s="1042"/>
      <c r="D14" s="1042"/>
      <c r="E14" s="1039"/>
      <c r="G14" s="1023">
        <v>10</v>
      </c>
      <c r="H14" s="1035">
        <v>45901</v>
      </c>
      <c r="I14" s="1036">
        <v>213674047.09376761</v>
      </c>
      <c r="J14" s="1036">
        <f>'2 - Cost Support '!F64</f>
        <v>4404479.4083313635</v>
      </c>
      <c r="K14" s="1036">
        <f>'2 - Cost Support '!F48</f>
        <v>45786944.467900977</v>
      </c>
      <c r="L14" s="1033">
        <f t="shared" si="3"/>
        <v>263865470.96999997</v>
      </c>
      <c r="M14" s="1033"/>
      <c r="N14" s="1033">
        <f t="shared" si="0"/>
        <v>175544562.12577242</v>
      </c>
      <c r="O14" s="1033">
        <f t="shared" si="1"/>
        <v>41434675.517264448</v>
      </c>
      <c r="P14" s="1033">
        <f t="shared" si="2"/>
        <v>45024542.10005533</v>
      </c>
      <c r="Q14" s="1033"/>
      <c r="V14" s="1037"/>
    </row>
    <row r="15" spans="2:22">
      <c r="C15" s="1039"/>
      <c r="D15" s="1039"/>
      <c r="E15" s="1039"/>
      <c r="G15" s="1023">
        <v>11</v>
      </c>
      <c r="H15" s="1035">
        <v>45931</v>
      </c>
      <c r="I15" s="1036">
        <v>213674047.09376761</v>
      </c>
      <c r="J15" s="1036">
        <f>'2 - Cost Support '!F65</f>
        <v>4404479.4083313635</v>
      </c>
      <c r="K15" s="1036">
        <f>'2 - Cost Support '!F49</f>
        <v>45786944.467900977</v>
      </c>
      <c r="L15" s="1033">
        <f t="shared" si="3"/>
        <v>263865470.96999997</v>
      </c>
      <c r="M15" s="1033"/>
      <c r="N15" s="1033">
        <f t="shared" si="0"/>
        <v>175544562.12577242</v>
      </c>
      <c r="O15" s="1033">
        <f t="shared" si="1"/>
        <v>41434675.517264448</v>
      </c>
      <c r="P15" s="1033">
        <f t="shared" si="2"/>
        <v>45024542.10005533</v>
      </c>
      <c r="Q15" s="1033"/>
      <c r="V15" s="1037"/>
    </row>
    <row r="16" spans="2:22">
      <c r="C16" s="1039"/>
      <c r="D16" s="1039"/>
      <c r="E16" s="1039"/>
      <c r="G16" s="1023">
        <v>12</v>
      </c>
      <c r="H16" s="1035">
        <v>45962</v>
      </c>
      <c r="I16" s="1036">
        <v>213674047.09376761</v>
      </c>
      <c r="J16" s="1036">
        <f>'2 - Cost Support '!F66</f>
        <v>4404479.4083313635</v>
      </c>
      <c r="K16" s="1036">
        <f>'2 - Cost Support '!F50</f>
        <v>45786944.467900977</v>
      </c>
      <c r="L16" s="1033">
        <f t="shared" si="3"/>
        <v>263865470.96999997</v>
      </c>
      <c r="M16" s="1033"/>
      <c r="N16" s="1033">
        <f t="shared" si="0"/>
        <v>175544562.12577242</v>
      </c>
      <c r="O16" s="1033">
        <f t="shared" si="1"/>
        <v>41434675.517264448</v>
      </c>
      <c r="P16" s="1033">
        <f t="shared" si="2"/>
        <v>45024542.10005533</v>
      </c>
      <c r="Q16" s="1033"/>
      <c r="V16" s="1037"/>
    </row>
    <row r="17" spans="2:25">
      <c r="E17" s="1040"/>
      <c r="G17" s="1023">
        <v>13</v>
      </c>
      <c r="H17" s="1035">
        <v>45992</v>
      </c>
      <c r="I17" s="1036">
        <f>I16</f>
        <v>213674047.09376761</v>
      </c>
      <c r="J17" s="1036">
        <f>'2 - Cost Support '!F67-'2 - Cost Support '!H67</f>
        <v>4569010.4040433383</v>
      </c>
      <c r="K17" s="1036">
        <f>'2 - Cost Support '!F51-'2 - Cost Support '!H51</f>
        <v>47497333.112166815</v>
      </c>
      <c r="L17" s="1033">
        <f t="shared" si="3"/>
        <v>265740390.60997778</v>
      </c>
      <c r="M17" s="1033"/>
      <c r="N17" s="1033">
        <f t="shared" si="0"/>
        <v>176791909.67000014</v>
      </c>
      <c r="O17" s="1033">
        <f t="shared" si="1"/>
        <v>41729093.299999878</v>
      </c>
      <c r="P17" s="1033">
        <f t="shared" si="2"/>
        <v>45344468</v>
      </c>
      <c r="Q17" s="1033"/>
      <c r="V17" s="1037"/>
    </row>
    <row r="18" spans="2:25" ht="12">
      <c r="H18" s="1043" t="s">
        <v>983</v>
      </c>
      <c r="I18" s="1034">
        <f t="shared" ref="I18:K18" si="4">AVERAGE(I5:I17)</f>
        <v>213674047.09376761</v>
      </c>
      <c r="J18" s="1034">
        <f t="shared" si="4"/>
        <v>4417135.6387707461</v>
      </c>
      <c r="K18" s="1034">
        <f t="shared" si="4"/>
        <v>45918512.825152196</v>
      </c>
      <c r="L18" s="1034">
        <f>AVERAGE(L5:L17)</f>
        <v>264009695.55769056</v>
      </c>
      <c r="M18" s="1034"/>
      <c r="N18" s="1034">
        <f>AVERAGE(N5:N17)</f>
        <v>175640511.93686691</v>
      </c>
      <c r="O18" s="1034">
        <f t="shared" ref="O18:P18" si="5">AVERAGE(O5:O17)</f>
        <v>41457323.039013319</v>
      </c>
      <c r="P18" s="1034">
        <f t="shared" si="5"/>
        <v>45049151.784666456</v>
      </c>
      <c r="Q18" s="1034"/>
      <c r="V18" s="1044"/>
    </row>
    <row r="19" spans="2:25">
      <c r="B19" s="1031"/>
      <c r="C19" s="1039"/>
      <c r="D19" s="1039"/>
      <c r="E19" s="1039"/>
      <c r="H19" s="1035"/>
      <c r="I19" s="1033"/>
      <c r="J19" s="1033"/>
      <c r="K19" s="1033"/>
      <c r="L19" s="1033"/>
      <c r="M19" s="1033"/>
      <c r="N19" s="1033"/>
      <c r="O19" s="1033"/>
      <c r="P19" s="1033"/>
      <c r="Q19" s="1033"/>
      <c r="R19" s="1033"/>
      <c r="S19" s="1033"/>
      <c r="T19" s="1033"/>
      <c r="U19" s="1033"/>
    </row>
    <row r="20" spans="2:25">
      <c r="C20" s="1039"/>
      <c r="D20" s="1039"/>
      <c r="E20" s="1039"/>
      <c r="H20" s="1035"/>
      <c r="I20" s="1033"/>
      <c r="J20" s="1033"/>
      <c r="K20" s="1033"/>
      <c r="L20" s="1033"/>
      <c r="M20" s="1033"/>
      <c r="N20" s="1033"/>
      <c r="O20" s="1033"/>
      <c r="P20" s="1033"/>
      <c r="Q20" s="1033"/>
      <c r="R20" s="1033"/>
      <c r="S20" s="1033"/>
      <c r="T20" s="1033"/>
      <c r="U20" s="1033"/>
      <c r="V20" s="1040"/>
      <c r="Y20" s="1040"/>
    </row>
    <row r="21" spans="2:25">
      <c r="C21" s="1039"/>
      <c r="D21" s="1039"/>
      <c r="E21" s="1039"/>
      <c r="H21" s="1035"/>
      <c r="I21" s="1025" t="s">
        <v>971</v>
      </c>
      <c r="J21" s="1025" t="s">
        <v>971</v>
      </c>
      <c r="K21" s="1025" t="s">
        <v>971</v>
      </c>
      <c r="L21" s="1025"/>
      <c r="M21" s="1033"/>
      <c r="N21" s="1025" t="s">
        <v>972</v>
      </c>
      <c r="O21" s="1025" t="s">
        <v>972</v>
      </c>
      <c r="P21" s="1025" t="s">
        <v>972</v>
      </c>
      <c r="Q21" s="1033"/>
      <c r="R21" s="1033"/>
      <c r="S21" s="1033"/>
      <c r="T21" s="1033"/>
      <c r="U21" s="1033"/>
    </row>
    <row r="22" spans="2:25" ht="48">
      <c r="B22" s="1045"/>
      <c r="C22" s="1027" t="s">
        <v>975</v>
      </c>
      <c r="D22" s="1027" t="s">
        <v>984</v>
      </c>
      <c r="E22" s="1027" t="s">
        <v>985</v>
      </c>
      <c r="H22" s="1035"/>
      <c r="I22" s="1028" t="s">
        <v>341</v>
      </c>
      <c r="J22" s="1028" t="s">
        <v>986</v>
      </c>
      <c r="K22" s="1028" t="s">
        <v>987</v>
      </c>
      <c r="L22" s="1028" t="s">
        <v>988</v>
      </c>
      <c r="M22" s="1033"/>
      <c r="N22" s="1029" t="s">
        <v>989</v>
      </c>
      <c r="O22" s="1029" t="s">
        <v>990</v>
      </c>
      <c r="P22" s="1029" t="s">
        <v>991</v>
      </c>
      <c r="Q22" s="1033"/>
      <c r="R22" s="1033"/>
      <c r="S22" s="1033"/>
      <c r="T22" s="1033"/>
      <c r="U22" s="1033"/>
    </row>
    <row r="23" spans="2:25">
      <c r="B23" s="1031" t="s">
        <v>605</v>
      </c>
      <c r="C23" s="1033">
        <f>E6</f>
        <v>37999285.364286415</v>
      </c>
      <c r="D23" s="1036">
        <f>C23*0.8</f>
        <v>30399428.291429132</v>
      </c>
      <c r="E23" s="1036">
        <f>C23*0.2</f>
        <v>7599857.0728572831</v>
      </c>
      <c r="G23" s="1023">
        <v>1</v>
      </c>
      <c r="H23" s="1035">
        <f>+H5</f>
        <v>45627</v>
      </c>
      <c r="I23" s="1036">
        <v>14822073.160338292</v>
      </c>
      <c r="J23" s="1036">
        <f>'2 - Cost Support '!F141</f>
        <v>305528.52305381896</v>
      </c>
      <c r="K23" s="1036">
        <f>'2 - Cost Support '!F125</f>
        <v>3176134.1628623549</v>
      </c>
      <c r="L23" s="1033">
        <f t="shared" ref="L23:L35" si="6">I23+J23+K23</f>
        <v>18303735.846254468</v>
      </c>
      <c r="N23" s="1045">
        <f t="shared" ref="N23:N35" si="7">($D$5/$D$8)*L23</f>
        <v>12263644.812861752</v>
      </c>
      <c r="O23" s="1033">
        <f t="shared" ref="O23:O35" si="8">($D$6/$D$8)*L23</f>
        <v>2894650.4370545102</v>
      </c>
      <c r="P23" s="1033">
        <f t="shared" ref="P23:P35" si="9">($D$7/$D$8)*L23</f>
        <v>3145440.5963382064</v>
      </c>
    </row>
    <row r="24" spans="2:25">
      <c r="B24" s="1031" t="s">
        <v>992</v>
      </c>
      <c r="C24" s="1036">
        <f>'4 - Incentives'!L120</f>
        <v>3980963.0295871198</v>
      </c>
      <c r="D24" s="1036"/>
      <c r="E24" s="1036"/>
      <c r="G24" s="1023">
        <v>2</v>
      </c>
      <c r="H24" s="1035">
        <f t="shared" ref="H24:H35" si="10">+H6</f>
        <v>45658</v>
      </c>
      <c r="I24" s="1036">
        <v>15307194.739113342</v>
      </c>
      <c r="J24" s="1036">
        <f>'2 - Cost Support '!F142</f>
        <v>315528.3711089</v>
      </c>
      <c r="K24" s="1036">
        <f>'2 - Cost Support '!F126</f>
        <v>3280087.9892145377</v>
      </c>
      <c r="L24" s="1033">
        <f t="shared" si="6"/>
        <v>18902811.099436782</v>
      </c>
      <c r="N24" s="1045">
        <f t="shared" si="7"/>
        <v>12665029.873426124</v>
      </c>
      <c r="O24" s="1033">
        <f t="shared" si="8"/>
        <v>2989391.3936558687</v>
      </c>
      <c r="P24" s="1033">
        <f t="shared" si="9"/>
        <v>3248389.8323547896</v>
      </c>
    </row>
    <row r="25" spans="2:25" ht="12">
      <c r="B25" s="1023" t="s">
        <v>993</v>
      </c>
      <c r="C25" s="1036"/>
      <c r="D25" s="1036">
        <f>C24*0.8</f>
        <v>3184770.4236696959</v>
      </c>
      <c r="E25" s="1038">
        <f>C24*0.2</f>
        <v>796192.60591742396</v>
      </c>
      <c r="G25" s="1023">
        <v>3</v>
      </c>
      <c r="H25" s="1035">
        <f t="shared" si="10"/>
        <v>45689</v>
      </c>
      <c r="I25" s="1036">
        <v>15792316.317888392</v>
      </c>
      <c r="J25" s="1036">
        <f>'2 - Cost Support '!F143</f>
        <v>325528.21916398115</v>
      </c>
      <c r="K25" s="1036">
        <f>'2 - Cost Support '!F127</f>
        <v>3384041.8155667209</v>
      </c>
      <c r="L25" s="1033">
        <f t="shared" si="6"/>
        <v>19501886.352619093</v>
      </c>
      <c r="N25" s="1045">
        <f t="shared" si="7"/>
        <v>13066414.933990493</v>
      </c>
      <c r="O25" s="1033">
        <f t="shared" si="8"/>
        <v>3084132.3502572267</v>
      </c>
      <c r="P25" s="1033">
        <f t="shared" si="9"/>
        <v>3351339.0683713718</v>
      </c>
    </row>
    <row r="26" spans="2:25">
      <c r="C26" s="1039"/>
      <c r="D26" s="1039"/>
      <c r="E26" s="1039"/>
      <c r="G26" s="1023">
        <v>4</v>
      </c>
      <c r="H26" s="1035">
        <f t="shared" si="10"/>
        <v>45717</v>
      </c>
      <c r="I26" s="1036">
        <v>16277437.89666345</v>
      </c>
      <c r="J26" s="1036">
        <f>'2 - Cost Support '!F144</f>
        <v>335528.0672190623</v>
      </c>
      <c r="K26" s="1036">
        <f>'2 - Cost Support '!F128</f>
        <v>3487995.6419189051</v>
      </c>
      <c r="L26" s="1033">
        <f t="shared" si="6"/>
        <v>20100961.605801418</v>
      </c>
      <c r="N26" s="1045">
        <f t="shared" si="7"/>
        <v>13467799.994554874</v>
      </c>
      <c r="O26" s="1033">
        <f t="shared" si="8"/>
        <v>3178873.3068585871</v>
      </c>
      <c r="P26" s="1033">
        <f t="shared" si="9"/>
        <v>3454288.3043879569</v>
      </c>
    </row>
    <row r="27" spans="2:25">
      <c r="C27" s="1039"/>
      <c r="G27" s="1023">
        <v>5</v>
      </c>
      <c r="H27" s="1035">
        <f t="shared" si="10"/>
        <v>45748</v>
      </c>
      <c r="I27" s="1036">
        <v>16762559.475438502</v>
      </c>
      <c r="J27" s="1036">
        <f>'2 - Cost Support '!F145</f>
        <v>345527.91527414339</v>
      </c>
      <c r="K27" s="1036">
        <f>'2 - Cost Support '!F129</f>
        <v>3591949.4682710883</v>
      </c>
      <c r="L27" s="1033">
        <f t="shared" si="6"/>
        <v>20700036.858983733</v>
      </c>
      <c r="N27" s="1045">
        <f t="shared" si="7"/>
        <v>13869185.055119246</v>
      </c>
      <c r="O27" s="1033">
        <f t="shared" si="8"/>
        <v>3273614.263459946</v>
      </c>
      <c r="P27" s="1033">
        <f t="shared" si="9"/>
        <v>3557237.5404045396</v>
      </c>
    </row>
    <row r="28" spans="2:25">
      <c r="C28" s="1039"/>
      <c r="G28" s="1023">
        <v>6</v>
      </c>
      <c r="H28" s="1035">
        <f t="shared" si="10"/>
        <v>45778</v>
      </c>
      <c r="I28" s="1036">
        <v>17247681.054213554</v>
      </c>
      <c r="J28" s="1036">
        <f>'2 - Cost Support '!F146</f>
        <v>355527.76332922449</v>
      </c>
      <c r="K28" s="1036">
        <f>'2 - Cost Support '!F130</f>
        <v>3695903.2946232716</v>
      </c>
      <c r="L28" s="1033">
        <f t="shared" si="6"/>
        <v>21299112.112166047</v>
      </c>
      <c r="N28" s="1045">
        <f t="shared" si="7"/>
        <v>14270570.115683619</v>
      </c>
      <c r="O28" s="1033">
        <f t="shared" si="8"/>
        <v>3368355.2200613045</v>
      </c>
      <c r="P28" s="1033">
        <f t="shared" si="9"/>
        <v>3660186.7764211227</v>
      </c>
    </row>
    <row r="29" spans="2:25">
      <c r="C29" s="1039"/>
      <c r="D29" s="1039"/>
      <c r="E29" s="1039"/>
      <c r="G29" s="1023">
        <v>7</v>
      </c>
      <c r="H29" s="1035">
        <f t="shared" si="10"/>
        <v>45809</v>
      </c>
      <c r="I29" s="1036">
        <v>17732802.632988606</v>
      </c>
      <c r="J29" s="1036">
        <f>'2 - Cost Support '!F147</f>
        <v>365527.61138430558</v>
      </c>
      <c r="K29" s="1036">
        <f>'2 - Cost Support '!F131</f>
        <v>3799857.1209754553</v>
      </c>
      <c r="L29" s="1033">
        <f t="shared" si="6"/>
        <v>21898187.365348369</v>
      </c>
      <c r="N29" s="1045">
        <f t="shared" si="7"/>
        <v>14671955.176247997</v>
      </c>
      <c r="O29" s="1033">
        <f t="shared" si="8"/>
        <v>3463096.1766626644</v>
      </c>
      <c r="P29" s="1033">
        <f t="shared" si="9"/>
        <v>3763136.0124377068</v>
      </c>
    </row>
    <row r="30" spans="2:25">
      <c r="C30" s="1039"/>
      <c r="D30" s="1039"/>
      <c r="E30" s="1039"/>
      <c r="G30" s="1023">
        <v>8</v>
      </c>
      <c r="H30" s="1035">
        <f t="shared" si="10"/>
        <v>45839</v>
      </c>
      <c r="I30" s="1036">
        <v>18217924.211763658</v>
      </c>
      <c r="J30" s="1036">
        <f>'2 - Cost Support '!F148</f>
        <v>375527.45943938667</v>
      </c>
      <c r="K30" s="1036">
        <f>'2 - Cost Support '!F132</f>
        <v>3903810.9473276385</v>
      </c>
      <c r="L30" s="1033">
        <f t="shared" si="6"/>
        <v>22497262.618530683</v>
      </c>
      <c r="N30" s="1045">
        <f t="shared" si="7"/>
        <v>15073340.23681237</v>
      </c>
      <c r="O30" s="1033">
        <f t="shared" si="8"/>
        <v>3557837.1332640229</v>
      </c>
      <c r="P30" s="1033">
        <f t="shared" si="9"/>
        <v>3866085.24845429</v>
      </c>
    </row>
    <row r="31" spans="2:25">
      <c r="C31" s="1039"/>
      <c r="D31" s="1039"/>
      <c r="E31" s="1039"/>
      <c r="G31" s="1023">
        <v>9</v>
      </c>
      <c r="H31" s="1035">
        <f t="shared" si="10"/>
        <v>45870</v>
      </c>
      <c r="I31" s="1036">
        <v>18703045.79053871</v>
      </c>
      <c r="J31" s="1036">
        <f>'2 - Cost Support '!F149</f>
        <v>385527.30749446776</v>
      </c>
      <c r="K31" s="1036">
        <f>'2 - Cost Support '!F133</f>
        <v>4007764.7736798218</v>
      </c>
      <c r="L31" s="1033">
        <f t="shared" si="6"/>
        <v>23096337.871713001</v>
      </c>
      <c r="N31" s="1045">
        <f t="shared" si="7"/>
        <v>15474725.297376744</v>
      </c>
      <c r="O31" s="1033">
        <f t="shared" si="8"/>
        <v>3652578.0898653823</v>
      </c>
      <c r="P31" s="1033">
        <f t="shared" si="9"/>
        <v>3969034.4844708736</v>
      </c>
    </row>
    <row r="32" spans="2:25">
      <c r="G32" s="1023">
        <v>10</v>
      </c>
      <c r="H32" s="1035">
        <f t="shared" si="10"/>
        <v>45901</v>
      </c>
      <c r="I32" s="1036">
        <v>19188167.369313762</v>
      </c>
      <c r="J32" s="1036">
        <f>'2 - Cost Support '!F150</f>
        <v>395527.15554954886</v>
      </c>
      <c r="K32" s="1036">
        <f>'2 - Cost Support '!F134</f>
        <v>4111718.600032005</v>
      </c>
      <c r="L32" s="1033">
        <f t="shared" si="6"/>
        <v>23695413.124895316</v>
      </c>
      <c r="N32" s="1045">
        <f t="shared" si="7"/>
        <v>15876110.357941117</v>
      </c>
      <c r="O32" s="1033">
        <f t="shared" si="8"/>
        <v>3747319.0464667408</v>
      </c>
      <c r="P32" s="1033">
        <f t="shared" si="9"/>
        <v>4071983.7204874563</v>
      </c>
    </row>
    <row r="33" spans="7:16">
      <c r="G33" s="1023">
        <v>11</v>
      </c>
      <c r="H33" s="1035">
        <f t="shared" si="10"/>
        <v>45931</v>
      </c>
      <c r="I33" s="1036">
        <v>19673288.948088814</v>
      </c>
      <c r="J33" s="1036">
        <f>'2 - Cost Support '!F151</f>
        <v>405527.00360462995</v>
      </c>
      <c r="K33" s="1036">
        <f>'2 - Cost Support '!F135</f>
        <v>4215672.4263841882</v>
      </c>
      <c r="L33" s="1033">
        <f t="shared" si="6"/>
        <v>24294488.37807763</v>
      </c>
      <c r="N33" s="1045">
        <f t="shared" si="7"/>
        <v>16277495.41850549</v>
      </c>
      <c r="O33" s="1033">
        <f t="shared" si="8"/>
        <v>3842060.0030680997</v>
      </c>
      <c r="P33" s="1033">
        <f t="shared" si="9"/>
        <v>4174932.9565040395</v>
      </c>
    </row>
    <row r="34" spans="7:16">
      <c r="G34" s="1023">
        <v>12</v>
      </c>
      <c r="H34" s="1035">
        <f t="shared" si="10"/>
        <v>45962</v>
      </c>
      <c r="I34" s="1036">
        <v>20158410.526863869</v>
      </c>
      <c r="J34" s="1036">
        <f>'2 - Cost Support '!F152</f>
        <v>415526.8516597111</v>
      </c>
      <c r="K34" s="1036">
        <f>'2 - Cost Support '!F136</f>
        <v>4319626.2527363719</v>
      </c>
      <c r="L34" s="1033">
        <f t="shared" si="6"/>
        <v>24893563.631259952</v>
      </c>
      <c r="N34" s="1045">
        <f t="shared" si="7"/>
        <v>16678880.479069868</v>
      </c>
      <c r="O34" s="1033">
        <f t="shared" si="8"/>
        <v>3936800.9596694596</v>
      </c>
      <c r="P34" s="1033">
        <f t="shared" si="9"/>
        <v>4277882.1925206231</v>
      </c>
    </row>
    <row r="35" spans="7:16">
      <c r="G35" s="1023">
        <v>13</v>
      </c>
      <c r="H35" s="1035">
        <f t="shared" si="10"/>
        <v>45992</v>
      </c>
      <c r="I35" s="1036">
        <v>20225607.10792987</v>
      </c>
      <c r="J35" s="1036">
        <f>'2 - Cost Support '!F153</f>
        <v>425711.12571049464</v>
      </c>
      <c r="K35" s="1036">
        <f>'2 - Cost Support '!F137</f>
        <v>4425497.2870127633</v>
      </c>
      <c r="L35" s="1033">
        <f t="shared" si="6"/>
        <v>25076815.520653129</v>
      </c>
      <c r="N35" s="1045">
        <f t="shared" si="7"/>
        <v>16801660.664583944</v>
      </c>
      <c r="O35" s="1033">
        <f t="shared" si="8"/>
        <v>3965781.3911058959</v>
      </c>
      <c r="P35" s="1033">
        <f t="shared" si="9"/>
        <v>4309373.464963289</v>
      </c>
    </row>
    <row r="36" spans="7:16" ht="12">
      <c r="H36" s="1043" t="s">
        <v>983</v>
      </c>
      <c r="I36" s="1034">
        <f t="shared" ref="I36:K36" si="11">AVERAGE(I23:I35)</f>
        <v>17700654.556241754</v>
      </c>
      <c r="J36" s="1034">
        <f t="shared" si="11"/>
        <v>365541.79799935961</v>
      </c>
      <c r="K36" s="1034">
        <f t="shared" si="11"/>
        <v>3800004.598508087</v>
      </c>
      <c r="L36" s="1034">
        <f>AVERAGE(L23:L35)</f>
        <v>21866200.9527492</v>
      </c>
      <c r="N36" s="1034">
        <f>AVERAGE(N23:N35)</f>
        <v>14650524.032013357</v>
      </c>
      <c r="O36" s="1034">
        <f t="shared" ref="O36:P36" si="12">AVERAGE(O23:O35)</f>
        <v>3458037.6747269016</v>
      </c>
      <c r="P36" s="1034">
        <f t="shared" si="12"/>
        <v>3757639.2460089442</v>
      </c>
    </row>
  </sheetData>
  <mergeCells count="2">
    <mergeCell ref="B1:E1"/>
    <mergeCell ref="B2:E2"/>
  </mergeCells>
  <pageMargins left="0.7" right="0.7" top="0.75" bottom="0.75" header="0.3" footer="0.3"/>
  <pageSetup scale="42" orientation="portrait" r:id="rId1"/>
  <customProperties>
    <customPr name="_pios_id" r:id="rId2"/>
  </customPropertie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211145-BF38-4ED6-A04E-A048A9178BE2}">
  <sheetPr>
    <tabColor rgb="FFFFC000"/>
  </sheetPr>
  <dimension ref="A1:H24"/>
  <sheetViews>
    <sheetView zoomScale="90" zoomScaleNormal="90" zoomScaleSheetLayoutView="100" workbookViewId="0">
      <selection activeCell="K12" sqref="K12"/>
    </sheetView>
  </sheetViews>
  <sheetFormatPr defaultColWidth="8.90625" defaultRowHeight="15"/>
  <cols>
    <col min="1" max="1" width="8.90625" style="646"/>
    <col min="2" max="2" width="44" style="646" bestFit="1" customWidth="1"/>
    <col min="3" max="3" width="8.90625" style="646"/>
    <col min="4" max="6" width="15.54296875" style="646" customWidth="1"/>
    <col min="7" max="7" width="13.453125" style="646" bestFit="1" customWidth="1"/>
    <col min="8" max="8" width="15.54296875" style="646" customWidth="1"/>
    <col min="9" max="16384" width="8.90625" style="646"/>
  </cols>
  <sheetData>
    <row r="1" spans="1:8" ht="15.6">
      <c r="A1" s="1298" t="s">
        <v>994</v>
      </c>
      <c r="B1" s="1298"/>
      <c r="C1" s="1298"/>
      <c r="D1" s="1298"/>
      <c r="E1" s="1046"/>
      <c r="F1" s="1046"/>
      <c r="G1" s="1046"/>
      <c r="H1" s="1046"/>
    </row>
    <row r="2" spans="1:8" ht="15.6">
      <c r="A2" s="1047" t="s">
        <v>970</v>
      </c>
      <c r="B2" s="1047"/>
      <c r="C2" s="1047"/>
      <c r="D2" s="1047"/>
      <c r="E2" s="1047"/>
      <c r="F2" s="1047"/>
      <c r="G2" s="1047"/>
      <c r="H2" s="1047"/>
    </row>
    <row r="3" spans="1:8" ht="15.6">
      <c r="A3" s="1047"/>
      <c r="C3" s="1047"/>
    </row>
    <row r="4" spans="1:8" ht="15.6">
      <c r="A4" s="1047"/>
      <c r="C4" s="1048" t="s">
        <v>995</v>
      </c>
    </row>
    <row r="5" spans="1:8" ht="15.6">
      <c r="C5" s="1048"/>
    </row>
    <row r="6" spans="1:8">
      <c r="B6" s="1049" t="s">
        <v>175</v>
      </c>
      <c r="D6" s="1049" t="s">
        <v>176</v>
      </c>
    </row>
    <row r="7" spans="1:8" ht="15.6">
      <c r="A7" s="1050"/>
      <c r="C7" s="1158"/>
      <c r="D7" s="1159" t="str">
        <f>'Appendix A'!M8</f>
        <v>For the 12 months ended 12/31/2025</v>
      </c>
      <c r="E7" s="1158"/>
    </row>
    <row r="8" spans="1:8">
      <c r="D8" s="1051"/>
    </row>
    <row r="9" spans="1:8">
      <c r="D9" s="1051"/>
    </row>
    <row r="10" spans="1:8" ht="18.600000000000001">
      <c r="A10" s="1052">
        <v>1</v>
      </c>
      <c r="B10" s="646" t="s">
        <v>996</v>
      </c>
      <c r="C10" s="1053"/>
      <c r="D10" s="1054">
        <f>SUM(D11:D13)</f>
        <v>100962.90255000001</v>
      </c>
    </row>
    <row r="11" spans="1:8">
      <c r="A11" s="1052" t="s">
        <v>278</v>
      </c>
      <c r="B11" s="646" t="s">
        <v>997</v>
      </c>
      <c r="C11" s="1053"/>
      <c r="D11" s="1055">
        <v>75924.265800000008</v>
      </c>
      <c r="E11" s="1056"/>
      <c r="F11" s="38"/>
    </row>
    <row r="12" spans="1:8">
      <c r="A12" s="1052" t="s">
        <v>908</v>
      </c>
      <c r="B12" s="646" t="s">
        <v>998</v>
      </c>
      <c r="C12" s="1053"/>
      <c r="D12" s="1055">
        <v>25038.636750000001</v>
      </c>
    </row>
    <row r="13" spans="1:8">
      <c r="A13" s="1052" t="s">
        <v>909</v>
      </c>
      <c r="B13" s="1057"/>
      <c r="C13" s="1053"/>
      <c r="D13" s="1055"/>
    </row>
    <row r="14" spans="1:8">
      <c r="A14" s="1052"/>
      <c r="C14" s="1053"/>
      <c r="D14" s="38"/>
    </row>
    <row r="15" spans="1:8">
      <c r="A15" s="1052"/>
      <c r="C15" s="1053"/>
      <c r="D15" s="38"/>
    </row>
    <row r="16" spans="1:8">
      <c r="A16" s="646" t="s">
        <v>999</v>
      </c>
    </row>
    <row r="17" spans="1:6" ht="15" customHeight="1">
      <c r="A17" s="1299" t="s">
        <v>1000</v>
      </c>
      <c r="B17" s="1299"/>
      <c r="C17" s="1299"/>
      <c r="D17" s="1299"/>
      <c r="E17" s="1299"/>
      <c r="F17" s="1299"/>
    </row>
    <row r="18" spans="1:6" ht="15.75" customHeight="1">
      <c r="A18" s="1299"/>
      <c r="B18" s="1299"/>
      <c r="C18" s="1299"/>
      <c r="D18" s="1299"/>
      <c r="E18" s="1299"/>
      <c r="F18" s="1299"/>
    </row>
    <row r="19" spans="1:6">
      <c r="A19" s="1299"/>
      <c r="B19" s="1299"/>
      <c r="C19" s="1299"/>
      <c r="D19" s="1299"/>
      <c r="E19" s="1299"/>
      <c r="F19" s="1299"/>
    </row>
    <row r="20" spans="1:6">
      <c r="A20" s="1299"/>
      <c r="B20" s="1299"/>
      <c r="C20" s="1299"/>
      <c r="D20" s="1299"/>
      <c r="E20" s="1299"/>
      <c r="F20" s="1299"/>
    </row>
    <row r="21" spans="1:6" ht="15.75" customHeight="1">
      <c r="A21" s="1299"/>
      <c r="B21" s="1299"/>
      <c r="C21" s="1299"/>
      <c r="D21" s="1299"/>
      <c r="E21" s="1299"/>
      <c r="F21" s="1299"/>
    </row>
    <row r="22" spans="1:6">
      <c r="A22" s="1299"/>
      <c r="B22" s="1299"/>
      <c r="C22" s="1299"/>
      <c r="D22" s="1299"/>
      <c r="E22" s="1299"/>
      <c r="F22" s="1299"/>
    </row>
    <row r="23" spans="1:6">
      <c r="A23" s="1058"/>
      <c r="B23" s="1058"/>
      <c r="C23" s="1058"/>
      <c r="D23" s="1058"/>
      <c r="E23" s="1058"/>
      <c r="F23" s="1058"/>
    </row>
    <row r="24" spans="1:6">
      <c r="A24" s="1058"/>
      <c r="B24" s="1058"/>
      <c r="C24" s="1058"/>
      <c r="D24" s="1058"/>
      <c r="E24" s="1058"/>
      <c r="F24" s="1058"/>
    </row>
  </sheetData>
  <mergeCells count="2">
    <mergeCell ref="A1:D1"/>
    <mergeCell ref="A17:F22"/>
  </mergeCells>
  <pageMargins left="0.7" right="0.7" top="0.75" bottom="0.75" header="0.3" footer="0.3"/>
  <pageSetup scale="51" orientation="portrait" r:id="rId1"/>
  <headerFooter>
    <oddFooter>&amp;R&amp;A</oddFooter>
  </headerFooter>
  <customProperties>
    <customPr name="_pios_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81AD09-4EEE-46E5-9378-6BE7FEA96D36}">
  <sheetPr>
    <tabColor theme="9" tint="0.79998168889431442"/>
  </sheetPr>
  <dimension ref="A1:K20"/>
  <sheetViews>
    <sheetView tabSelected="1" zoomScaleNormal="100" zoomScaleSheetLayoutView="100" workbookViewId="0">
      <selection activeCell="K12" sqref="K12"/>
    </sheetView>
  </sheetViews>
  <sheetFormatPr defaultRowHeight="15"/>
  <cols>
    <col min="1" max="1" width="16" customWidth="1"/>
  </cols>
  <sheetData>
    <row r="1" spans="1:11">
      <c r="A1" s="1" t="s">
        <v>0</v>
      </c>
      <c r="B1" s="2"/>
      <c r="C1" s="3"/>
      <c r="D1" s="2"/>
      <c r="E1" s="2"/>
      <c r="F1" s="2"/>
      <c r="G1" s="2"/>
      <c r="H1" s="4"/>
      <c r="I1" s="4"/>
      <c r="J1" s="4"/>
      <c r="K1" s="4"/>
    </row>
    <row r="2" spans="1:11">
      <c r="A2" s="5"/>
      <c r="B2" s="2"/>
      <c r="C2" s="3"/>
      <c r="D2" s="2"/>
      <c r="E2" s="2"/>
      <c r="F2" s="2"/>
      <c r="G2" s="2"/>
      <c r="H2" s="5"/>
      <c r="I2" s="4"/>
      <c r="J2" s="4"/>
      <c r="K2" s="4" t="s">
        <v>1</v>
      </c>
    </row>
    <row r="3" spans="1:11">
      <c r="A3" s="5"/>
      <c r="B3" s="2"/>
      <c r="C3" s="3"/>
      <c r="D3" s="2"/>
      <c r="E3" s="2"/>
      <c r="F3" s="2"/>
      <c r="G3" s="2"/>
      <c r="H3" s="4"/>
      <c r="I3" s="6"/>
      <c r="J3" s="7"/>
      <c r="K3" s="7"/>
    </row>
    <row r="4" spans="1:11">
      <c r="A4" s="5"/>
      <c r="B4" s="1"/>
      <c r="C4" s="8" t="str">
        <f>'Appendix A'!E6</f>
        <v xml:space="preserve">Rate Formula Template </v>
      </c>
      <c r="D4" s="2"/>
      <c r="E4" s="2"/>
      <c r="F4" s="2"/>
      <c r="G4" s="2"/>
      <c r="H4" s="5"/>
      <c r="I4" s="5"/>
      <c r="J4" s="5"/>
      <c r="K4" s="5"/>
    </row>
    <row r="5" spans="1:11">
      <c r="A5" s="5"/>
      <c r="B5" s="9"/>
      <c r="C5" s="10" t="str">
        <f>'Appendix A'!E7</f>
        <v xml:space="preserve"> Utilizing FERC Form 1 Data</v>
      </c>
      <c r="D5" s="9"/>
      <c r="E5" s="9"/>
      <c r="F5" s="9"/>
      <c r="G5" s="11"/>
      <c r="H5" s="11"/>
      <c r="I5" s="12"/>
      <c r="J5" s="13"/>
      <c r="K5" s="14" t="str">
        <f>'Appendix A'!M7</f>
        <v>Projected Annual Transmission Revenue Requirement</v>
      </c>
    </row>
    <row r="6" spans="1:11">
      <c r="A6" s="2"/>
      <c r="B6" s="15"/>
      <c r="C6" s="15"/>
      <c r="D6" s="15"/>
      <c r="E6" s="15"/>
      <c r="F6" s="15"/>
      <c r="G6" s="15"/>
      <c r="H6" s="13"/>
      <c r="I6" s="16"/>
      <c r="J6" s="17"/>
      <c r="K6" s="18" t="str">
        <f>'Appendix A'!M8</f>
        <v>For the 12 months ended 12/31/2025</v>
      </c>
    </row>
    <row r="7" spans="1:11">
      <c r="A7" s="5"/>
      <c r="C7" s="19" t="s">
        <v>2</v>
      </c>
    </row>
    <row r="8" spans="1:11">
      <c r="A8" s="5"/>
      <c r="B8" s="5"/>
      <c r="C8" s="15"/>
    </row>
    <row r="12" spans="1:11">
      <c r="A12" t="s">
        <v>3</v>
      </c>
      <c r="C12" t="s">
        <v>4</v>
      </c>
    </row>
    <row r="13" spans="1:11">
      <c r="A13" t="s">
        <v>5</v>
      </c>
      <c r="C13" t="s">
        <v>6</v>
      </c>
    </row>
    <row r="14" spans="1:11">
      <c r="A14" t="s">
        <v>7</v>
      </c>
      <c r="C14" t="s">
        <v>8</v>
      </c>
    </row>
    <row r="15" spans="1:11">
      <c r="A15" t="s">
        <v>9</v>
      </c>
      <c r="C15" t="s">
        <v>10</v>
      </c>
    </row>
    <row r="16" spans="1:11">
      <c r="A16" t="s">
        <v>11</v>
      </c>
      <c r="C16" t="s">
        <v>12</v>
      </c>
    </row>
    <row r="17" spans="1:3">
      <c r="A17" t="s">
        <v>13</v>
      </c>
      <c r="C17" t="s">
        <v>14</v>
      </c>
    </row>
    <row r="18" spans="1:3">
      <c r="A18" t="s">
        <v>15</v>
      </c>
      <c r="C18" t="s">
        <v>16</v>
      </c>
    </row>
    <row r="19" spans="1:3">
      <c r="A19" t="s">
        <v>17</v>
      </c>
      <c r="C19" t="s">
        <v>18</v>
      </c>
    </row>
    <row r="20" spans="1:3">
      <c r="A20" t="s">
        <v>19</v>
      </c>
      <c r="C20" t="s">
        <v>20</v>
      </c>
    </row>
  </sheetData>
  <pageMargins left="0.7" right="0.7" top="0.75" bottom="0.75" header="0.3" footer="0.3"/>
  <pageSetup scale="61" orientation="portrait" r:id="rId1"/>
  <customProperties>
    <customPr name="_pios_id" r:id="rId2"/>
  </customProperties>
  <ignoredErrors>
    <ignoredError sqref="C4 K6" unlockedFormula="1"/>
  </ignoredError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4673A5-4787-4FEA-81CB-CF7C1DF71184}">
  <dimension ref="A1:AI103"/>
  <sheetViews>
    <sheetView workbookViewId="0">
      <pane xSplit="1" ySplit="1" topLeftCell="B2" activePane="bottomRight" state="frozen"/>
      <selection pane="topRight" activeCell="B1" sqref="B1"/>
      <selection pane="bottomLeft" activeCell="A2" sqref="A2"/>
      <selection pane="bottomRight" activeCell="AF35" sqref="AF35"/>
    </sheetView>
  </sheetViews>
  <sheetFormatPr defaultRowHeight="15"/>
  <cols>
    <col min="1" max="1" width="42.54296875" bestFit="1" customWidth="1"/>
    <col min="2" max="2" width="7.1796875" hidden="1" customWidth="1"/>
    <col min="3" max="3" width="7.81640625" hidden="1" customWidth="1"/>
    <col min="4" max="4" width="8" hidden="1" customWidth="1"/>
    <col min="5" max="5" width="8.08984375" hidden="1" customWidth="1"/>
    <col min="6" max="6" width="7.81640625" hidden="1" customWidth="1"/>
    <col min="7" max="7" width="8.1796875" hidden="1" customWidth="1"/>
    <col min="8" max="8" width="7.81640625" hidden="1" customWidth="1"/>
    <col min="9" max="9" width="7.453125" hidden="1" customWidth="1"/>
    <col min="10" max="14" width="7" hidden="1" customWidth="1"/>
    <col min="15" max="15" width="7.6328125" bestFit="1" customWidth="1"/>
    <col min="16" max="16" width="6.81640625" bestFit="1" customWidth="1"/>
    <col min="17" max="17" width="6.90625" bestFit="1" customWidth="1"/>
    <col min="18" max="18" width="6.54296875" bestFit="1" customWidth="1"/>
    <col min="19" max="19" width="7" bestFit="1" customWidth="1"/>
    <col min="20" max="21" width="6.54296875" bestFit="1" customWidth="1"/>
    <col min="22" max="23" width="6.81640625" bestFit="1" customWidth="1"/>
    <col min="24" max="24" width="7" bestFit="1" customWidth="1"/>
    <col min="25" max="25" width="6.81640625" bestFit="1" customWidth="1"/>
    <col min="26" max="26" width="7" bestFit="1" customWidth="1"/>
    <col min="27" max="27" width="7.6328125" bestFit="1" customWidth="1"/>
    <col min="28" max="28" width="5.08984375" customWidth="1"/>
    <col min="29" max="29" width="9.6328125" customWidth="1"/>
    <col min="30" max="30" width="2.81640625" customWidth="1"/>
    <col min="31" max="31" width="5.1796875" customWidth="1"/>
    <col min="32" max="32" width="11.81640625" customWidth="1"/>
    <col min="33" max="33" width="3.81640625" customWidth="1"/>
    <col min="34" max="34" width="13.08984375" bestFit="1" customWidth="1"/>
  </cols>
  <sheetData>
    <row r="1" spans="1:34" ht="24.6" thickBot="1">
      <c r="A1" s="1135" t="s">
        <v>1107</v>
      </c>
      <c r="B1" s="1135" t="s">
        <v>1284</v>
      </c>
      <c r="C1" s="1135" t="s">
        <v>1082</v>
      </c>
      <c r="D1" s="1135" t="s">
        <v>1083</v>
      </c>
      <c r="E1" s="1135" t="s">
        <v>1084</v>
      </c>
      <c r="F1" s="1135" t="s">
        <v>1085</v>
      </c>
      <c r="G1" s="1135" t="s">
        <v>1086</v>
      </c>
      <c r="H1" s="1135" t="s">
        <v>1087</v>
      </c>
      <c r="I1" s="1135" t="s">
        <v>1285</v>
      </c>
      <c r="J1" s="1135" t="s">
        <v>1299</v>
      </c>
      <c r="K1" s="1135" t="s">
        <v>1088</v>
      </c>
      <c r="L1" s="1135" t="s">
        <v>1089</v>
      </c>
      <c r="M1" s="1135" t="s">
        <v>1090</v>
      </c>
      <c r="N1" s="1135" t="s">
        <v>1091</v>
      </c>
      <c r="O1" s="1135" t="s">
        <v>1093</v>
      </c>
      <c r="P1" s="1135" t="s">
        <v>1094</v>
      </c>
      <c r="Q1" s="1135" t="s">
        <v>1095</v>
      </c>
      <c r="R1" s="1135" t="s">
        <v>1096</v>
      </c>
      <c r="S1" s="1135" t="s">
        <v>1097</v>
      </c>
      <c r="T1" s="1135" t="s">
        <v>1098</v>
      </c>
      <c r="U1" s="1135" t="s">
        <v>1099</v>
      </c>
      <c r="V1" s="1135" t="s">
        <v>1100</v>
      </c>
      <c r="W1" s="1135" t="s">
        <v>1101</v>
      </c>
      <c r="X1" s="1135" t="s">
        <v>1102</v>
      </c>
      <c r="Y1" s="1135" t="s">
        <v>1103</v>
      </c>
      <c r="Z1" s="1135" t="s">
        <v>1104</v>
      </c>
      <c r="AA1" s="1135" t="s">
        <v>1105</v>
      </c>
    </row>
    <row r="2" spans="1:34">
      <c r="A2" s="1121" t="s">
        <v>1106</v>
      </c>
      <c r="B2" s="1130"/>
      <c r="C2" s="1130"/>
      <c r="D2" s="1130"/>
      <c r="E2" s="1130"/>
      <c r="F2" s="1130"/>
      <c r="G2" s="1130"/>
      <c r="H2" s="1130"/>
      <c r="I2" s="1130"/>
      <c r="J2" s="1130"/>
      <c r="K2" s="1130"/>
      <c r="L2" s="1130"/>
      <c r="M2" s="1130"/>
      <c r="N2" s="1130"/>
      <c r="O2" s="1130"/>
      <c r="P2" s="1130"/>
      <c r="Q2" s="1130"/>
      <c r="R2" s="1130"/>
      <c r="S2" s="1130"/>
      <c r="T2" s="1130"/>
      <c r="U2" s="1130"/>
      <c r="V2" s="1130"/>
      <c r="W2" s="1130"/>
      <c r="X2" s="1130"/>
      <c r="Y2" s="1130"/>
      <c r="Z2" s="1130"/>
      <c r="AA2" s="1130"/>
    </row>
    <row r="3" spans="1:34" hidden="1">
      <c r="A3" s="1122" t="s">
        <v>1002</v>
      </c>
      <c r="B3" s="1130"/>
      <c r="C3" s="1130"/>
      <c r="D3" s="1130"/>
      <c r="E3" s="1130"/>
      <c r="F3" s="1130"/>
      <c r="G3" s="1130"/>
      <c r="H3" s="1130"/>
      <c r="I3" s="1130"/>
      <c r="J3" s="1130"/>
      <c r="K3" s="1130"/>
      <c r="L3" s="1130"/>
      <c r="M3" s="1130"/>
      <c r="N3" s="1130"/>
      <c r="O3" s="1130"/>
      <c r="P3" s="1130"/>
      <c r="Q3" s="1130"/>
      <c r="R3" s="1130"/>
      <c r="S3" s="1130"/>
      <c r="T3" s="1130"/>
      <c r="U3" s="1130"/>
      <c r="V3" s="1130"/>
      <c r="W3" s="1130"/>
      <c r="X3" s="1130"/>
      <c r="Y3" s="1130"/>
      <c r="Z3" s="1130"/>
      <c r="AA3" s="1130"/>
    </row>
    <row r="4" spans="1:34" hidden="1">
      <c r="A4" s="1123" t="s">
        <v>1108</v>
      </c>
      <c r="B4" s="1130"/>
      <c r="C4" s="1130"/>
      <c r="D4" s="1130"/>
      <c r="E4" s="1130"/>
      <c r="F4" s="1130"/>
      <c r="G4" s="1130"/>
      <c r="H4" s="1130"/>
      <c r="I4" s="1130"/>
      <c r="J4" s="1130"/>
      <c r="K4" s="1130"/>
      <c r="L4" s="1130"/>
      <c r="M4" s="1130"/>
      <c r="N4" s="1130"/>
      <c r="O4" s="1130"/>
      <c r="P4" s="1130"/>
      <c r="Q4" s="1130"/>
      <c r="R4" s="1130"/>
      <c r="S4" s="1130"/>
      <c r="T4" s="1130"/>
      <c r="U4" s="1130"/>
      <c r="V4" s="1130"/>
      <c r="W4" s="1130"/>
      <c r="X4" s="1130"/>
      <c r="Y4" s="1130"/>
      <c r="Z4" s="1130"/>
      <c r="AA4" s="1130"/>
    </row>
    <row r="5" spans="1:34" hidden="1">
      <c r="A5" s="1124" t="s">
        <v>1109</v>
      </c>
      <c r="B5" s="1130">
        <v>45107054.410000011</v>
      </c>
      <c r="C5" s="1130">
        <v>5443125.2000000002</v>
      </c>
      <c r="D5" s="1130">
        <v>5091955.83</v>
      </c>
      <c r="E5" s="1130">
        <v>5443125.2000000002</v>
      </c>
      <c r="F5" s="1130">
        <v>5267540.51</v>
      </c>
      <c r="G5" s="1130">
        <v>5443125.2000000002</v>
      </c>
      <c r="H5" s="1130">
        <v>5267540.51</v>
      </c>
      <c r="I5" s="1130">
        <v>5443125.2000000002</v>
      </c>
      <c r="J5" s="1130">
        <v>5443125.2000000002</v>
      </c>
      <c r="K5" s="1130">
        <v>5713119.8813433284</v>
      </c>
      <c r="L5" s="1130">
        <v>5861644.3053881051</v>
      </c>
      <c r="M5" s="1130">
        <v>5713119.8813433284</v>
      </c>
      <c r="N5" s="1130">
        <v>4261644.305388106</v>
      </c>
      <c r="O5" s="1130">
        <v>6249094.1723994063</v>
      </c>
      <c r="P5" s="1130">
        <v>5730815.5361188184</v>
      </c>
      <c r="Q5" s="1130">
        <v>6249094.1723994063</v>
      </c>
      <c r="R5" s="1130">
        <v>6076334.626972544</v>
      </c>
      <c r="S5" s="1130">
        <v>6249094.1723994063</v>
      </c>
      <c r="T5" s="1130">
        <v>6076334.626972544</v>
      </c>
      <c r="U5" s="1130">
        <v>6249094.1723994063</v>
      </c>
      <c r="V5" s="1130">
        <v>6249094.1723994063</v>
      </c>
      <c r="W5" s="1130">
        <v>6076334.626972544</v>
      </c>
      <c r="X5" s="1130">
        <v>6249094.1723994063</v>
      </c>
      <c r="Y5" s="1130">
        <v>6076334.626972544</v>
      </c>
      <c r="Z5" s="1130">
        <v>6249094.1723994063</v>
      </c>
      <c r="AA5" s="1130">
        <v>73779813.250804842</v>
      </c>
    </row>
    <row r="6" spans="1:34">
      <c r="A6" s="1122" t="s">
        <v>1110</v>
      </c>
      <c r="B6" s="1130"/>
      <c r="C6" s="1130"/>
      <c r="D6" s="1130"/>
      <c r="E6" s="1130"/>
      <c r="F6" s="1130"/>
      <c r="G6" s="1130"/>
      <c r="H6" s="1130"/>
      <c r="I6" s="1130"/>
      <c r="J6" s="1130"/>
      <c r="K6" s="1130"/>
      <c r="L6" s="1130"/>
      <c r="M6" s="1130"/>
      <c r="N6" s="1130"/>
      <c r="O6" s="1130"/>
      <c r="P6" s="1130"/>
      <c r="Q6" s="1130"/>
      <c r="R6" s="1130"/>
      <c r="S6" s="1130"/>
      <c r="T6" s="1130"/>
      <c r="U6" s="1130"/>
      <c r="V6" s="1130"/>
      <c r="W6" s="1130"/>
      <c r="X6" s="1130"/>
      <c r="Y6" s="1130"/>
      <c r="Z6" s="1130"/>
      <c r="AA6" s="1130"/>
    </row>
    <row r="7" spans="1:34">
      <c r="A7" s="1123" t="s">
        <v>100</v>
      </c>
      <c r="B7" s="1130"/>
      <c r="C7" s="1130"/>
      <c r="D7" s="1130"/>
      <c r="E7" s="1130"/>
      <c r="F7" s="1130"/>
      <c r="G7" s="1130"/>
      <c r="H7" s="1130"/>
      <c r="I7" s="1130"/>
      <c r="J7" s="1130"/>
      <c r="K7" s="1130"/>
      <c r="L7" s="1130"/>
      <c r="M7" s="1130"/>
      <c r="N7" s="1130"/>
      <c r="O7" s="1130"/>
      <c r="P7" s="1130"/>
      <c r="Q7" s="1130"/>
      <c r="R7" s="1130"/>
      <c r="S7" s="1130"/>
      <c r="T7" s="1130"/>
      <c r="U7" s="1130"/>
      <c r="V7" s="1130"/>
      <c r="W7" s="1130"/>
      <c r="X7" s="1130"/>
      <c r="Y7" s="1130"/>
      <c r="Z7" s="1130"/>
      <c r="AA7" s="1130"/>
    </row>
    <row r="8" spans="1:34">
      <c r="A8" s="1124" t="s">
        <v>1111</v>
      </c>
      <c r="B8" s="1130">
        <v>-778466.07999999984</v>
      </c>
      <c r="C8" s="1130">
        <v>-47083.469999999994</v>
      </c>
      <c r="D8" s="1130">
        <v>-68530.209999999992</v>
      </c>
      <c r="E8" s="1130">
        <v>-4812.5700000000006</v>
      </c>
      <c r="F8" s="1130">
        <v>-3687.4</v>
      </c>
      <c r="G8" s="1130">
        <v>-1689.6499999999999</v>
      </c>
      <c r="H8" s="1130">
        <v>-186125.37</v>
      </c>
      <c r="I8" s="1130">
        <v>-2331.69</v>
      </c>
      <c r="J8" s="1130">
        <v>-48532.340000000004</v>
      </c>
      <c r="K8" s="1130">
        <v>-86842</v>
      </c>
      <c r="L8" s="1130">
        <v>-86842</v>
      </c>
      <c r="M8" s="1130">
        <v>-86842</v>
      </c>
      <c r="N8" s="1130">
        <v>-86842</v>
      </c>
      <c r="O8" s="1130">
        <v>-63023</v>
      </c>
      <c r="P8" s="1130">
        <v>-63023</v>
      </c>
      <c r="Q8" s="1130">
        <v>-63023</v>
      </c>
      <c r="R8" s="1130">
        <v>-63023</v>
      </c>
      <c r="S8" s="1130">
        <v>-63023</v>
      </c>
      <c r="T8" s="1130">
        <v>-63023</v>
      </c>
      <c r="U8" s="1130">
        <v>-63023</v>
      </c>
      <c r="V8" s="1130">
        <v>-63023</v>
      </c>
      <c r="W8" s="1130">
        <v>-63023</v>
      </c>
      <c r="X8" s="1130">
        <v>-63023</v>
      </c>
      <c r="Y8" s="1130">
        <v>-63023</v>
      </c>
      <c r="Z8" s="1130">
        <v>-63023</v>
      </c>
      <c r="AA8" s="1130">
        <v>-756276</v>
      </c>
      <c r="AH8" s="1103"/>
    </row>
    <row r="9" spans="1:34">
      <c r="A9" s="1124" t="s">
        <v>1112</v>
      </c>
      <c r="B9" s="1130">
        <v>-13.32</v>
      </c>
      <c r="C9" s="1130">
        <v>0</v>
      </c>
      <c r="D9" s="1130">
        <v>-70</v>
      </c>
      <c r="E9" s="1130">
        <v>-114.65</v>
      </c>
      <c r="F9" s="1130">
        <v>-113.68</v>
      </c>
      <c r="G9" s="1130">
        <v>0</v>
      </c>
      <c r="H9" s="1130">
        <v>0</v>
      </c>
      <c r="I9" s="1130">
        <v>-1751.66</v>
      </c>
      <c r="J9" s="1130">
        <v>-34.17</v>
      </c>
      <c r="K9" s="1130">
        <v>0</v>
      </c>
      <c r="L9" s="1130">
        <v>0</v>
      </c>
      <c r="M9" s="1130">
        <v>0</v>
      </c>
      <c r="N9" s="1130">
        <v>0</v>
      </c>
      <c r="O9" s="1130">
        <v>0</v>
      </c>
      <c r="P9" s="1130">
        <v>0</v>
      </c>
      <c r="Q9" s="1130">
        <v>0</v>
      </c>
      <c r="R9" s="1130">
        <v>0</v>
      </c>
      <c r="S9" s="1130">
        <v>0</v>
      </c>
      <c r="T9" s="1130">
        <v>0</v>
      </c>
      <c r="U9" s="1130">
        <v>0</v>
      </c>
      <c r="V9" s="1130">
        <v>0</v>
      </c>
      <c r="W9" s="1130">
        <v>0</v>
      </c>
      <c r="X9" s="1130">
        <v>0</v>
      </c>
      <c r="Y9" s="1130">
        <v>0</v>
      </c>
      <c r="Z9" s="1130">
        <v>0</v>
      </c>
      <c r="AA9" s="1130">
        <v>0</v>
      </c>
    </row>
    <row r="10" spans="1:34">
      <c r="A10" s="1124" t="s">
        <v>1113</v>
      </c>
      <c r="B10" s="1130">
        <v>-9647.4599999999991</v>
      </c>
      <c r="C10" s="1130">
        <v>-1335.67</v>
      </c>
      <c r="D10" s="1130">
        <v>0</v>
      </c>
      <c r="E10" s="1130">
        <v>0</v>
      </c>
      <c r="F10" s="1130">
        <v>0</v>
      </c>
      <c r="G10" s="1130">
        <v>0</v>
      </c>
      <c r="H10" s="1130">
        <v>0</v>
      </c>
      <c r="I10" s="1130">
        <v>0</v>
      </c>
      <c r="J10" s="1130">
        <v>0</v>
      </c>
      <c r="K10" s="1130">
        <v>0</v>
      </c>
      <c r="L10" s="1130">
        <v>0</v>
      </c>
      <c r="M10" s="1130">
        <v>0</v>
      </c>
      <c r="N10" s="1130">
        <v>0</v>
      </c>
      <c r="O10" s="1130">
        <v>0</v>
      </c>
      <c r="P10" s="1130">
        <v>0</v>
      </c>
      <c r="Q10" s="1130">
        <v>0</v>
      </c>
      <c r="R10" s="1130">
        <v>0</v>
      </c>
      <c r="S10" s="1130">
        <v>0</v>
      </c>
      <c r="T10" s="1130">
        <v>0</v>
      </c>
      <c r="U10" s="1130">
        <v>0</v>
      </c>
      <c r="V10" s="1130">
        <v>0</v>
      </c>
      <c r="W10" s="1130">
        <v>0</v>
      </c>
      <c r="X10" s="1130">
        <v>0</v>
      </c>
      <c r="Y10" s="1130">
        <v>0</v>
      </c>
      <c r="Z10" s="1130">
        <v>0</v>
      </c>
      <c r="AA10" s="1130">
        <v>0</v>
      </c>
    </row>
    <row r="11" spans="1:34" s="1118" customFormat="1">
      <c r="A11" s="1137" t="s">
        <v>1114</v>
      </c>
      <c r="B11" s="1138">
        <v>-882861.66000000015</v>
      </c>
      <c r="C11" s="1138">
        <v>-81993.249999999985</v>
      </c>
      <c r="D11" s="1138">
        <v>-44683.23</v>
      </c>
      <c r="E11" s="1138">
        <v>-22400.039999999997</v>
      </c>
      <c r="F11" s="1138">
        <v>-15864.27</v>
      </c>
      <c r="G11" s="1138">
        <v>-21653.49</v>
      </c>
      <c r="H11" s="1138">
        <v>-32840.97</v>
      </c>
      <c r="I11" s="1138">
        <v>-10598.86</v>
      </c>
      <c r="J11" s="1138">
        <v>-18980.82</v>
      </c>
      <c r="K11" s="1138">
        <v>-61927</v>
      </c>
      <c r="L11" s="1138">
        <v>-61928</v>
      </c>
      <c r="M11" s="1138">
        <v>-61928</v>
      </c>
      <c r="N11" s="1138">
        <v>-61928</v>
      </c>
      <c r="O11" s="1138">
        <v>-98000</v>
      </c>
      <c r="P11" s="1138">
        <v>-47600</v>
      </c>
      <c r="Q11" s="1138">
        <v>-47600</v>
      </c>
      <c r="R11" s="1138">
        <v>-47600</v>
      </c>
      <c r="S11" s="1138">
        <v>-47600</v>
      </c>
      <c r="T11" s="1138">
        <v>-47600</v>
      </c>
      <c r="U11" s="1138">
        <v>-138000</v>
      </c>
      <c r="V11" s="1138">
        <v>-137600</v>
      </c>
      <c r="W11" s="1138">
        <v>-187600</v>
      </c>
      <c r="X11" s="1138">
        <v>-237600</v>
      </c>
      <c r="Y11" s="1138">
        <v>-237600</v>
      </c>
      <c r="Z11" s="1138">
        <v>-237600</v>
      </c>
      <c r="AA11" s="1138">
        <v>-1512000</v>
      </c>
    </row>
    <row r="12" spans="1:34">
      <c r="A12" s="1124" t="s">
        <v>1115</v>
      </c>
      <c r="B12" s="1130">
        <v>-42159.960000000006</v>
      </c>
      <c r="C12" s="1130">
        <v>-3513.33</v>
      </c>
      <c r="D12" s="1130">
        <v>-3513.33</v>
      </c>
      <c r="E12" s="1130">
        <v>-3513.33</v>
      </c>
      <c r="F12" s="1130">
        <v>-3513.33</v>
      </c>
      <c r="G12" s="1130">
        <v>-3513.33</v>
      </c>
      <c r="H12" s="1130">
        <v>-3513.33</v>
      </c>
      <c r="I12" s="1130">
        <v>-3513.33</v>
      </c>
      <c r="J12" s="1130">
        <v>-3513.33</v>
      </c>
      <c r="K12" s="1130">
        <v>-3829</v>
      </c>
      <c r="L12" s="1130">
        <v>-3829</v>
      </c>
      <c r="M12" s="1130">
        <v>-3829</v>
      </c>
      <c r="N12" s="1130">
        <v>-3829</v>
      </c>
      <c r="O12" s="1130">
        <v>-3727</v>
      </c>
      <c r="P12" s="1130">
        <v>-3727</v>
      </c>
      <c r="Q12" s="1130">
        <v>-3727</v>
      </c>
      <c r="R12" s="1130">
        <v>-3727</v>
      </c>
      <c r="S12" s="1130">
        <v>-3727</v>
      </c>
      <c r="T12" s="1130">
        <v>-3727</v>
      </c>
      <c r="U12" s="1130">
        <v>-3727</v>
      </c>
      <c r="V12" s="1130">
        <v>-3727</v>
      </c>
      <c r="W12" s="1130">
        <v>-3727</v>
      </c>
      <c r="X12" s="1130">
        <v>-3727</v>
      </c>
      <c r="Y12" s="1130">
        <v>-3727</v>
      </c>
      <c r="Z12" s="1130">
        <v>-3727</v>
      </c>
      <c r="AA12" s="1130">
        <v>-44724</v>
      </c>
    </row>
    <row r="13" spans="1:34">
      <c r="A13" s="1124" t="s">
        <v>1116</v>
      </c>
      <c r="B13" s="1130">
        <v>-140818.03000000003</v>
      </c>
      <c r="C13" s="1130">
        <v>-16929.53</v>
      </c>
      <c r="D13" s="1130">
        <v>-13982.48</v>
      </c>
      <c r="E13" s="1130">
        <v>-19179.53</v>
      </c>
      <c r="F13" s="1130">
        <v>-9768.57</v>
      </c>
      <c r="G13" s="1130">
        <v>-10459.900000000001</v>
      </c>
      <c r="H13" s="1130">
        <v>-9487.5399999999991</v>
      </c>
      <c r="I13" s="1130">
        <v>-8214.1</v>
      </c>
      <c r="J13" s="1130">
        <v>-13594.409999999998</v>
      </c>
      <c r="K13" s="1130">
        <v>-23100</v>
      </c>
      <c r="L13" s="1130">
        <v>-23100</v>
      </c>
      <c r="M13" s="1130">
        <v>-23100</v>
      </c>
      <c r="N13" s="1130">
        <v>-23100</v>
      </c>
      <c r="O13" s="1130">
        <v>-16653</v>
      </c>
      <c r="P13" s="1130">
        <v>-16653</v>
      </c>
      <c r="Q13" s="1130">
        <v>-16653</v>
      </c>
      <c r="R13" s="1130">
        <v>-16653</v>
      </c>
      <c r="S13" s="1130">
        <v>-16653</v>
      </c>
      <c r="T13" s="1130">
        <v>-16653</v>
      </c>
      <c r="U13" s="1130">
        <v>-16653</v>
      </c>
      <c r="V13" s="1130">
        <v>-16653</v>
      </c>
      <c r="W13" s="1130">
        <v>-16653</v>
      </c>
      <c r="X13" s="1130">
        <v>-16653</v>
      </c>
      <c r="Y13" s="1130">
        <v>-16653</v>
      </c>
      <c r="Z13" s="1130">
        <v>-16653</v>
      </c>
      <c r="AA13" s="1130">
        <v>-199836</v>
      </c>
    </row>
    <row r="14" spans="1:34">
      <c r="A14" s="1124" t="s">
        <v>1286</v>
      </c>
      <c r="B14" s="1130">
        <v>-22055.72</v>
      </c>
      <c r="C14" s="1130">
        <v>0</v>
      </c>
      <c r="D14" s="1130">
        <v>0</v>
      </c>
      <c r="E14" s="1130">
        <v>0</v>
      </c>
      <c r="F14" s="1130">
        <v>0</v>
      </c>
      <c r="G14" s="1130">
        <v>0</v>
      </c>
      <c r="H14" s="1130">
        <v>0</v>
      </c>
      <c r="I14" s="1130">
        <v>0</v>
      </c>
      <c r="J14" s="1130">
        <v>0</v>
      </c>
      <c r="K14" s="1130">
        <v>0</v>
      </c>
      <c r="L14" s="1130">
        <v>0</v>
      </c>
      <c r="M14" s="1130">
        <v>0</v>
      </c>
      <c r="N14" s="1130">
        <v>0</v>
      </c>
      <c r="O14" s="1130">
        <v>0</v>
      </c>
      <c r="P14" s="1130">
        <v>0</v>
      </c>
      <c r="Q14" s="1130">
        <v>0</v>
      </c>
      <c r="R14" s="1130">
        <v>0</v>
      </c>
      <c r="S14" s="1130">
        <v>0</v>
      </c>
      <c r="T14" s="1130">
        <v>0</v>
      </c>
      <c r="U14" s="1130">
        <v>0</v>
      </c>
      <c r="V14" s="1130">
        <v>0</v>
      </c>
      <c r="W14" s="1130">
        <v>0</v>
      </c>
      <c r="X14" s="1130">
        <v>0</v>
      </c>
      <c r="Y14" s="1130">
        <v>0</v>
      </c>
      <c r="Z14" s="1130">
        <v>0</v>
      </c>
      <c r="AA14" s="1130">
        <v>0</v>
      </c>
    </row>
    <row r="15" spans="1:34">
      <c r="A15" s="1124" t="s">
        <v>1117</v>
      </c>
      <c r="B15" s="1130">
        <v>-541514.28</v>
      </c>
      <c r="C15" s="1130">
        <v>-46390.42</v>
      </c>
      <c r="D15" s="1130">
        <v>-44303.670000000006</v>
      </c>
      <c r="E15" s="1130">
        <v>-70247.08</v>
      </c>
      <c r="F15" s="1130">
        <v>-39866.170000000006</v>
      </c>
      <c r="G15" s="1130">
        <v>-39911.350000000006</v>
      </c>
      <c r="H15" s="1130">
        <v>-35034.210000000006</v>
      </c>
      <c r="I15" s="1130">
        <v>-90208.73</v>
      </c>
      <c r="J15" s="1130">
        <v>-47545.919999999998</v>
      </c>
      <c r="K15" s="1130">
        <v>-51688</v>
      </c>
      <c r="L15" s="1130">
        <v>-51688</v>
      </c>
      <c r="M15" s="1130">
        <v>-51688</v>
      </c>
      <c r="N15" s="1130">
        <v>-51688</v>
      </c>
      <c r="O15" s="1130">
        <v>-53238</v>
      </c>
      <c r="P15" s="1130">
        <v>-53238</v>
      </c>
      <c r="Q15" s="1130">
        <v>-53238</v>
      </c>
      <c r="R15" s="1130">
        <v>-53238</v>
      </c>
      <c r="S15" s="1130">
        <v>-53238</v>
      </c>
      <c r="T15" s="1130">
        <v>-53238</v>
      </c>
      <c r="U15" s="1130">
        <v>-53238</v>
      </c>
      <c r="V15" s="1130">
        <v>-53238</v>
      </c>
      <c r="W15" s="1130">
        <v>-53238</v>
      </c>
      <c r="X15" s="1130">
        <v>-53238</v>
      </c>
      <c r="Y15" s="1130">
        <v>-53238</v>
      </c>
      <c r="Z15" s="1130">
        <v>-53238</v>
      </c>
      <c r="AA15" s="1130">
        <v>-638856</v>
      </c>
    </row>
    <row r="16" spans="1:34">
      <c r="A16" s="1124" t="s">
        <v>1118</v>
      </c>
      <c r="B16" s="1130">
        <v>-1311710.51</v>
      </c>
      <c r="C16" s="1130">
        <v>-139508.84</v>
      </c>
      <c r="D16" s="1130">
        <v>-135000.25</v>
      </c>
      <c r="E16" s="1130">
        <v>-133825.97</v>
      </c>
      <c r="F16" s="1130">
        <v>-142899.60000000003</v>
      </c>
      <c r="G16" s="1130">
        <v>-152287.56000000003</v>
      </c>
      <c r="H16" s="1130">
        <v>-124189.24</v>
      </c>
      <c r="I16" s="1130">
        <v>-175024.73999999996</v>
      </c>
      <c r="J16" s="1130">
        <v>-167478.67000000001</v>
      </c>
      <c r="K16" s="1130">
        <v>-146278</v>
      </c>
      <c r="L16" s="1130">
        <v>-146278</v>
      </c>
      <c r="M16" s="1130">
        <v>-146278</v>
      </c>
      <c r="N16" s="1130">
        <v>-116278</v>
      </c>
      <c r="O16" s="1130">
        <v>-163340</v>
      </c>
      <c r="P16" s="1130">
        <v>-163340</v>
      </c>
      <c r="Q16" s="1130">
        <v>-163340</v>
      </c>
      <c r="R16" s="1130">
        <v>-163340</v>
      </c>
      <c r="S16" s="1130">
        <v>-163340</v>
      </c>
      <c r="T16" s="1130">
        <v>-163340</v>
      </c>
      <c r="U16" s="1130">
        <v>-163340</v>
      </c>
      <c r="V16" s="1130">
        <v>-163340</v>
      </c>
      <c r="W16" s="1130">
        <v>-163340</v>
      </c>
      <c r="X16" s="1130">
        <v>-163340</v>
      </c>
      <c r="Y16" s="1130">
        <v>-163340</v>
      </c>
      <c r="Z16" s="1130">
        <v>-163340</v>
      </c>
      <c r="AA16" s="1130">
        <v>-1960080</v>
      </c>
    </row>
    <row r="17" spans="1:32" s="1118" customFormat="1">
      <c r="A17" s="1137" t="s">
        <v>1119</v>
      </c>
      <c r="B17" s="1138">
        <v>-168246.40000000002</v>
      </c>
      <c r="C17" s="1138">
        <v>112673.29999999999</v>
      </c>
      <c r="D17" s="1138">
        <v>0</v>
      </c>
      <c r="E17" s="1138">
        <v>-51.25</v>
      </c>
      <c r="F17" s="1138">
        <v>-4673.75</v>
      </c>
      <c r="G17" s="1138">
        <v>0</v>
      </c>
      <c r="H17" s="1138">
        <v>-866.25</v>
      </c>
      <c r="I17" s="1138">
        <v>-11399.25</v>
      </c>
      <c r="J17" s="1138">
        <v>-420</v>
      </c>
      <c r="K17" s="1138">
        <v>0</v>
      </c>
      <c r="L17" s="1138">
        <v>0</v>
      </c>
      <c r="M17" s="1138">
        <v>0</v>
      </c>
      <c r="N17" s="1138">
        <v>0</v>
      </c>
      <c r="O17" s="1138">
        <v>0</v>
      </c>
      <c r="P17" s="1138">
        <v>0</v>
      </c>
      <c r="Q17" s="1138">
        <v>0</v>
      </c>
      <c r="R17" s="1138">
        <v>0</v>
      </c>
      <c r="S17" s="1138">
        <v>0</v>
      </c>
      <c r="T17" s="1138">
        <v>0</v>
      </c>
      <c r="U17" s="1138">
        <v>0</v>
      </c>
      <c r="V17" s="1138">
        <v>0</v>
      </c>
      <c r="W17" s="1138">
        <v>0</v>
      </c>
      <c r="X17" s="1138">
        <v>0</v>
      </c>
      <c r="Y17" s="1138">
        <v>0</v>
      </c>
      <c r="Z17" s="1138">
        <v>0</v>
      </c>
      <c r="AA17" s="1138">
        <v>0</v>
      </c>
    </row>
    <row r="18" spans="1:32" s="1118" customFormat="1">
      <c r="A18" s="1137" t="s">
        <v>1120</v>
      </c>
      <c r="B18" s="1138">
        <v>-3134344.2299999995</v>
      </c>
      <c r="C18" s="1138">
        <v>-32845.53</v>
      </c>
      <c r="D18" s="1138">
        <v>-42451.92</v>
      </c>
      <c r="E18" s="1138">
        <v>-22020.489999999998</v>
      </c>
      <c r="F18" s="1138">
        <v>-12126.56</v>
      </c>
      <c r="G18" s="1138">
        <v>-13927.01</v>
      </c>
      <c r="H18" s="1138">
        <v>-20360.97</v>
      </c>
      <c r="I18" s="1138">
        <v>102976.08000000002</v>
      </c>
      <c r="J18" s="1138">
        <v>-2542.5700000000002</v>
      </c>
      <c r="K18" s="1138">
        <v>0</v>
      </c>
      <c r="L18" s="1138">
        <v>0</v>
      </c>
      <c r="M18" s="1138">
        <v>0</v>
      </c>
      <c r="N18" s="1138">
        <v>0</v>
      </c>
      <c r="O18" s="1138">
        <v>0</v>
      </c>
      <c r="P18" s="1138">
        <v>0</v>
      </c>
      <c r="Q18" s="1138">
        <v>0</v>
      </c>
      <c r="R18" s="1138">
        <v>0</v>
      </c>
      <c r="S18" s="1138">
        <v>0</v>
      </c>
      <c r="T18" s="1138">
        <v>0</v>
      </c>
      <c r="U18" s="1138">
        <v>0</v>
      </c>
      <c r="V18" s="1138">
        <v>0</v>
      </c>
      <c r="W18" s="1138">
        <v>0</v>
      </c>
      <c r="X18" s="1138">
        <v>0</v>
      </c>
      <c r="Y18" s="1138">
        <v>0</v>
      </c>
      <c r="Z18" s="1138">
        <v>0</v>
      </c>
      <c r="AA18" s="1138">
        <v>0</v>
      </c>
    </row>
    <row r="19" spans="1:32" s="1118" customFormat="1">
      <c r="A19" s="1137" t="s">
        <v>1121</v>
      </c>
      <c r="B19" s="1138">
        <v>-4016016.8400000003</v>
      </c>
      <c r="C19" s="1138">
        <v>-921181.27</v>
      </c>
      <c r="D19" s="1138">
        <v>-681689.96</v>
      </c>
      <c r="E19" s="1138">
        <v>-614771.85</v>
      </c>
      <c r="F19" s="1138">
        <v>-545360.11</v>
      </c>
      <c r="G19" s="1138">
        <v>127441.29999999999</v>
      </c>
      <c r="H19" s="1138">
        <v>-249113.06999999998</v>
      </c>
      <c r="I19" s="1138">
        <v>-60194.569999999985</v>
      </c>
      <c r="J19" s="1138">
        <v>-75561.95</v>
      </c>
      <c r="K19" s="1138">
        <v>-11892</v>
      </c>
      <c r="L19" s="1138">
        <v>-11892</v>
      </c>
      <c r="M19" s="1138">
        <v>-11892</v>
      </c>
      <c r="N19" s="1138">
        <v>-11893</v>
      </c>
      <c r="O19" s="1138">
        <v>-30000</v>
      </c>
      <c r="P19" s="1138">
        <v>-30000</v>
      </c>
      <c r="Q19" s="1138">
        <v>-30000</v>
      </c>
      <c r="R19" s="1138">
        <v>-30000</v>
      </c>
      <c r="S19" s="1138">
        <v>-30000</v>
      </c>
      <c r="T19" s="1138">
        <v>-30000</v>
      </c>
      <c r="U19" s="1138">
        <v>-30000</v>
      </c>
      <c r="V19" s="1138">
        <v>-30000</v>
      </c>
      <c r="W19" s="1138">
        <v>-30000</v>
      </c>
      <c r="X19" s="1138">
        <v>-30000</v>
      </c>
      <c r="Y19" s="1138">
        <v>-30000</v>
      </c>
      <c r="Z19" s="1138">
        <v>-30000</v>
      </c>
      <c r="AA19" s="1138">
        <f>SUM(O19:Z19)</f>
        <v>-360000</v>
      </c>
      <c r="AC19" s="1141">
        <f>AA19+AA11</f>
        <v>-1872000</v>
      </c>
      <c r="AD19" s="1142"/>
      <c r="AE19" s="1143" t="s">
        <v>1302</v>
      </c>
      <c r="AF19" s="1142"/>
    </row>
    <row r="20" spans="1:32">
      <c r="A20" s="1124" t="s">
        <v>1287</v>
      </c>
      <c r="B20" s="1130">
        <v>-185.01</v>
      </c>
      <c r="C20" s="1130">
        <v>0</v>
      </c>
      <c r="D20" s="1130">
        <v>0</v>
      </c>
      <c r="E20" s="1130">
        <v>0</v>
      </c>
      <c r="F20" s="1130">
        <v>0</v>
      </c>
      <c r="G20" s="1130">
        <v>0</v>
      </c>
      <c r="H20" s="1130">
        <v>0</v>
      </c>
      <c r="I20" s="1130">
        <v>0</v>
      </c>
      <c r="J20" s="1130">
        <v>0</v>
      </c>
      <c r="K20" s="1130">
        <v>0</v>
      </c>
      <c r="L20" s="1130">
        <v>0</v>
      </c>
      <c r="M20" s="1130">
        <v>0</v>
      </c>
      <c r="N20" s="1130">
        <v>0</v>
      </c>
      <c r="O20" s="1130">
        <v>0</v>
      </c>
      <c r="P20" s="1130">
        <v>0</v>
      </c>
      <c r="Q20" s="1130">
        <v>0</v>
      </c>
      <c r="R20" s="1130">
        <v>0</v>
      </c>
      <c r="S20" s="1130">
        <v>0</v>
      </c>
      <c r="T20" s="1130">
        <v>0</v>
      </c>
      <c r="U20" s="1130">
        <v>0</v>
      </c>
      <c r="V20" s="1130">
        <v>0</v>
      </c>
      <c r="W20" s="1130">
        <v>0</v>
      </c>
      <c r="X20" s="1130">
        <v>0</v>
      </c>
      <c r="Y20" s="1130">
        <v>0</v>
      </c>
      <c r="Z20" s="1130">
        <v>0</v>
      </c>
      <c r="AA20" s="1130">
        <v>0</v>
      </c>
    </row>
    <row r="21" spans="1:32">
      <c r="A21" s="1124" t="s">
        <v>1288</v>
      </c>
      <c r="B21" s="1130">
        <v>-39028.479999999996</v>
      </c>
      <c r="C21" s="1130">
        <v>0</v>
      </c>
      <c r="D21" s="1130">
        <v>0</v>
      </c>
      <c r="E21" s="1130">
        <v>0</v>
      </c>
      <c r="F21" s="1130">
        <v>0</v>
      </c>
      <c r="G21" s="1130">
        <v>0</v>
      </c>
      <c r="H21" s="1130">
        <v>0</v>
      </c>
      <c r="I21" s="1130">
        <v>0</v>
      </c>
      <c r="J21" s="1130">
        <v>0</v>
      </c>
      <c r="K21" s="1130">
        <v>0</v>
      </c>
      <c r="L21" s="1130">
        <v>0</v>
      </c>
      <c r="M21" s="1130">
        <v>0</v>
      </c>
      <c r="N21" s="1130">
        <v>0</v>
      </c>
      <c r="O21" s="1130">
        <v>0</v>
      </c>
      <c r="P21" s="1130">
        <v>0</v>
      </c>
      <c r="Q21" s="1130">
        <v>0</v>
      </c>
      <c r="R21" s="1130">
        <v>0</v>
      </c>
      <c r="S21" s="1130">
        <v>0</v>
      </c>
      <c r="T21" s="1130">
        <v>0</v>
      </c>
      <c r="U21" s="1130">
        <v>0</v>
      </c>
      <c r="V21" s="1130">
        <v>0</v>
      </c>
      <c r="W21" s="1130">
        <v>0</v>
      </c>
      <c r="X21" s="1130">
        <v>0</v>
      </c>
      <c r="Y21" s="1130">
        <v>0</v>
      </c>
      <c r="Z21" s="1130">
        <v>0</v>
      </c>
      <c r="AA21" s="1130">
        <v>0</v>
      </c>
    </row>
    <row r="22" spans="1:32">
      <c r="A22" s="1124" t="s">
        <v>1122</v>
      </c>
      <c r="B22" s="1130">
        <v>-30742.32</v>
      </c>
      <c r="C22" s="1130">
        <v>0</v>
      </c>
      <c r="D22" s="1130">
        <v>0</v>
      </c>
      <c r="E22" s="1130">
        <v>0</v>
      </c>
      <c r="F22" s="1130">
        <v>0</v>
      </c>
      <c r="G22" s="1130">
        <v>-73796.31</v>
      </c>
      <c r="H22" s="1130">
        <v>0</v>
      </c>
      <c r="I22" s="1130">
        <v>0</v>
      </c>
      <c r="J22" s="1130">
        <v>-42307.41</v>
      </c>
      <c r="K22" s="1130">
        <v>0</v>
      </c>
      <c r="L22" s="1130">
        <v>0</v>
      </c>
      <c r="M22" s="1130">
        <v>0</v>
      </c>
      <c r="N22" s="1130">
        <v>0</v>
      </c>
      <c r="O22" s="1130">
        <v>-9966</v>
      </c>
      <c r="P22" s="1130">
        <v>-9966</v>
      </c>
      <c r="Q22" s="1130">
        <v>-9966</v>
      </c>
      <c r="R22" s="1130">
        <v>-9966</v>
      </c>
      <c r="S22" s="1130">
        <v>-9966</v>
      </c>
      <c r="T22" s="1130">
        <v>-9966</v>
      </c>
      <c r="U22" s="1130">
        <v>-9966</v>
      </c>
      <c r="V22" s="1130">
        <v>-9966</v>
      </c>
      <c r="W22" s="1130">
        <v>-9966</v>
      </c>
      <c r="X22" s="1130">
        <v>-9966</v>
      </c>
      <c r="Y22" s="1130">
        <v>-9966</v>
      </c>
      <c r="Z22" s="1130">
        <v>-9966</v>
      </c>
      <c r="AA22" s="1130">
        <v>-119592</v>
      </c>
    </row>
    <row r="23" spans="1:32">
      <c r="A23" s="1124" t="s">
        <v>1300</v>
      </c>
      <c r="B23" s="1130">
        <v>0</v>
      </c>
      <c r="C23" s="1130">
        <v>0</v>
      </c>
      <c r="D23" s="1130">
        <v>0</v>
      </c>
      <c r="E23" s="1130">
        <v>0</v>
      </c>
      <c r="F23" s="1130">
        <v>0</v>
      </c>
      <c r="G23" s="1130">
        <v>0</v>
      </c>
      <c r="H23" s="1130">
        <v>0</v>
      </c>
      <c r="I23" s="1130">
        <v>0</v>
      </c>
      <c r="J23" s="1130">
        <v>-466.64</v>
      </c>
      <c r="K23" s="1130">
        <v>0</v>
      </c>
      <c r="L23" s="1130">
        <v>0</v>
      </c>
      <c r="M23" s="1130">
        <v>0</v>
      </c>
      <c r="N23" s="1130">
        <v>0</v>
      </c>
      <c r="O23" s="1130">
        <v>0</v>
      </c>
      <c r="P23" s="1130">
        <v>0</v>
      </c>
      <c r="Q23" s="1130">
        <v>0</v>
      </c>
      <c r="R23" s="1130">
        <v>0</v>
      </c>
      <c r="S23" s="1130">
        <v>0</v>
      </c>
      <c r="T23" s="1130">
        <v>0</v>
      </c>
      <c r="U23" s="1130">
        <v>0</v>
      </c>
      <c r="V23" s="1130">
        <v>0</v>
      </c>
      <c r="W23" s="1130">
        <v>0</v>
      </c>
      <c r="X23" s="1130">
        <v>0</v>
      </c>
      <c r="Y23" s="1130">
        <v>0</v>
      </c>
      <c r="Z23" s="1130">
        <v>0</v>
      </c>
      <c r="AA23" s="1130">
        <v>0</v>
      </c>
      <c r="AB23" s="1130">
        <v>0</v>
      </c>
    </row>
    <row r="24" spans="1:32">
      <c r="A24" s="1124" t="s">
        <v>1123</v>
      </c>
      <c r="B24" s="1130">
        <v>-1968677.1</v>
      </c>
      <c r="C24" s="1130">
        <v>-431541.13999999996</v>
      </c>
      <c r="D24" s="1130">
        <v>-265977.08000000007</v>
      </c>
      <c r="E24" s="1130">
        <v>-439152.0799999999</v>
      </c>
      <c r="F24" s="1130">
        <v>-529659.07999999984</v>
      </c>
      <c r="G24" s="1130">
        <v>-388755.14000000025</v>
      </c>
      <c r="H24" s="1130">
        <v>-415932.32000000012</v>
      </c>
      <c r="I24" s="1130">
        <v>-656765.50999999954</v>
      </c>
      <c r="J24" s="1130">
        <v>-601910.57000000007</v>
      </c>
      <c r="K24" s="1130">
        <v>-470439</v>
      </c>
      <c r="L24" s="1130">
        <v>-470439</v>
      </c>
      <c r="M24" s="1130">
        <v>-470439</v>
      </c>
      <c r="N24" s="1130">
        <v>-470439</v>
      </c>
      <c r="O24" s="1130">
        <v>-477768</v>
      </c>
      <c r="P24" s="1130">
        <v>-477768</v>
      </c>
      <c r="Q24" s="1130">
        <v>-477768</v>
      </c>
      <c r="R24" s="1130">
        <v>-477768</v>
      </c>
      <c r="S24" s="1130">
        <v>-477768</v>
      </c>
      <c r="T24" s="1130">
        <v>-477768</v>
      </c>
      <c r="U24" s="1130">
        <v>-477768</v>
      </c>
      <c r="V24" s="1130">
        <v>-477768</v>
      </c>
      <c r="W24" s="1130">
        <v>-477768</v>
      </c>
      <c r="X24" s="1130">
        <v>-477768</v>
      </c>
      <c r="Y24" s="1130">
        <v>-477768</v>
      </c>
      <c r="Z24" s="1130">
        <v>-477768</v>
      </c>
      <c r="AA24" s="1130">
        <v>-5733216</v>
      </c>
    </row>
    <row r="25" spans="1:32">
      <c r="A25" s="1124" t="s">
        <v>1124</v>
      </c>
      <c r="B25" s="1130">
        <v>0</v>
      </c>
      <c r="C25" s="1130">
        <v>0</v>
      </c>
      <c r="D25" s="1130">
        <v>0</v>
      </c>
      <c r="E25" s="1130">
        <v>0</v>
      </c>
      <c r="F25" s="1130">
        <v>-209.60999999999996</v>
      </c>
      <c r="G25" s="1130">
        <v>209.61</v>
      </c>
      <c r="H25" s="1130">
        <v>0</v>
      </c>
      <c r="I25" s="1130">
        <v>0</v>
      </c>
      <c r="J25" s="1130">
        <v>0</v>
      </c>
      <c r="K25" s="1130">
        <v>48463</v>
      </c>
      <c r="L25" s="1130">
        <v>48463</v>
      </c>
      <c r="M25" s="1130">
        <v>48463</v>
      </c>
      <c r="N25" s="1130">
        <v>48463</v>
      </c>
      <c r="O25" s="1130">
        <v>0</v>
      </c>
      <c r="P25" s="1130">
        <v>0</v>
      </c>
      <c r="Q25" s="1130">
        <v>0</v>
      </c>
      <c r="R25" s="1130">
        <v>0</v>
      </c>
      <c r="S25" s="1130">
        <v>0</v>
      </c>
      <c r="T25" s="1130">
        <v>0</v>
      </c>
      <c r="U25" s="1130">
        <v>0</v>
      </c>
      <c r="V25" s="1130">
        <v>0</v>
      </c>
      <c r="W25" s="1130">
        <v>0</v>
      </c>
      <c r="X25" s="1130">
        <v>0</v>
      </c>
      <c r="Y25" s="1130">
        <v>0</v>
      </c>
      <c r="Z25" s="1130">
        <v>0</v>
      </c>
      <c r="AA25" s="1130">
        <v>0</v>
      </c>
    </row>
    <row r="26" spans="1:32">
      <c r="A26" s="1124" t="s">
        <v>1125</v>
      </c>
      <c r="B26" s="1130">
        <v>11077987.790000001</v>
      </c>
      <c r="C26" s="1130">
        <v>1129585.6599999999</v>
      </c>
      <c r="D26" s="1130">
        <v>1264693.3500000001</v>
      </c>
      <c r="E26" s="1130">
        <v>-162320.88</v>
      </c>
      <c r="F26" s="1130">
        <v>1059671.08</v>
      </c>
      <c r="G26" s="1130">
        <v>-376146.07</v>
      </c>
      <c r="H26" s="1130">
        <v>107060.91</v>
      </c>
      <c r="I26" s="1130">
        <v>259020.68000000017</v>
      </c>
      <c r="J26" s="1130">
        <v>-998108.17</v>
      </c>
      <c r="K26" s="1130">
        <v>0</v>
      </c>
      <c r="L26" s="1130">
        <v>0</v>
      </c>
      <c r="M26" s="1130">
        <v>0</v>
      </c>
      <c r="N26" s="1130">
        <v>0</v>
      </c>
      <c r="O26" s="1130">
        <v>0</v>
      </c>
      <c r="P26" s="1130">
        <v>0</v>
      </c>
      <c r="Q26" s="1130">
        <v>0</v>
      </c>
      <c r="R26" s="1130">
        <v>0</v>
      </c>
      <c r="S26" s="1130">
        <v>0</v>
      </c>
      <c r="T26" s="1130">
        <v>0</v>
      </c>
      <c r="U26" s="1130">
        <v>0</v>
      </c>
      <c r="V26" s="1130">
        <v>0</v>
      </c>
      <c r="W26" s="1130">
        <v>0</v>
      </c>
      <c r="X26" s="1130">
        <v>0</v>
      </c>
      <c r="Y26" s="1130">
        <v>0</v>
      </c>
      <c r="Z26" s="1130">
        <v>0</v>
      </c>
      <c r="AA26" s="1130">
        <v>0</v>
      </c>
    </row>
    <row r="27" spans="1:32">
      <c r="A27" s="1124" t="s">
        <v>1144</v>
      </c>
      <c r="B27" s="1130">
        <v>8000</v>
      </c>
      <c r="C27" s="1130">
        <v>0</v>
      </c>
      <c r="D27" s="1130">
        <v>0</v>
      </c>
      <c r="E27" s="1130">
        <v>0</v>
      </c>
      <c r="F27" s="1130">
        <v>0</v>
      </c>
      <c r="G27" s="1130">
        <v>0</v>
      </c>
      <c r="H27" s="1130">
        <v>0</v>
      </c>
      <c r="I27" s="1130">
        <v>0</v>
      </c>
      <c r="J27" s="1130">
        <v>0</v>
      </c>
      <c r="K27" s="1130">
        <v>0</v>
      </c>
      <c r="L27" s="1130">
        <v>0</v>
      </c>
      <c r="M27" s="1130">
        <v>0</v>
      </c>
      <c r="N27" s="1130">
        <v>0</v>
      </c>
      <c r="O27" s="1130">
        <v>0</v>
      </c>
      <c r="P27" s="1130">
        <v>0</v>
      </c>
      <c r="Q27" s="1130">
        <v>0</v>
      </c>
      <c r="R27" s="1130">
        <v>0</v>
      </c>
      <c r="S27" s="1130">
        <v>0</v>
      </c>
      <c r="T27" s="1130">
        <v>0</v>
      </c>
      <c r="U27" s="1130">
        <v>0</v>
      </c>
      <c r="V27" s="1130">
        <v>0</v>
      </c>
      <c r="W27" s="1130">
        <v>0</v>
      </c>
      <c r="X27" s="1130">
        <v>0</v>
      </c>
      <c r="Y27" s="1130">
        <v>0</v>
      </c>
      <c r="Z27" s="1130">
        <v>0</v>
      </c>
      <c r="AA27" s="1130">
        <v>0</v>
      </c>
    </row>
    <row r="28" spans="1:32">
      <c r="A28" s="1124" t="s">
        <v>1126</v>
      </c>
      <c r="B28" s="1130">
        <v>-340018.32999999996</v>
      </c>
      <c r="C28" s="1130">
        <v>-1241673.3500000001</v>
      </c>
      <c r="D28" s="1130">
        <v>-1303760.1800000002</v>
      </c>
      <c r="E28" s="1130">
        <v>-1242232.99</v>
      </c>
      <c r="F28" s="1130">
        <v>-1241673.3500000001</v>
      </c>
      <c r="G28" s="1130">
        <v>-1241673.3500000001</v>
      </c>
      <c r="H28" s="1130">
        <v>6208366.75</v>
      </c>
      <c r="I28" s="1130">
        <v>0</v>
      </c>
      <c r="J28" s="1130">
        <v>0</v>
      </c>
      <c r="K28" s="1130">
        <v>0</v>
      </c>
      <c r="L28" s="1130">
        <v>0</v>
      </c>
      <c r="M28" s="1130">
        <v>0</v>
      </c>
      <c r="N28" s="1130">
        <v>0</v>
      </c>
      <c r="O28" s="1130">
        <v>0</v>
      </c>
      <c r="P28" s="1130">
        <v>0</v>
      </c>
      <c r="Q28" s="1130">
        <v>0</v>
      </c>
      <c r="R28" s="1130">
        <v>0</v>
      </c>
      <c r="S28" s="1130">
        <v>0</v>
      </c>
      <c r="T28" s="1130">
        <v>0</v>
      </c>
      <c r="U28" s="1130">
        <v>0</v>
      </c>
      <c r="V28" s="1130">
        <v>0</v>
      </c>
      <c r="W28" s="1130">
        <v>0</v>
      </c>
      <c r="X28" s="1130">
        <v>0</v>
      </c>
      <c r="Y28" s="1130">
        <v>0</v>
      </c>
      <c r="Z28" s="1130">
        <v>0</v>
      </c>
      <c r="AA28" s="1130">
        <v>0</v>
      </c>
    </row>
    <row r="29" spans="1:32">
      <c r="A29" s="1124" t="s">
        <v>1289</v>
      </c>
      <c r="B29" s="1130">
        <v>0</v>
      </c>
      <c r="C29" s="1130">
        <v>0</v>
      </c>
      <c r="D29" s="1130">
        <v>0</v>
      </c>
      <c r="E29" s="1130">
        <v>0</v>
      </c>
      <c r="F29" s="1130">
        <v>0</v>
      </c>
      <c r="G29" s="1130">
        <v>0</v>
      </c>
      <c r="H29" s="1130">
        <v>0</v>
      </c>
      <c r="I29" s="1130">
        <v>0</v>
      </c>
      <c r="J29" s="1130">
        <v>0</v>
      </c>
      <c r="K29" s="1130">
        <v>0</v>
      </c>
      <c r="L29" s="1130">
        <v>0</v>
      </c>
      <c r="M29" s="1130">
        <v>0</v>
      </c>
      <c r="N29" s="1130">
        <v>0</v>
      </c>
      <c r="O29" s="1130">
        <v>0</v>
      </c>
      <c r="P29" s="1130">
        <v>0</v>
      </c>
      <c r="Q29" s="1130">
        <v>0</v>
      </c>
      <c r="R29" s="1130">
        <v>0</v>
      </c>
      <c r="S29" s="1130">
        <v>0</v>
      </c>
      <c r="T29" s="1130">
        <v>0</v>
      </c>
      <c r="U29" s="1130">
        <v>0</v>
      </c>
      <c r="V29" s="1130">
        <v>0</v>
      </c>
      <c r="W29" s="1130">
        <v>0</v>
      </c>
      <c r="X29" s="1130">
        <v>0</v>
      </c>
      <c r="Y29" s="1130">
        <v>0</v>
      </c>
      <c r="Z29" s="1130">
        <v>0</v>
      </c>
      <c r="AA29" s="1130">
        <v>0</v>
      </c>
    </row>
    <row r="30" spans="1:32">
      <c r="A30" s="1124" t="s">
        <v>1127</v>
      </c>
      <c r="B30" s="1130">
        <v>-26240.949999999997</v>
      </c>
      <c r="C30" s="1130">
        <v>-7382.14</v>
      </c>
      <c r="D30" s="1130">
        <v>-7382.14</v>
      </c>
      <c r="E30" s="1130">
        <v>-7382.14</v>
      </c>
      <c r="F30" s="1130">
        <v>-7382.14</v>
      </c>
      <c r="G30" s="1130">
        <v>-7382.14</v>
      </c>
      <c r="H30" s="1130">
        <v>-7382.14</v>
      </c>
      <c r="I30" s="1130">
        <v>-7382.14</v>
      </c>
      <c r="J30" s="1130">
        <v>-7382.14</v>
      </c>
      <c r="K30" s="1130">
        <v>-7382</v>
      </c>
      <c r="L30" s="1130">
        <v>-7382</v>
      </c>
      <c r="M30" s="1130">
        <v>-7382</v>
      </c>
      <c r="N30" s="1130">
        <v>-7382</v>
      </c>
      <c r="O30" s="1130">
        <v>-7382</v>
      </c>
      <c r="P30" s="1130">
        <v>-7604</v>
      </c>
      <c r="Q30" s="1130">
        <v>-7604</v>
      </c>
      <c r="R30" s="1130">
        <v>-7604</v>
      </c>
      <c r="S30" s="1130">
        <v>-7604</v>
      </c>
      <c r="T30" s="1130">
        <v>-7604</v>
      </c>
      <c r="U30" s="1130">
        <v>-7604</v>
      </c>
      <c r="V30" s="1130">
        <v>-7604</v>
      </c>
      <c r="W30" s="1130">
        <v>-7604</v>
      </c>
      <c r="X30" s="1130">
        <v>-7604</v>
      </c>
      <c r="Y30" s="1130">
        <v>-7604</v>
      </c>
      <c r="Z30" s="1130">
        <v>-7604</v>
      </c>
      <c r="AA30" s="1130">
        <v>-91026</v>
      </c>
    </row>
    <row r="31" spans="1:32">
      <c r="A31" s="1124" t="s">
        <v>1128</v>
      </c>
      <c r="B31" s="1130">
        <v>-3824.41</v>
      </c>
      <c r="C31" s="1130">
        <v>-3824.41</v>
      </c>
      <c r="D31" s="1130">
        <v>-3824.41</v>
      </c>
      <c r="E31" s="1130">
        <v>-3824.41</v>
      </c>
      <c r="F31" s="1130">
        <v>-3622.64</v>
      </c>
      <c r="G31" s="1130">
        <v>-3824.41</v>
      </c>
      <c r="H31" s="1130">
        <v>-3824.41</v>
      </c>
      <c r="I31" s="1130">
        <v>-3824.41</v>
      </c>
      <c r="J31" s="1130">
        <v>-3824.41</v>
      </c>
      <c r="K31" s="1130">
        <v>-3824</v>
      </c>
      <c r="L31" s="1130">
        <v>-3824</v>
      </c>
      <c r="M31" s="1130">
        <v>-3824</v>
      </c>
      <c r="N31" s="1130">
        <v>-3824</v>
      </c>
      <c r="O31" s="1130">
        <v>-3824</v>
      </c>
      <c r="P31" s="1130">
        <v>-3922</v>
      </c>
      <c r="Q31" s="1130">
        <v>-3922</v>
      </c>
      <c r="R31" s="1130">
        <v>-3922</v>
      </c>
      <c r="S31" s="1130">
        <v>-3922</v>
      </c>
      <c r="T31" s="1130">
        <v>-3922</v>
      </c>
      <c r="U31" s="1130">
        <v>-3922</v>
      </c>
      <c r="V31" s="1130">
        <v>-3922</v>
      </c>
      <c r="W31" s="1130">
        <v>-3922</v>
      </c>
      <c r="X31" s="1130">
        <v>-3922</v>
      </c>
      <c r="Y31" s="1130">
        <v>-3922</v>
      </c>
      <c r="Z31" s="1130">
        <v>-3922</v>
      </c>
      <c r="AA31" s="1130">
        <v>-46966</v>
      </c>
    </row>
    <row r="32" spans="1:32">
      <c r="A32" s="1124" t="s">
        <v>1129</v>
      </c>
      <c r="B32" s="1130">
        <v>-613.33999999999992</v>
      </c>
      <c r="C32" s="1130">
        <v>-220.37</v>
      </c>
      <c r="D32" s="1130">
        <v>-220.37</v>
      </c>
      <c r="E32" s="1130">
        <v>-220.37</v>
      </c>
      <c r="F32" s="1130">
        <v>-116.25</v>
      </c>
      <c r="G32" s="1130">
        <v>-220.37</v>
      </c>
      <c r="H32" s="1130">
        <v>-220.37</v>
      </c>
      <c r="I32" s="1130">
        <v>-220.37</v>
      </c>
      <c r="J32" s="1130">
        <v>-220.37</v>
      </c>
      <c r="K32" s="1130">
        <v>-220</v>
      </c>
      <c r="L32" s="1130">
        <v>-220</v>
      </c>
      <c r="M32" s="1130">
        <v>-220</v>
      </c>
      <c r="N32" s="1130">
        <v>-220</v>
      </c>
      <c r="O32" s="1130">
        <v>-220</v>
      </c>
      <c r="P32" s="1130">
        <v>-218</v>
      </c>
      <c r="Q32" s="1130">
        <v>-218</v>
      </c>
      <c r="R32" s="1130">
        <v>-218</v>
      </c>
      <c r="S32" s="1130">
        <v>-218</v>
      </c>
      <c r="T32" s="1130">
        <v>-218</v>
      </c>
      <c r="U32" s="1130">
        <v>-218</v>
      </c>
      <c r="V32" s="1130">
        <v>-218</v>
      </c>
      <c r="W32" s="1130">
        <v>-218</v>
      </c>
      <c r="X32" s="1130">
        <v>-218</v>
      </c>
      <c r="Y32" s="1130">
        <v>-218</v>
      </c>
      <c r="Z32" s="1130">
        <v>-218</v>
      </c>
      <c r="AA32" s="1130">
        <v>-2618</v>
      </c>
    </row>
    <row r="33" spans="1:35">
      <c r="A33" s="1124" t="s">
        <v>1130</v>
      </c>
      <c r="B33" s="1130">
        <v>-449.63</v>
      </c>
      <c r="C33" s="1130">
        <v>-170.91</v>
      </c>
      <c r="D33" s="1130">
        <v>-170.91</v>
      </c>
      <c r="E33" s="1130">
        <v>-170.91</v>
      </c>
      <c r="F33" s="1130">
        <v>-170.91</v>
      </c>
      <c r="G33" s="1130">
        <v>-170.91</v>
      </c>
      <c r="H33" s="1130">
        <v>-170.91</v>
      </c>
      <c r="I33" s="1130">
        <v>-170.91</v>
      </c>
      <c r="J33" s="1130">
        <v>-170.91</v>
      </c>
      <c r="K33" s="1130">
        <v>-171</v>
      </c>
      <c r="L33" s="1130">
        <v>-171</v>
      </c>
      <c r="M33" s="1130">
        <v>-171</v>
      </c>
      <c r="N33" s="1130">
        <v>-171</v>
      </c>
      <c r="O33" s="1130">
        <v>-171</v>
      </c>
      <c r="P33" s="1130">
        <v>-176</v>
      </c>
      <c r="Q33" s="1130">
        <v>-176</v>
      </c>
      <c r="R33" s="1130">
        <v>-176</v>
      </c>
      <c r="S33" s="1130">
        <v>-176</v>
      </c>
      <c r="T33" s="1130">
        <v>-176</v>
      </c>
      <c r="U33" s="1130">
        <v>-176</v>
      </c>
      <c r="V33" s="1130">
        <v>-176</v>
      </c>
      <c r="W33" s="1130">
        <v>-176</v>
      </c>
      <c r="X33" s="1130">
        <v>-176</v>
      </c>
      <c r="Y33" s="1130">
        <v>-176</v>
      </c>
      <c r="Z33" s="1130">
        <v>-176</v>
      </c>
      <c r="AA33" s="1130">
        <v>-2107</v>
      </c>
    </row>
    <row r="34" spans="1:35">
      <c r="A34" s="1124" t="s">
        <v>1131</v>
      </c>
      <c r="B34" s="1130">
        <v>-28406.829999999998</v>
      </c>
      <c r="C34" s="1130">
        <v>-965.72</v>
      </c>
      <c r="D34" s="1130">
        <v>-2965.14</v>
      </c>
      <c r="E34" s="1130">
        <v>-1965.43</v>
      </c>
      <c r="F34" s="1130">
        <v>-1965.43</v>
      </c>
      <c r="G34" s="1130">
        <v>-16205.04</v>
      </c>
      <c r="H34" s="1130">
        <v>-1965.43</v>
      </c>
      <c r="I34" s="1130">
        <v>-1965.43</v>
      </c>
      <c r="J34" s="1130">
        <v>-1965.43</v>
      </c>
      <c r="K34" s="1130">
        <v>-2184</v>
      </c>
      <c r="L34" s="1130">
        <v>-2184</v>
      </c>
      <c r="M34" s="1130">
        <v>-2184</v>
      </c>
      <c r="N34" s="1130">
        <v>-2184</v>
      </c>
      <c r="O34" s="1130">
        <v>-3340</v>
      </c>
      <c r="P34" s="1130">
        <v>-3340</v>
      </c>
      <c r="Q34" s="1130">
        <v>-3340</v>
      </c>
      <c r="R34" s="1130">
        <v>-3340</v>
      </c>
      <c r="S34" s="1130">
        <v>-3340</v>
      </c>
      <c r="T34" s="1130">
        <v>-3340</v>
      </c>
      <c r="U34" s="1130">
        <v>-3340</v>
      </c>
      <c r="V34" s="1130">
        <v>-3340</v>
      </c>
      <c r="W34" s="1130">
        <v>-3340</v>
      </c>
      <c r="X34" s="1130">
        <v>-3340</v>
      </c>
      <c r="Y34" s="1130">
        <v>-3340</v>
      </c>
      <c r="Z34" s="1130">
        <v>-3340</v>
      </c>
      <c r="AA34" s="1130">
        <v>-40080</v>
      </c>
    </row>
    <row r="35" spans="1:35">
      <c r="A35" s="1124" t="s">
        <v>1290</v>
      </c>
      <c r="B35" s="1130">
        <v>-2231221.4200000004</v>
      </c>
      <c r="C35" s="1130">
        <v>0</v>
      </c>
      <c r="D35" s="1130">
        <v>0</v>
      </c>
      <c r="E35" s="1130">
        <v>0</v>
      </c>
      <c r="F35" s="1130">
        <v>0</v>
      </c>
      <c r="G35" s="1130">
        <v>0</v>
      </c>
      <c r="H35" s="1130">
        <v>0</v>
      </c>
      <c r="I35" s="1130">
        <v>0</v>
      </c>
      <c r="J35" s="1130">
        <v>0</v>
      </c>
      <c r="K35" s="1130">
        <v>0</v>
      </c>
      <c r="L35" s="1130">
        <v>0</v>
      </c>
      <c r="M35" s="1130">
        <v>0</v>
      </c>
      <c r="N35" s="1130">
        <v>0</v>
      </c>
      <c r="O35" s="1130">
        <v>0</v>
      </c>
      <c r="P35" s="1130">
        <v>0</v>
      </c>
      <c r="Q35" s="1130">
        <v>0</v>
      </c>
      <c r="R35" s="1130">
        <v>0</v>
      </c>
      <c r="S35" s="1130">
        <v>0</v>
      </c>
      <c r="T35" s="1130">
        <v>0</v>
      </c>
      <c r="U35" s="1130">
        <v>0</v>
      </c>
      <c r="V35" s="1130">
        <v>0</v>
      </c>
      <c r="W35" s="1130">
        <v>0</v>
      </c>
      <c r="X35" s="1130">
        <v>0</v>
      </c>
      <c r="Y35" s="1130">
        <v>0</v>
      </c>
      <c r="Z35" s="1130">
        <v>0</v>
      </c>
      <c r="AA35" s="1130">
        <v>0</v>
      </c>
    </row>
    <row r="36" spans="1:35" hidden="1">
      <c r="A36" s="1123" t="s">
        <v>1132</v>
      </c>
      <c r="B36" s="1130"/>
      <c r="C36" s="1130"/>
      <c r="D36" s="1130"/>
      <c r="E36" s="1130"/>
      <c r="F36" s="1130"/>
      <c r="G36" s="1130"/>
      <c r="H36" s="1130"/>
      <c r="I36" s="1130"/>
      <c r="J36" s="1130"/>
      <c r="K36" s="1130"/>
      <c r="L36" s="1130"/>
      <c r="M36" s="1130"/>
      <c r="N36" s="1130"/>
      <c r="O36" s="1130"/>
      <c r="P36" s="1130"/>
      <c r="Q36" s="1130"/>
      <c r="R36" s="1130"/>
      <c r="S36" s="1130"/>
      <c r="T36" s="1130"/>
      <c r="U36" s="1130"/>
      <c r="V36" s="1130"/>
      <c r="W36" s="1130"/>
      <c r="X36" s="1130"/>
      <c r="Y36" s="1130"/>
      <c r="Z36" s="1130"/>
      <c r="AA36" s="1130"/>
    </row>
    <row r="37" spans="1:35" hidden="1">
      <c r="A37" s="1124" t="s">
        <v>1133</v>
      </c>
      <c r="B37" s="1130">
        <v>4659.47</v>
      </c>
      <c r="C37" s="1130">
        <v>-17321.939999999999</v>
      </c>
      <c r="D37" s="1130">
        <v>0</v>
      </c>
      <c r="E37" s="1130">
        <v>-923.52</v>
      </c>
      <c r="F37" s="1130">
        <v>0</v>
      </c>
      <c r="G37" s="1130">
        <v>0</v>
      </c>
      <c r="H37" s="1130">
        <v>-2188.29</v>
      </c>
      <c r="I37" s="1130">
        <v>-238.11</v>
      </c>
      <c r="J37" s="1130">
        <v>0</v>
      </c>
      <c r="K37" s="1130">
        <v>0</v>
      </c>
      <c r="L37" s="1130">
        <v>0</v>
      </c>
      <c r="M37" s="1130">
        <v>0</v>
      </c>
      <c r="N37" s="1130">
        <v>0</v>
      </c>
      <c r="O37" s="1130">
        <v>0</v>
      </c>
      <c r="P37" s="1130">
        <v>0</v>
      </c>
      <c r="Q37" s="1130">
        <v>0</v>
      </c>
      <c r="R37" s="1130">
        <v>0</v>
      </c>
      <c r="S37" s="1130">
        <v>0</v>
      </c>
      <c r="T37" s="1130">
        <v>0</v>
      </c>
      <c r="U37" s="1130">
        <v>0</v>
      </c>
      <c r="V37" s="1130">
        <v>0</v>
      </c>
      <c r="W37" s="1130">
        <v>0</v>
      </c>
      <c r="X37" s="1130">
        <v>0</v>
      </c>
      <c r="Y37" s="1130">
        <v>0</v>
      </c>
      <c r="Z37" s="1130">
        <v>0</v>
      </c>
      <c r="AA37" s="1130">
        <v>0</v>
      </c>
      <c r="AC37">
        <f>SUM(O40:$Z$45,$O$48:$Z$50,O30:Z34,O24:Z24,O52:Z52)</f>
        <v>-10093489</v>
      </c>
      <c r="AD37" t="s">
        <v>1132</v>
      </c>
      <c r="AE37" t="s">
        <v>1296</v>
      </c>
      <c r="AH37" s="1103">
        <f>SUM(AA40:AA43,AA48:AA50,AA30:AA34,AA24,AA52)-AC37</f>
        <v>0</v>
      </c>
      <c r="AI37" t="s">
        <v>1297</v>
      </c>
    </row>
    <row r="38" spans="1:35" hidden="1">
      <c r="A38" s="1137" t="s">
        <v>1134</v>
      </c>
      <c r="B38" s="1138">
        <v>0</v>
      </c>
      <c r="C38" s="1138">
        <v>0</v>
      </c>
      <c r="D38" s="1138">
        <v>-26926.97</v>
      </c>
      <c r="E38" s="1138">
        <v>-8153.65</v>
      </c>
      <c r="F38" s="1138">
        <v>-2715.08</v>
      </c>
      <c r="G38" s="1138">
        <v>-3055.0299999999997</v>
      </c>
      <c r="H38" s="1138">
        <v>-16065.6</v>
      </c>
      <c r="I38" s="1138">
        <v>-459.38</v>
      </c>
      <c r="J38" s="1138">
        <v>0</v>
      </c>
      <c r="K38" s="1138">
        <v>0</v>
      </c>
      <c r="L38" s="1138">
        <v>0</v>
      </c>
      <c r="M38" s="1138">
        <v>0</v>
      </c>
      <c r="N38" s="1138">
        <v>0</v>
      </c>
      <c r="O38" s="1138">
        <v>-4925</v>
      </c>
      <c r="P38" s="1138">
        <v>-4925</v>
      </c>
      <c r="Q38" s="1138">
        <v>-4925</v>
      </c>
      <c r="R38" s="1138">
        <v>-4925</v>
      </c>
      <c r="S38" s="1138">
        <v>-4925</v>
      </c>
      <c r="T38" s="1138">
        <v>-4925</v>
      </c>
      <c r="U38" s="1138">
        <v>-4925</v>
      </c>
      <c r="V38" s="1138">
        <v>-4925</v>
      </c>
      <c r="W38" s="1138">
        <v>-4925</v>
      </c>
      <c r="X38" s="1138">
        <v>-4925</v>
      </c>
      <c r="Y38" s="1138">
        <v>-4925</v>
      </c>
      <c r="Z38" s="1138">
        <v>-4925</v>
      </c>
      <c r="AA38" s="1138">
        <v>-59100</v>
      </c>
    </row>
    <row r="39" spans="1:35" hidden="1">
      <c r="A39" s="1137" t="s">
        <v>1135</v>
      </c>
      <c r="B39" s="1138">
        <v>-7090.27</v>
      </c>
      <c r="C39" s="1138">
        <v>0</v>
      </c>
      <c r="D39" s="1138">
        <v>-33458.379999999997</v>
      </c>
      <c r="E39" s="1138">
        <v>0</v>
      </c>
      <c r="F39" s="1138">
        <v>38.42</v>
      </c>
      <c r="G39" s="1138">
        <v>0</v>
      </c>
      <c r="H39" s="1138">
        <v>-8452.74</v>
      </c>
      <c r="I39" s="1138">
        <v>0</v>
      </c>
      <c r="J39" s="1138">
        <v>-9956.75</v>
      </c>
      <c r="K39" s="1138">
        <v>0</v>
      </c>
      <c r="L39" s="1138">
        <v>0</v>
      </c>
      <c r="M39" s="1138">
        <v>0</v>
      </c>
      <c r="N39" s="1138">
        <v>0</v>
      </c>
      <c r="O39" s="1138">
        <v>-4449</v>
      </c>
      <c r="P39" s="1138">
        <v>-4449</v>
      </c>
      <c r="Q39" s="1138">
        <v>-4449</v>
      </c>
      <c r="R39" s="1138">
        <v>-4449</v>
      </c>
      <c r="S39" s="1138">
        <v>-4449</v>
      </c>
      <c r="T39" s="1138">
        <v>-4449</v>
      </c>
      <c r="U39" s="1138">
        <v>-4449</v>
      </c>
      <c r="V39" s="1138">
        <v>-4449</v>
      </c>
      <c r="W39" s="1138">
        <v>-4449</v>
      </c>
      <c r="X39" s="1138">
        <v>-4449</v>
      </c>
      <c r="Y39" s="1138">
        <v>-4449</v>
      </c>
      <c r="Z39" s="1138">
        <v>-4449</v>
      </c>
      <c r="AA39" s="1138">
        <v>-53388</v>
      </c>
    </row>
    <row r="40" spans="1:35" hidden="1">
      <c r="A40" s="1124" t="s">
        <v>1136</v>
      </c>
      <c r="B40" s="1130">
        <v>-408412.18000000011</v>
      </c>
      <c r="C40" s="1130">
        <v>-226387.96</v>
      </c>
      <c r="D40" s="1130">
        <v>-69139.98000000001</v>
      </c>
      <c r="E40" s="1130">
        <v>-67001.170000000013</v>
      </c>
      <c r="F40" s="1130">
        <v>-84427.62</v>
      </c>
      <c r="G40" s="1130">
        <v>87302.630000000019</v>
      </c>
      <c r="H40" s="1130">
        <v>-63689.49</v>
      </c>
      <c r="I40" s="1130">
        <v>-80614.11</v>
      </c>
      <c r="J40" s="1130">
        <v>-65948.53</v>
      </c>
      <c r="K40" s="1130">
        <v>-93744</v>
      </c>
      <c r="L40" s="1130">
        <v>-93744</v>
      </c>
      <c r="M40" s="1130">
        <v>-93744</v>
      </c>
      <c r="N40" s="1130">
        <v>-93744</v>
      </c>
      <c r="O40" s="1130">
        <v>-96603</v>
      </c>
      <c r="P40" s="1130">
        <v>-96603</v>
      </c>
      <c r="Q40" s="1130">
        <v>-96603</v>
      </c>
      <c r="R40" s="1130">
        <v>-96603</v>
      </c>
      <c r="S40" s="1130">
        <v>-96603</v>
      </c>
      <c r="T40" s="1130">
        <v>-96603</v>
      </c>
      <c r="U40" s="1130">
        <v>-96603</v>
      </c>
      <c r="V40" s="1130">
        <v>-96603</v>
      </c>
      <c r="W40" s="1130">
        <v>-96603</v>
      </c>
      <c r="X40" s="1130">
        <v>-96603</v>
      </c>
      <c r="Y40" s="1130">
        <v>-96603</v>
      </c>
      <c r="Z40" s="1130">
        <v>-96603</v>
      </c>
      <c r="AA40" s="1130">
        <v>-1159236</v>
      </c>
    </row>
    <row r="41" spans="1:35" hidden="1">
      <c r="A41" s="1124" t="s">
        <v>1137</v>
      </c>
      <c r="B41" s="1130">
        <v>-130781.62999999999</v>
      </c>
      <c r="C41" s="1130">
        <v>-1760.43</v>
      </c>
      <c r="D41" s="1130">
        <v>-846.65</v>
      </c>
      <c r="E41" s="1130">
        <v>-3110.5300000000007</v>
      </c>
      <c r="F41" s="1130">
        <v>-749.17000000000007</v>
      </c>
      <c r="G41" s="1130">
        <v>-5714.42</v>
      </c>
      <c r="H41" s="1130">
        <v>-194.5</v>
      </c>
      <c r="I41" s="1130">
        <v>-3911.8099999999995</v>
      </c>
      <c r="J41" s="1130">
        <v>-623.84999999999991</v>
      </c>
      <c r="K41" s="1130">
        <v>-47816</v>
      </c>
      <c r="L41" s="1130">
        <v>-47816</v>
      </c>
      <c r="M41" s="1130">
        <v>-47816</v>
      </c>
      <c r="N41" s="1130">
        <v>-47816</v>
      </c>
      <c r="O41" s="1130">
        <v>-17869</v>
      </c>
      <c r="P41" s="1130">
        <v>-17869</v>
      </c>
      <c r="Q41" s="1130">
        <v>-17869</v>
      </c>
      <c r="R41" s="1130">
        <v>-17869</v>
      </c>
      <c r="S41" s="1130">
        <v>-17869</v>
      </c>
      <c r="T41" s="1130">
        <v>-17869</v>
      </c>
      <c r="U41" s="1130">
        <v>-17869</v>
      </c>
      <c r="V41" s="1130">
        <v>-17869</v>
      </c>
      <c r="W41" s="1130">
        <v>-17869</v>
      </c>
      <c r="X41" s="1130">
        <v>-17869</v>
      </c>
      <c r="Y41" s="1130">
        <v>-17869</v>
      </c>
      <c r="Z41" s="1130">
        <v>-17869</v>
      </c>
      <c r="AA41" s="1130">
        <v>-214428</v>
      </c>
    </row>
    <row r="42" spans="1:35" hidden="1">
      <c r="A42" s="1124" t="s">
        <v>1138</v>
      </c>
      <c r="B42" s="1130">
        <v>-2600865.2299999986</v>
      </c>
      <c r="C42" s="1130">
        <v>-312832.34000000003</v>
      </c>
      <c r="D42" s="1130">
        <v>-206849.02999999997</v>
      </c>
      <c r="E42" s="1130">
        <v>-148013.37000000005</v>
      </c>
      <c r="F42" s="1130">
        <v>-719629.6</v>
      </c>
      <c r="G42" s="1130">
        <v>-518788.42</v>
      </c>
      <c r="H42" s="1130">
        <v>-481595.90000000008</v>
      </c>
      <c r="I42" s="1130">
        <v>-161749.51999999999</v>
      </c>
      <c r="J42" s="1130">
        <v>1189872.7200000002</v>
      </c>
      <c r="K42" s="1130">
        <v>-173394</v>
      </c>
      <c r="L42" s="1130">
        <v>-173394</v>
      </c>
      <c r="M42" s="1130">
        <v>-173394</v>
      </c>
      <c r="N42" s="1130">
        <v>-173394</v>
      </c>
      <c r="O42" s="1130">
        <v>-178595</v>
      </c>
      <c r="P42" s="1130">
        <v>-178595</v>
      </c>
      <c r="Q42" s="1130">
        <v>-178595</v>
      </c>
      <c r="R42" s="1130">
        <v>-178595</v>
      </c>
      <c r="S42" s="1130">
        <v>-178595</v>
      </c>
      <c r="T42" s="1130">
        <v>-178595</v>
      </c>
      <c r="U42" s="1130">
        <v>-178595</v>
      </c>
      <c r="V42" s="1130">
        <v>-178595</v>
      </c>
      <c r="W42" s="1130">
        <v>-178595</v>
      </c>
      <c r="X42" s="1130">
        <v>-178595</v>
      </c>
      <c r="Y42" s="1130">
        <v>-178595</v>
      </c>
      <c r="Z42" s="1130">
        <v>-178595</v>
      </c>
      <c r="AA42" s="1130">
        <v>-2143140</v>
      </c>
    </row>
    <row r="43" spans="1:35" hidden="1">
      <c r="A43" s="1124" t="s">
        <v>1139</v>
      </c>
      <c r="B43" s="1130">
        <v>-144256.23000000001</v>
      </c>
      <c r="C43" s="1130">
        <v>-3768.07</v>
      </c>
      <c r="D43" s="1130">
        <v>-3768.07</v>
      </c>
      <c r="E43" s="1130">
        <v>-31979.26</v>
      </c>
      <c r="F43" s="1130">
        <v>-6348</v>
      </c>
      <c r="G43" s="1130">
        <v>-6348</v>
      </c>
      <c r="H43" s="1130">
        <v>-6348</v>
      </c>
      <c r="I43" s="1130">
        <v>-6348</v>
      </c>
      <c r="J43" s="1130">
        <v>-6348</v>
      </c>
      <c r="K43" s="1130">
        <v>-39802</v>
      </c>
      <c r="L43" s="1130">
        <v>-39802</v>
      </c>
      <c r="M43" s="1130">
        <v>-39802</v>
      </c>
      <c r="N43" s="1130">
        <v>-39802</v>
      </c>
      <c r="O43" s="1130">
        <v>-19782</v>
      </c>
      <c r="P43" s="1130">
        <v>-19782</v>
      </c>
      <c r="Q43" s="1130">
        <v>-19782</v>
      </c>
      <c r="R43" s="1130">
        <v>-19782</v>
      </c>
      <c r="S43" s="1130">
        <v>-19782</v>
      </c>
      <c r="T43" s="1130">
        <v>-19782</v>
      </c>
      <c r="U43" s="1130">
        <v>-19782</v>
      </c>
      <c r="V43" s="1130">
        <v>-19782</v>
      </c>
      <c r="W43" s="1130">
        <v>-19782</v>
      </c>
      <c r="X43" s="1130">
        <v>-19782</v>
      </c>
      <c r="Y43" s="1130">
        <v>-19782</v>
      </c>
      <c r="Z43" s="1130">
        <v>-19782</v>
      </c>
      <c r="AA43" s="1130">
        <v>-237384</v>
      </c>
    </row>
    <row r="44" spans="1:35" hidden="1">
      <c r="A44" s="1124" t="s">
        <v>1291</v>
      </c>
      <c r="B44" s="1130">
        <v>-50009.16</v>
      </c>
      <c r="C44" s="1130">
        <v>0</v>
      </c>
      <c r="D44" s="1130">
        <v>0</v>
      </c>
      <c r="E44" s="1130">
        <v>0</v>
      </c>
      <c r="F44" s="1130">
        <v>0</v>
      </c>
      <c r="G44" s="1130">
        <v>0</v>
      </c>
      <c r="H44" s="1130">
        <v>0</v>
      </c>
      <c r="I44" s="1130">
        <v>0</v>
      </c>
      <c r="J44" s="1130">
        <v>0</v>
      </c>
      <c r="K44" s="1130">
        <v>0</v>
      </c>
      <c r="L44" s="1130">
        <v>0</v>
      </c>
      <c r="M44" s="1130">
        <v>0</v>
      </c>
      <c r="N44" s="1130">
        <v>0</v>
      </c>
      <c r="O44" s="1130">
        <v>0</v>
      </c>
      <c r="P44" s="1130">
        <v>0</v>
      </c>
      <c r="Q44" s="1130">
        <v>0</v>
      </c>
      <c r="R44" s="1130">
        <v>0</v>
      </c>
      <c r="S44" s="1130">
        <v>0</v>
      </c>
      <c r="T44" s="1130">
        <v>0</v>
      </c>
      <c r="U44" s="1130">
        <v>0</v>
      </c>
      <c r="V44" s="1130">
        <v>0</v>
      </c>
      <c r="W44" s="1130">
        <v>0</v>
      </c>
      <c r="X44" s="1130">
        <v>0</v>
      </c>
      <c r="Y44" s="1130">
        <v>0</v>
      </c>
      <c r="Z44" s="1130">
        <v>0</v>
      </c>
      <c r="AA44" s="1130">
        <v>0</v>
      </c>
    </row>
    <row r="45" spans="1:35" hidden="1">
      <c r="A45" s="1124" t="s">
        <v>1123</v>
      </c>
      <c r="B45" s="1130">
        <v>0</v>
      </c>
      <c r="C45" s="1130">
        <v>3.11</v>
      </c>
      <c r="D45" s="1130">
        <v>-3.53</v>
      </c>
      <c r="E45" s="1130">
        <v>-200.42</v>
      </c>
      <c r="F45" s="1130">
        <v>0</v>
      </c>
      <c r="G45" s="1130">
        <v>1.1399999999999999</v>
      </c>
      <c r="H45" s="1130">
        <v>-1722.93</v>
      </c>
      <c r="I45" s="1130">
        <v>-0.03</v>
      </c>
      <c r="J45" s="1130">
        <v>-0.09</v>
      </c>
      <c r="K45" s="1130">
        <v>0</v>
      </c>
      <c r="L45" s="1130">
        <v>0</v>
      </c>
      <c r="M45" s="1130">
        <v>0</v>
      </c>
      <c r="N45" s="1130">
        <v>0</v>
      </c>
      <c r="O45" s="1130">
        <v>0</v>
      </c>
      <c r="P45" s="1130">
        <v>0</v>
      </c>
      <c r="Q45" s="1130">
        <v>0</v>
      </c>
      <c r="R45" s="1130">
        <v>0</v>
      </c>
      <c r="S45" s="1130">
        <v>0</v>
      </c>
      <c r="T45" s="1130">
        <v>0</v>
      </c>
      <c r="U45" s="1130">
        <v>0</v>
      </c>
      <c r="V45" s="1130">
        <v>0</v>
      </c>
      <c r="W45" s="1130">
        <v>0</v>
      </c>
      <c r="X45" s="1130">
        <v>0</v>
      </c>
      <c r="Y45" s="1130">
        <v>0</v>
      </c>
      <c r="Z45" s="1130">
        <v>0</v>
      </c>
      <c r="AA45" s="1130">
        <v>0</v>
      </c>
    </row>
    <row r="46" spans="1:35" s="1126" customFormat="1" hidden="1">
      <c r="A46" s="1120" t="s">
        <v>1140</v>
      </c>
      <c r="B46" s="1119">
        <v>-79364.87</v>
      </c>
      <c r="C46" s="1119">
        <v>0</v>
      </c>
      <c r="D46" s="1119">
        <v>0</v>
      </c>
      <c r="E46" s="1119">
        <v>0</v>
      </c>
      <c r="F46" s="1119">
        <v>0</v>
      </c>
      <c r="G46" s="1119">
        <v>-25000</v>
      </c>
      <c r="H46" s="1119">
        <v>0</v>
      </c>
      <c r="I46" s="1119">
        <v>0</v>
      </c>
      <c r="J46" s="1119">
        <v>-4642</v>
      </c>
      <c r="K46" s="1119">
        <v>0</v>
      </c>
      <c r="L46" s="1119">
        <v>0</v>
      </c>
      <c r="M46" s="1119">
        <v>0</v>
      </c>
      <c r="N46" s="1119">
        <v>0</v>
      </c>
      <c r="O46" s="1119">
        <v>0</v>
      </c>
      <c r="P46" s="1119">
        <v>0</v>
      </c>
      <c r="Q46" s="1119">
        <v>0</v>
      </c>
      <c r="R46" s="1119">
        <v>0</v>
      </c>
      <c r="S46" s="1119">
        <v>0</v>
      </c>
      <c r="T46" s="1119">
        <v>0</v>
      </c>
      <c r="U46" s="1119">
        <v>0</v>
      </c>
      <c r="V46" s="1119">
        <v>0</v>
      </c>
      <c r="W46" s="1119">
        <v>0</v>
      </c>
      <c r="X46" s="1119">
        <v>0</v>
      </c>
      <c r="Y46" s="1119">
        <v>0</v>
      </c>
      <c r="Z46" s="1119">
        <v>0</v>
      </c>
      <c r="AA46" s="1119">
        <v>0</v>
      </c>
    </row>
    <row r="47" spans="1:35" s="1126" customFormat="1" hidden="1">
      <c r="A47" s="1120" t="s">
        <v>1141</v>
      </c>
      <c r="B47" s="1119">
        <v>-664673.39000000013</v>
      </c>
      <c r="C47" s="1119">
        <v>-20000</v>
      </c>
      <c r="D47" s="1119">
        <v>-10000</v>
      </c>
      <c r="E47" s="1119">
        <v>-30350</v>
      </c>
      <c r="F47" s="1119">
        <v>-47737.79</v>
      </c>
      <c r="G47" s="1119">
        <v>0</v>
      </c>
      <c r="H47" s="1119">
        <v>-40000</v>
      </c>
      <c r="I47" s="1119">
        <v>0</v>
      </c>
      <c r="J47" s="1119">
        <v>0</v>
      </c>
      <c r="K47" s="1119">
        <v>-11817</v>
      </c>
      <c r="L47" s="1119">
        <v>-11817</v>
      </c>
      <c r="M47" s="1119">
        <v>-11818</v>
      </c>
      <c r="N47" s="1119">
        <v>-11818</v>
      </c>
      <c r="O47" s="1119">
        <v>-15000</v>
      </c>
      <c r="P47" s="1119">
        <v>-15000</v>
      </c>
      <c r="Q47" s="1119">
        <v>-15000</v>
      </c>
      <c r="R47" s="1119">
        <v>-15000</v>
      </c>
      <c r="S47" s="1119">
        <v>-40000</v>
      </c>
      <c r="T47" s="1119">
        <v>-10000</v>
      </c>
      <c r="U47" s="1119">
        <v>-15000</v>
      </c>
      <c r="V47" s="1119">
        <v>-15000</v>
      </c>
      <c r="W47" s="1119">
        <v>-10000</v>
      </c>
      <c r="X47" s="1119">
        <v>-15000</v>
      </c>
      <c r="Y47" s="1119">
        <v>-10000</v>
      </c>
      <c r="Z47" s="1119">
        <v>-10000</v>
      </c>
      <c r="AA47" s="1119">
        <v>-185000</v>
      </c>
    </row>
    <row r="48" spans="1:35" hidden="1">
      <c r="A48" s="1124" t="s">
        <v>1142</v>
      </c>
      <c r="B48" s="1130">
        <v>-87026.470000000016</v>
      </c>
      <c r="C48" s="1130">
        <v>-13392.310000000003</v>
      </c>
      <c r="D48" s="1130">
        <v>-6393.8300000000008</v>
      </c>
      <c r="E48" s="1130">
        <v>-17988.82</v>
      </c>
      <c r="F48" s="1130">
        <v>-15286.79</v>
      </c>
      <c r="G48" s="1130">
        <v>-20280.060000000005</v>
      </c>
      <c r="H48" s="1130">
        <v>-15071.470000000001</v>
      </c>
      <c r="I48" s="1130">
        <v>-15872.95</v>
      </c>
      <c r="J48" s="1130">
        <v>-19181.549999999996</v>
      </c>
      <c r="K48" s="1130">
        <v>-15271</v>
      </c>
      <c r="L48" s="1130">
        <v>-14712</v>
      </c>
      <c r="M48" s="1130">
        <v>-14712</v>
      </c>
      <c r="N48" s="1130">
        <v>-14712</v>
      </c>
      <c r="O48" s="1130">
        <v>-15366.999999999998</v>
      </c>
      <c r="P48" s="1130">
        <v>-15366.999999999998</v>
      </c>
      <c r="Q48" s="1130">
        <v>-15366.999999999998</v>
      </c>
      <c r="R48" s="1130">
        <v>-15366.999999999998</v>
      </c>
      <c r="S48" s="1130">
        <v>-15366.999999999998</v>
      </c>
      <c r="T48" s="1130">
        <v>-15366.999999999998</v>
      </c>
      <c r="U48" s="1130">
        <v>-15366.999999999998</v>
      </c>
      <c r="V48" s="1130">
        <v>-15366.999999999998</v>
      </c>
      <c r="W48" s="1130">
        <v>-15366.999999999998</v>
      </c>
      <c r="X48" s="1130">
        <v>-15366.999999999998</v>
      </c>
      <c r="Y48" s="1130">
        <v>-15366.999999999998</v>
      </c>
      <c r="Z48" s="1130">
        <v>-15366.999999999998</v>
      </c>
      <c r="AA48" s="1130">
        <v>-184403.99999999997</v>
      </c>
    </row>
    <row r="49" spans="1:30" hidden="1">
      <c r="A49" s="1124" t="s">
        <v>1292</v>
      </c>
      <c r="B49" s="1130">
        <v>0</v>
      </c>
      <c r="C49" s="1130">
        <v>0</v>
      </c>
      <c r="D49" s="1130">
        <v>0</v>
      </c>
      <c r="E49" s="1130">
        <v>0</v>
      </c>
      <c r="F49" s="1130">
        <v>0</v>
      </c>
      <c r="G49" s="1130">
        <v>0</v>
      </c>
      <c r="H49" s="1130">
        <v>0</v>
      </c>
      <c r="I49" s="1130">
        <v>0</v>
      </c>
      <c r="J49" s="1130">
        <v>0</v>
      </c>
      <c r="K49" s="1130">
        <v>0</v>
      </c>
      <c r="L49" s="1130">
        <v>0</v>
      </c>
      <c r="M49" s="1130">
        <v>0</v>
      </c>
      <c r="N49" s="1130">
        <v>0</v>
      </c>
      <c r="O49" s="1130">
        <v>0</v>
      </c>
      <c r="P49" s="1130">
        <v>0</v>
      </c>
      <c r="Q49" s="1130">
        <v>0</v>
      </c>
      <c r="R49" s="1130">
        <v>0</v>
      </c>
      <c r="S49" s="1130">
        <v>0</v>
      </c>
      <c r="T49" s="1130">
        <v>0</v>
      </c>
      <c r="U49" s="1130">
        <v>0</v>
      </c>
      <c r="V49" s="1130">
        <v>0</v>
      </c>
      <c r="W49" s="1130">
        <v>0</v>
      </c>
      <c r="X49" s="1130">
        <v>0</v>
      </c>
      <c r="Y49" s="1130">
        <v>0</v>
      </c>
      <c r="Z49" s="1130">
        <v>0</v>
      </c>
      <c r="AA49" s="1130">
        <v>0</v>
      </c>
    </row>
    <row r="50" spans="1:30" hidden="1">
      <c r="A50" s="1124" t="s">
        <v>1293</v>
      </c>
      <c r="B50" s="1130">
        <v>-392165.72</v>
      </c>
      <c r="C50" s="1130">
        <v>0</v>
      </c>
      <c r="D50" s="1130">
        <v>0</v>
      </c>
      <c r="E50" s="1130">
        <v>0</v>
      </c>
      <c r="F50" s="1130">
        <v>0</v>
      </c>
      <c r="G50" s="1130">
        <v>0</v>
      </c>
      <c r="H50" s="1130">
        <v>0</v>
      </c>
      <c r="I50" s="1130">
        <v>0</v>
      </c>
      <c r="J50" s="1130">
        <v>0</v>
      </c>
      <c r="K50" s="1130">
        <v>0</v>
      </c>
      <c r="L50" s="1130">
        <v>0</v>
      </c>
      <c r="M50" s="1130">
        <v>0</v>
      </c>
      <c r="N50" s="1130">
        <v>0</v>
      </c>
      <c r="O50" s="1130">
        <v>0</v>
      </c>
      <c r="P50" s="1130">
        <v>0</v>
      </c>
      <c r="Q50" s="1130">
        <v>0</v>
      </c>
      <c r="R50" s="1130">
        <v>0</v>
      </c>
      <c r="S50" s="1130">
        <v>0</v>
      </c>
      <c r="T50" s="1130">
        <v>0</v>
      </c>
      <c r="U50" s="1130">
        <v>0</v>
      </c>
      <c r="V50" s="1130">
        <v>0</v>
      </c>
      <c r="W50" s="1130">
        <v>0</v>
      </c>
      <c r="X50" s="1130">
        <v>0</v>
      </c>
      <c r="Y50" s="1130">
        <v>0</v>
      </c>
      <c r="Z50" s="1130">
        <v>0</v>
      </c>
      <c r="AA50" s="1130">
        <v>0</v>
      </c>
    </row>
    <row r="51" spans="1:30" hidden="1">
      <c r="A51" s="1123" t="s">
        <v>1143</v>
      </c>
      <c r="B51" s="1130"/>
      <c r="C51" s="1130"/>
      <c r="D51" s="1130"/>
      <c r="E51" s="1130"/>
      <c r="F51" s="1130"/>
      <c r="G51" s="1130"/>
      <c r="H51" s="1130"/>
      <c r="I51" s="1130"/>
      <c r="J51" s="1130"/>
      <c r="K51" s="1130"/>
      <c r="L51" s="1130"/>
      <c r="M51" s="1130"/>
      <c r="N51" s="1130"/>
      <c r="O51" s="1130"/>
      <c r="P51" s="1130"/>
      <c r="Q51" s="1130"/>
      <c r="R51" s="1130"/>
      <c r="S51" s="1130"/>
      <c r="T51" s="1130"/>
      <c r="U51" s="1130"/>
      <c r="V51" s="1130"/>
      <c r="W51" s="1130"/>
      <c r="X51" s="1130"/>
      <c r="Y51" s="1130"/>
      <c r="Z51" s="1130"/>
      <c r="AA51" s="1130"/>
    </row>
    <row r="52" spans="1:30" s="1129" customFormat="1" hidden="1">
      <c r="A52" s="1127" t="s">
        <v>1123</v>
      </c>
      <c r="B52" s="1128">
        <v>-36669.269999999997</v>
      </c>
      <c r="C52" s="1128">
        <v>-17077.2</v>
      </c>
      <c r="D52" s="1128">
        <v>-17717.099999999999</v>
      </c>
      <c r="E52" s="1128">
        <v>-16916.8</v>
      </c>
      <c r="F52" s="1128">
        <v>-17488.89</v>
      </c>
      <c r="G52" s="1128">
        <v>-16937.07</v>
      </c>
      <c r="H52" s="1128">
        <v>-18242.47</v>
      </c>
      <c r="I52" s="1128">
        <v>-19289.759999999998</v>
      </c>
      <c r="J52" s="1128">
        <v>-19211.21</v>
      </c>
      <c r="K52" s="1128">
        <v>-19602</v>
      </c>
      <c r="L52" s="1128">
        <v>-19602</v>
      </c>
      <c r="M52" s="1128">
        <v>-19602</v>
      </c>
      <c r="N52" s="1128">
        <v>-19602</v>
      </c>
      <c r="O52" s="1128">
        <v>-19907</v>
      </c>
      <c r="P52" s="1128">
        <v>-19907</v>
      </c>
      <c r="Q52" s="1128">
        <v>-19907</v>
      </c>
      <c r="R52" s="1128">
        <v>-19907</v>
      </c>
      <c r="S52" s="1128">
        <v>-19907</v>
      </c>
      <c r="T52" s="1128">
        <v>-19907</v>
      </c>
      <c r="U52" s="1128">
        <v>-19907</v>
      </c>
      <c r="V52" s="1128">
        <v>-19907</v>
      </c>
      <c r="W52" s="1128">
        <v>-19907</v>
      </c>
      <c r="X52" s="1128">
        <v>-19907</v>
      </c>
      <c r="Y52" s="1128">
        <v>-19907</v>
      </c>
      <c r="Z52" s="1128">
        <v>-19907</v>
      </c>
      <c r="AA52" s="1128">
        <v>-238884</v>
      </c>
      <c r="AD52" s="1129" t="s">
        <v>1301</v>
      </c>
    </row>
    <row r="53" spans="1:30" hidden="1">
      <c r="A53" s="1124" t="s">
        <v>1144</v>
      </c>
      <c r="B53" s="1130">
        <v>-645418.79000000027</v>
      </c>
      <c r="C53" s="1130">
        <v>-288196.28000000003</v>
      </c>
      <c r="D53" s="1130">
        <v>-561223.03</v>
      </c>
      <c r="E53" s="1130">
        <v>515816.74</v>
      </c>
      <c r="F53" s="1130">
        <v>-120026.98</v>
      </c>
      <c r="G53" s="1130">
        <v>-135472.70000000001</v>
      </c>
      <c r="H53" s="1130">
        <v>-117820.45</v>
      </c>
      <c r="I53" s="1130">
        <v>-294815.87</v>
      </c>
      <c r="J53" s="1130">
        <v>-294815.87</v>
      </c>
      <c r="K53" s="1130">
        <v>-437030.45</v>
      </c>
      <c r="L53" s="1130">
        <v>-437030.45</v>
      </c>
      <c r="M53" s="1130">
        <v>-437030.45</v>
      </c>
      <c r="N53" s="1130">
        <v>-437030.45</v>
      </c>
      <c r="O53" s="1130">
        <v>-388826.83333333331</v>
      </c>
      <c r="P53" s="1130">
        <v>611173.16666666698</v>
      </c>
      <c r="Q53" s="1130">
        <v>-388826.83333333331</v>
      </c>
      <c r="R53" s="1130">
        <v>-388826.83333333331</v>
      </c>
      <c r="S53" s="1130">
        <v>-388826.83333333331</v>
      </c>
      <c r="T53" s="1130">
        <v>-388826.83333333331</v>
      </c>
      <c r="U53" s="1130">
        <v>-388826.83333333331</v>
      </c>
      <c r="V53" s="1130">
        <v>-388826.83333333331</v>
      </c>
      <c r="W53" s="1130">
        <v>-388826.83333333331</v>
      </c>
      <c r="X53" s="1130">
        <v>-388826.83333333331</v>
      </c>
      <c r="Y53" s="1130">
        <v>-388826.83333333331</v>
      </c>
      <c r="Z53" s="1130">
        <v>-388826.83333333331</v>
      </c>
      <c r="AA53" s="1130">
        <v>-3665922</v>
      </c>
      <c r="AC53" s="1104">
        <f>-AA53</f>
        <v>3665922</v>
      </c>
    </row>
    <row r="54" spans="1:30" hidden="1">
      <c r="A54" s="1123" t="s">
        <v>1145</v>
      </c>
      <c r="B54" s="1130"/>
      <c r="C54" s="1130"/>
      <c r="D54" s="1130"/>
      <c r="E54" s="1130"/>
      <c r="F54" s="1130"/>
      <c r="G54" s="1130"/>
      <c r="H54" s="1130"/>
      <c r="I54" s="1130"/>
      <c r="J54" s="1130"/>
      <c r="K54" s="1130"/>
      <c r="L54" s="1130"/>
      <c r="M54" s="1130"/>
      <c r="N54" s="1130"/>
      <c r="O54" s="1130"/>
      <c r="P54" s="1130"/>
      <c r="Q54" s="1130"/>
      <c r="R54" s="1130"/>
      <c r="S54" s="1130"/>
      <c r="T54" s="1130"/>
      <c r="U54" s="1130"/>
      <c r="V54" s="1130"/>
      <c r="W54" s="1130"/>
      <c r="X54" s="1130"/>
      <c r="Y54" s="1130"/>
      <c r="Z54" s="1130"/>
      <c r="AA54" s="1130"/>
    </row>
    <row r="55" spans="1:30" hidden="1">
      <c r="A55" s="1124" t="s">
        <v>1146</v>
      </c>
      <c r="B55" s="1130">
        <v>3710.829999999999</v>
      </c>
      <c r="C55" s="1130">
        <v>49.91</v>
      </c>
      <c r="D55" s="1130">
        <v>50.27</v>
      </c>
      <c r="E55" s="1130">
        <v>50.64</v>
      </c>
      <c r="F55" s="1130">
        <v>51.01</v>
      </c>
      <c r="G55" s="1130">
        <v>85.89</v>
      </c>
      <c r="H55" s="1130">
        <v>121.21</v>
      </c>
      <c r="I55" s="1130">
        <v>122.29</v>
      </c>
      <c r="J55" s="1130">
        <v>178.47</v>
      </c>
      <c r="K55" s="1130">
        <v>188.88483835519995</v>
      </c>
      <c r="L55" s="1130">
        <v>188.88483835519995</v>
      </c>
      <c r="M55" s="1130">
        <v>188.88483835519995</v>
      </c>
      <c r="N55" s="1130">
        <v>188.88483835519995</v>
      </c>
      <c r="O55" s="1130">
        <v>0</v>
      </c>
      <c r="P55" s="1130">
        <v>0</v>
      </c>
      <c r="Q55" s="1130">
        <v>0</v>
      </c>
      <c r="R55" s="1130">
        <v>0</v>
      </c>
      <c r="S55" s="1130">
        <v>0</v>
      </c>
      <c r="T55" s="1130">
        <v>0</v>
      </c>
      <c r="U55" s="1130">
        <v>0</v>
      </c>
      <c r="V55" s="1130">
        <v>0</v>
      </c>
      <c r="W55" s="1130">
        <v>0</v>
      </c>
      <c r="X55" s="1130">
        <v>0</v>
      </c>
      <c r="Y55" s="1130">
        <v>0</v>
      </c>
      <c r="Z55" s="1130">
        <v>0</v>
      </c>
      <c r="AA55" s="1130">
        <v>0</v>
      </c>
    </row>
    <row r="56" spans="1:30" hidden="1">
      <c r="A56" s="1124" t="s">
        <v>1147</v>
      </c>
      <c r="B56" s="1130">
        <v>-9459.84</v>
      </c>
      <c r="C56" s="1130">
        <v>0</v>
      </c>
      <c r="D56" s="1130">
        <v>-489.43</v>
      </c>
      <c r="E56" s="1130">
        <v>978.86</v>
      </c>
      <c r="F56" s="1130">
        <v>0</v>
      </c>
      <c r="G56" s="1130">
        <v>0</v>
      </c>
      <c r="H56" s="1130">
        <v>0</v>
      </c>
      <c r="I56" s="1130">
        <v>0</v>
      </c>
      <c r="J56" s="1130">
        <v>0</v>
      </c>
      <c r="K56" s="1130">
        <v>0</v>
      </c>
      <c r="L56" s="1130">
        <v>0</v>
      </c>
      <c r="M56" s="1130">
        <v>0</v>
      </c>
      <c r="N56" s="1130">
        <v>0</v>
      </c>
      <c r="O56" s="1130">
        <v>0</v>
      </c>
      <c r="P56" s="1130">
        <v>0</v>
      </c>
      <c r="Q56" s="1130">
        <v>0</v>
      </c>
      <c r="R56" s="1130">
        <v>0</v>
      </c>
      <c r="S56" s="1130">
        <v>0</v>
      </c>
      <c r="T56" s="1130">
        <v>0</v>
      </c>
      <c r="U56" s="1130">
        <v>0</v>
      </c>
      <c r="V56" s="1130">
        <v>0</v>
      </c>
      <c r="W56" s="1130">
        <v>0</v>
      </c>
      <c r="X56" s="1130">
        <v>0</v>
      </c>
      <c r="Y56" s="1130">
        <v>0</v>
      </c>
      <c r="Z56" s="1130">
        <v>0</v>
      </c>
      <c r="AA56" s="1130">
        <v>0</v>
      </c>
    </row>
    <row r="57" spans="1:30" ht="15.6" hidden="1" thickBot="1">
      <c r="A57" s="1124" t="s">
        <v>1126</v>
      </c>
      <c r="B57" s="1130">
        <v>0</v>
      </c>
      <c r="C57" s="1130">
        <v>0</v>
      </c>
      <c r="D57" s="1130">
        <v>0</v>
      </c>
      <c r="E57" s="1130">
        <v>-489.43</v>
      </c>
      <c r="F57" s="1130">
        <v>0</v>
      </c>
      <c r="G57" s="1130">
        <v>0</v>
      </c>
      <c r="H57" s="1130">
        <v>0</v>
      </c>
      <c r="I57" s="1130">
        <v>0</v>
      </c>
      <c r="J57" s="1130">
        <v>0</v>
      </c>
      <c r="K57" s="1130">
        <v>0</v>
      </c>
      <c r="L57" s="1130">
        <v>0</v>
      </c>
      <c r="M57" s="1130">
        <v>0</v>
      </c>
      <c r="N57" s="1130">
        <v>0</v>
      </c>
      <c r="O57" s="1130">
        <v>0</v>
      </c>
      <c r="P57" s="1130">
        <v>0</v>
      </c>
      <c r="Q57" s="1130">
        <v>0</v>
      </c>
      <c r="R57" s="1130">
        <v>0</v>
      </c>
      <c r="S57" s="1130">
        <v>0</v>
      </c>
      <c r="T57" s="1130">
        <v>0</v>
      </c>
      <c r="U57" s="1130">
        <v>0</v>
      </c>
      <c r="V57" s="1130">
        <v>0</v>
      </c>
      <c r="W57" s="1130">
        <v>0</v>
      </c>
      <c r="X57" s="1130">
        <v>0</v>
      </c>
      <c r="Y57" s="1130">
        <v>0</v>
      </c>
      <c r="Z57" s="1130">
        <v>0</v>
      </c>
      <c r="AA57" s="1130">
        <v>0</v>
      </c>
    </row>
    <row r="58" spans="1:30" hidden="1">
      <c r="A58" s="1123" t="s">
        <v>1148</v>
      </c>
      <c r="B58" s="1136"/>
      <c r="C58" s="1136"/>
      <c r="D58" s="1136"/>
      <c r="E58" s="1136"/>
      <c r="F58" s="1136"/>
      <c r="G58" s="1136"/>
      <c r="H58" s="1136"/>
      <c r="I58" s="1136"/>
      <c r="J58" s="1136"/>
      <c r="K58" s="1136"/>
      <c r="L58" s="1136"/>
      <c r="M58" s="1136"/>
      <c r="N58" s="1136"/>
      <c r="O58" s="1136"/>
      <c r="P58" s="1136"/>
      <c r="Q58" s="1136"/>
      <c r="R58" s="1136"/>
      <c r="S58" s="1136"/>
      <c r="T58" s="1136"/>
      <c r="U58" s="1136"/>
      <c r="V58" s="1136"/>
      <c r="W58" s="1136"/>
      <c r="X58" s="1136"/>
      <c r="Y58" s="1136"/>
      <c r="Z58" s="1136"/>
      <c r="AA58" s="1136"/>
    </row>
    <row r="59" spans="1:30" hidden="1">
      <c r="A59" s="1124" t="s">
        <v>1149</v>
      </c>
      <c r="B59" s="1130">
        <v>35227592.059999987</v>
      </c>
      <c r="C59" s="1130">
        <v>2808138.1900000004</v>
      </c>
      <c r="D59" s="1130">
        <v>2801361.6999999993</v>
      </c>
      <c r="E59" s="1130">
        <v>2886971.4100000034</v>
      </c>
      <c r="F59" s="1130">
        <v>2750218.2499999991</v>
      </c>
      <c r="G59" s="1130">
        <v>2574952.9000000008</v>
      </c>
      <c r="H59" s="1130">
        <v>9723560.9200000074</v>
      </c>
      <c r="I59" s="1130">
        <v>4188379.040000001</v>
      </c>
      <c r="J59" s="1130">
        <v>4177888.4000000018</v>
      </c>
      <c r="K59" s="1130">
        <v>4053519.3161816834</v>
      </c>
      <c r="L59" s="1130">
        <v>4202601.7402264606</v>
      </c>
      <c r="M59" s="1130">
        <v>4054076.3161816834</v>
      </c>
      <c r="N59" s="1130">
        <v>2632599.7402264611</v>
      </c>
      <c r="O59" s="1130">
        <v>4557118.3390660733</v>
      </c>
      <c r="P59" s="1130">
        <v>5088916.7027854854</v>
      </c>
      <c r="Q59" s="1130">
        <v>4607195.3390660733</v>
      </c>
      <c r="R59" s="1130">
        <v>4434435.793639211</v>
      </c>
      <c r="S59" s="1130">
        <v>4582195.3390660733</v>
      </c>
      <c r="T59" s="1130">
        <v>4439435.793639211</v>
      </c>
      <c r="U59" s="1130">
        <v>4516795.3390660733</v>
      </c>
      <c r="V59" s="1130">
        <v>4517195.3390660733</v>
      </c>
      <c r="W59" s="1130">
        <v>4299435.793639211</v>
      </c>
      <c r="X59" s="1130">
        <v>-82804.660933926934</v>
      </c>
      <c r="Y59" s="1130">
        <v>4249435.793639211</v>
      </c>
      <c r="Z59" s="1130">
        <v>4422195.3390660733</v>
      </c>
      <c r="AA59" s="1130">
        <v>49631550.250804849</v>
      </c>
    </row>
    <row r="60" spans="1:30" hidden="1">
      <c r="A60" s="1123" t="s">
        <v>1001</v>
      </c>
      <c r="B60" s="1130"/>
      <c r="C60" s="1130"/>
      <c r="D60" s="1130"/>
      <c r="E60" s="1130"/>
      <c r="F60" s="1130"/>
      <c r="G60" s="1130"/>
      <c r="H60" s="1130"/>
      <c r="I60" s="1130"/>
      <c r="J60" s="1130"/>
      <c r="K60" s="1130"/>
      <c r="L60" s="1130"/>
      <c r="M60" s="1130"/>
      <c r="N60" s="1130"/>
      <c r="O60" s="1130"/>
      <c r="P60" s="1130"/>
      <c r="Q60" s="1130"/>
      <c r="R60" s="1130"/>
      <c r="S60" s="1130"/>
      <c r="T60" s="1130"/>
      <c r="U60" s="1130"/>
      <c r="V60" s="1130"/>
      <c r="W60" s="1130"/>
      <c r="X60" s="1130"/>
      <c r="Y60" s="1130"/>
      <c r="Z60" s="1130"/>
      <c r="AA60" s="1130"/>
    </row>
    <row r="61" spans="1:30" hidden="1">
      <c r="A61" s="1124" t="s">
        <v>1138</v>
      </c>
      <c r="B61" s="1130">
        <v>0</v>
      </c>
      <c r="C61" s="1130">
        <v>0</v>
      </c>
      <c r="D61" s="1130">
        <v>0</v>
      </c>
      <c r="E61" s="1130">
        <v>0</v>
      </c>
      <c r="F61" s="1130">
        <v>0</v>
      </c>
      <c r="G61" s="1130">
        <v>0</v>
      </c>
      <c r="H61" s="1130">
        <v>-45956.32</v>
      </c>
      <c r="I61" s="1130">
        <v>-11026.02</v>
      </c>
      <c r="J61" s="1130">
        <v>-10744.36</v>
      </c>
      <c r="K61" s="1130">
        <v>0</v>
      </c>
      <c r="L61" s="1130">
        <v>0</v>
      </c>
      <c r="M61" s="1130">
        <v>0</v>
      </c>
      <c r="N61" s="1130">
        <v>0</v>
      </c>
      <c r="O61" s="1130">
        <v>0</v>
      </c>
      <c r="P61" s="1130">
        <v>0</v>
      </c>
      <c r="Q61" s="1130">
        <v>0</v>
      </c>
      <c r="R61" s="1130">
        <v>0</v>
      </c>
      <c r="S61" s="1130">
        <v>0</v>
      </c>
      <c r="T61" s="1130">
        <v>0</v>
      </c>
      <c r="U61" s="1130">
        <v>0</v>
      </c>
      <c r="V61" s="1130">
        <v>0</v>
      </c>
      <c r="W61" s="1130">
        <v>0</v>
      </c>
      <c r="X61" s="1130">
        <v>0</v>
      </c>
      <c r="Y61" s="1130">
        <v>0</v>
      </c>
      <c r="Z61" s="1130">
        <v>0</v>
      </c>
      <c r="AA61" s="1130">
        <v>0</v>
      </c>
    </row>
    <row r="62" spans="1:30" hidden="1">
      <c r="A62" s="1124" t="s">
        <v>1123</v>
      </c>
      <c r="B62" s="1130">
        <v>0</v>
      </c>
      <c r="C62" s="1130">
        <v>0</v>
      </c>
      <c r="D62" s="1130">
        <v>0</v>
      </c>
      <c r="E62" s="1130">
        <v>0</v>
      </c>
      <c r="F62" s="1130">
        <v>0</v>
      </c>
      <c r="G62" s="1130">
        <v>-434.04</v>
      </c>
      <c r="H62" s="1130">
        <v>-85.66</v>
      </c>
      <c r="I62" s="1130">
        <v>-37473.08</v>
      </c>
      <c r="J62" s="1130">
        <v>-9587.8799999999992</v>
      </c>
      <c r="K62" s="1130">
        <v>0</v>
      </c>
      <c r="L62" s="1130">
        <v>0</v>
      </c>
      <c r="M62" s="1130">
        <v>0</v>
      </c>
      <c r="N62" s="1130">
        <v>0</v>
      </c>
      <c r="O62" s="1130">
        <v>0</v>
      </c>
      <c r="P62" s="1130">
        <v>0</v>
      </c>
      <c r="Q62" s="1130">
        <v>0</v>
      </c>
      <c r="R62" s="1130">
        <v>0</v>
      </c>
      <c r="S62" s="1130">
        <v>0</v>
      </c>
      <c r="T62" s="1130">
        <v>0</v>
      </c>
      <c r="U62" s="1130">
        <v>0</v>
      </c>
      <c r="V62" s="1130">
        <v>0</v>
      </c>
      <c r="W62" s="1130">
        <v>0</v>
      </c>
      <c r="X62" s="1130">
        <v>0</v>
      </c>
      <c r="Y62" s="1130">
        <v>0</v>
      </c>
      <c r="Z62" s="1130">
        <v>0</v>
      </c>
      <c r="AA62" s="1130">
        <v>0</v>
      </c>
    </row>
    <row r="63" spans="1:30" hidden="1">
      <c r="A63" s="1124" t="s">
        <v>1150</v>
      </c>
      <c r="B63" s="1130">
        <v>-5228074.9399999995</v>
      </c>
      <c r="C63" s="1130">
        <v>-488255.8</v>
      </c>
      <c r="D63" s="1130">
        <v>-488452.16</v>
      </c>
      <c r="E63" s="1130">
        <v>-488586.36</v>
      </c>
      <c r="F63" s="1130">
        <v>-488649.12</v>
      </c>
      <c r="G63" s="1130">
        <v>-489047.69</v>
      </c>
      <c r="H63" s="1130">
        <v>-489306.17</v>
      </c>
      <c r="I63" s="1130">
        <v>-489183.61</v>
      </c>
      <c r="J63" s="1130">
        <v>-489168.09</v>
      </c>
      <c r="K63" s="1130">
        <v>-599529.25</v>
      </c>
      <c r="L63" s="1130">
        <v>-599846.41999999993</v>
      </c>
      <c r="M63" s="1130">
        <v>-599982.24</v>
      </c>
      <c r="N63" s="1130">
        <v>-600322.00999999989</v>
      </c>
      <c r="O63" s="1130">
        <v>-600593.84</v>
      </c>
      <c r="P63" s="1130">
        <v>-600593.84</v>
      </c>
      <c r="Q63" s="1130">
        <v>-600593.84</v>
      </c>
      <c r="R63" s="1130">
        <v>-600593.84</v>
      </c>
      <c r="S63" s="1130">
        <v>-600593.84</v>
      </c>
      <c r="T63" s="1130">
        <v>-600593.84</v>
      </c>
      <c r="U63" s="1130">
        <v>-600593.84</v>
      </c>
      <c r="V63" s="1130">
        <v>-600593.84</v>
      </c>
      <c r="W63" s="1130">
        <v>-600593.84</v>
      </c>
      <c r="X63" s="1130">
        <v>-600593.84</v>
      </c>
      <c r="Y63" s="1130">
        <v>-600593.84</v>
      </c>
      <c r="Z63" s="1130">
        <v>-611670.52</v>
      </c>
      <c r="AA63" s="1130">
        <v>-7218202.7599999998</v>
      </c>
    </row>
    <row r="64" spans="1:30" hidden="1">
      <c r="A64" s="1123" t="s">
        <v>1151</v>
      </c>
      <c r="B64" s="1130"/>
      <c r="C64" s="1130"/>
      <c r="D64" s="1130"/>
      <c r="E64" s="1130"/>
      <c r="F64" s="1130"/>
      <c r="G64" s="1130"/>
      <c r="H64" s="1130"/>
      <c r="I64" s="1130"/>
      <c r="J64" s="1130"/>
      <c r="K64" s="1130"/>
      <c r="L64" s="1130"/>
      <c r="M64" s="1130"/>
      <c r="N64" s="1130"/>
      <c r="O64" s="1130"/>
      <c r="P64" s="1130"/>
      <c r="Q64" s="1130"/>
      <c r="R64" s="1130"/>
      <c r="S64" s="1130"/>
      <c r="T64" s="1130"/>
      <c r="U64" s="1130"/>
      <c r="V64" s="1130"/>
      <c r="W64" s="1130"/>
      <c r="X64" s="1130"/>
      <c r="Y64" s="1130"/>
      <c r="Z64" s="1130"/>
      <c r="AA64" s="1130"/>
    </row>
    <row r="65" spans="1:29" hidden="1">
      <c r="A65" s="1124" t="s">
        <v>1150</v>
      </c>
      <c r="B65" s="1130">
        <v>-659314.11</v>
      </c>
      <c r="C65" s="1130">
        <v>0</v>
      </c>
      <c r="D65" s="1130">
        <v>0</v>
      </c>
      <c r="E65" s="1130">
        <v>0</v>
      </c>
      <c r="F65" s="1130">
        <v>0</v>
      </c>
      <c r="G65" s="1130">
        <v>0</v>
      </c>
      <c r="H65" s="1130">
        <v>0</v>
      </c>
      <c r="I65" s="1130">
        <v>0</v>
      </c>
      <c r="J65" s="1130">
        <v>0</v>
      </c>
      <c r="K65" s="1130">
        <v>0</v>
      </c>
      <c r="L65" s="1130">
        <v>0</v>
      </c>
      <c r="M65" s="1130">
        <v>0</v>
      </c>
      <c r="N65" s="1130">
        <v>0</v>
      </c>
      <c r="O65" s="1130">
        <v>-379891.57627118647</v>
      </c>
      <c r="P65" s="1130">
        <v>-379891.57627118641</v>
      </c>
      <c r="Q65" s="1130">
        <v>-379891.57627118641</v>
      </c>
      <c r="R65" s="1130">
        <v>-379891.57627118635</v>
      </c>
      <c r="S65" s="1130">
        <v>-379891.57627118635</v>
      </c>
      <c r="T65" s="1130">
        <v>-379891.57627118629</v>
      </c>
      <c r="U65" s="1130">
        <v>-379891.57627118629</v>
      </c>
      <c r="V65" s="1130">
        <v>-379891.57627118629</v>
      </c>
      <c r="W65" s="1130">
        <v>-379891.57627118629</v>
      </c>
      <c r="X65" s="1130">
        <v>-379891.57627118623</v>
      </c>
      <c r="Y65" s="1130">
        <v>-379891.57627118618</v>
      </c>
      <c r="Z65" s="1130">
        <v>-379891.57627118618</v>
      </c>
      <c r="AA65" s="1130">
        <v>-4558698.9152542353</v>
      </c>
    </row>
    <row r="66" spans="1:29" hidden="1">
      <c r="A66" s="1124" t="s">
        <v>1152</v>
      </c>
      <c r="B66" s="1130">
        <v>-657855.86</v>
      </c>
      <c r="C66" s="1130">
        <v>-109930.05</v>
      </c>
      <c r="D66" s="1130">
        <v>-110005.19</v>
      </c>
      <c r="E66" s="1130">
        <v>-109992.64</v>
      </c>
      <c r="F66" s="1130">
        <v>-109999.16</v>
      </c>
      <c r="G66" s="1130">
        <v>-110008.21</v>
      </c>
      <c r="H66" s="1130">
        <v>-110070.37</v>
      </c>
      <c r="I66" s="1130">
        <v>-110132.15</v>
      </c>
      <c r="J66" s="1130">
        <v>-110136.56</v>
      </c>
      <c r="K66" s="1130">
        <v>0</v>
      </c>
      <c r="L66" s="1130">
        <v>0</v>
      </c>
      <c r="M66" s="1130">
        <v>0</v>
      </c>
      <c r="N66" s="1130">
        <v>0</v>
      </c>
      <c r="O66" s="1130">
        <v>0</v>
      </c>
      <c r="P66" s="1130">
        <v>0</v>
      </c>
      <c r="Q66" s="1130">
        <v>0</v>
      </c>
      <c r="R66" s="1130">
        <v>0</v>
      </c>
      <c r="S66" s="1130">
        <v>0</v>
      </c>
      <c r="T66" s="1130">
        <v>0</v>
      </c>
      <c r="U66" s="1130">
        <v>0</v>
      </c>
      <c r="V66" s="1130">
        <v>0</v>
      </c>
      <c r="W66" s="1130">
        <v>0</v>
      </c>
      <c r="X66" s="1130">
        <v>0</v>
      </c>
      <c r="Y66" s="1130">
        <v>0</v>
      </c>
      <c r="Z66" s="1130">
        <v>0</v>
      </c>
      <c r="AA66" s="1130">
        <v>0</v>
      </c>
    </row>
    <row r="67" spans="1:29" hidden="1">
      <c r="A67" s="1124" t="s">
        <v>1126</v>
      </c>
      <c r="B67" s="1130">
        <v>0</v>
      </c>
      <c r="C67" s="1130">
        <v>0</v>
      </c>
      <c r="D67" s="1130">
        <v>0</v>
      </c>
      <c r="E67" s="1130">
        <v>0</v>
      </c>
      <c r="F67" s="1130">
        <v>0</v>
      </c>
      <c r="G67" s="1130">
        <v>0</v>
      </c>
      <c r="H67" s="1130">
        <v>-7450040.0999999996</v>
      </c>
      <c r="I67" s="1130">
        <v>-1241673.3500000001</v>
      </c>
      <c r="J67" s="1130">
        <v>-1241673.3500000001</v>
      </c>
      <c r="K67" s="1130">
        <v>0</v>
      </c>
      <c r="L67" s="1130">
        <v>0</v>
      </c>
      <c r="M67" s="1130">
        <v>0</v>
      </c>
      <c r="N67" s="1130">
        <v>0</v>
      </c>
      <c r="O67" s="1130">
        <v>0</v>
      </c>
      <c r="P67" s="1130">
        <v>0</v>
      </c>
      <c r="Q67" s="1130">
        <v>0</v>
      </c>
      <c r="R67" s="1130">
        <v>0</v>
      </c>
      <c r="S67" s="1130">
        <v>0</v>
      </c>
      <c r="T67" s="1130">
        <v>0</v>
      </c>
      <c r="U67" s="1130">
        <v>0</v>
      </c>
      <c r="V67" s="1130">
        <v>0</v>
      </c>
      <c r="W67" s="1130">
        <v>0</v>
      </c>
      <c r="X67" s="1130">
        <v>0</v>
      </c>
      <c r="Y67" s="1130">
        <v>0</v>
      </c>
      <c r="Z67" s="1130">
        <v>0</v>
      </c>
      <c r="AA67" s="1130">
        <v>0</v>
      </c>
    </row>
    <row r="68" spans="1:29" hidden="1">
      <c r="A68" s="1124" t="s">
        <v>1294</v>
      </c>
      <c r="B68" s="1130">
        <v>-659314.11</v>
      </c>
      <c r="C68" s="1130">
        <v>0</v>
      </c>
      <c r="D68" s="1130">
        <v>0</v>
      </c>
      <c r="E68" s="1130">
        <v>0</v>
      </c>
      <c r="F68" s="1130">
        <v>0</v>
      </c>
      <c r="G68" s="1130">
        <v>0</v>
      </c>
      <c r="H68" s="1130">
        <v>0</v>
      </c>
      <c r="I68" s="1130">
        <v>0</v>
      </c>
      <c r="J68" s="1130">
        <v>0</v>
      </c>
      <c r="K68" s="1130">
        <v>0</v>
      </c>
      <c r="L68" s="1130">
        <v>0</v>
      </c>
      <c r="M68" s="1130">
        <v>0</v>
      </c>
      <c r="N68" s="1130">
        <v>0</v>
      </c>
      <c r="O68" s="1130">
        <v>0</v>
      </c>
      <c r="P68" s="1130">
        <v>0</v>
      </c>
      <c r="Q68" s="1130">
        <v>0</v>
      </c>
      <c r="R68" s="1130">
        <v>0</v>
      </c>
      <c r="S68" s="1130">
        <v>0</v>
      </c>
      <c r="T68" s="1130">
        <v>0</v>
      </c>
      <c r="U68" s="1130">
        <v>0</v>
      </c>
      <c r="V68" s="1130">
        <v>0</v>
      </c>
      <c r="W68" s="1130">
        <v>0</v>
      </c>
      <c r="X68" s="1130">
        <v>0</v>
      </c>
      <c r="Y68" s="1130">
        <v>0</v>
      </c>
      <c r="Z68" s="1130">
        <v>0</v>
      </c>
      <c r="AA68" s="1130">
        <v>0</v>
      </c>
    </row>
    <row r="69" spans="1:29" ht="15.6" hidden="1" thickBot="1">
      <c r="A69" s="1124" t="s">
        <v>1149</v>
      </c>
      <c r="B69" s="1130">
        <v>0</v>
      </c>
      <c r="C69" s="1130">
        <v>0</v>
      </c>
      <c r="D69" s="1130">
        <v>0</v>
      </c>
      <c r="E69" s="1130">
        <v>0</v>
      </c>
      <c r="F69" s="1130">
        <v>0</v>
      </c>
      <c r="G69" s="1130">
        <v>0</v>
      </c>
      <c r="H69" s="1130">
        <v>0</v>
      </c>
      <c r="I69" s="1130">
        <v>0</v>
      </c>
      <c r="J69" s="1130">
        <v>0</v>
      </c>
      <c r="K69" s="1130">
        <v>-1241673.3500000001</v>
      </c>
      <c r="L69" s="1130">
        <v>-1241673.3500000001</v>
      </c>
      <c r="M69" s="1130">
        <v>-1241673.3500000001</v>
      </c>
      <c r="N69" s="1130">
        <v>-1241673.3500000001</v>
      </c>
      <c r="O69" s="1130">
        <v>-939548.26416666701</v>
      </c>
      <c r="P69" s="1130">
        <v>-939548.26416666701</v>
      </c>
      <c r="Q69" s="1130">
        <v>-939548.26416666701</v>
      </c>
      <c r="R69" s="1130">
        <v>-939548.26416666701</v>
      </c>
      <c r="S69" s="1130">
        <v>-939548.26416666701</v>
      </c>
      <c r="T69" s="1130">
        <v>-939548.26416666701</v>
      </c>
      <c r="U69" s="1130">
        <v>-939548.26416666701</v>
      </c>
      <c r="V69" s="1130">
        <v>-939548.26416666701</v>
      </c>
      <c r="W69" s="1130">
        <v>-939548.26416666701</v>
      </c>
      <c r="X69" s="1130">
        <v>-939548.26416666701</v>
      </c>
      <c r="Y69" s="1130">
        <v>-939548.26416666701</v>
      </c>
      <c r="Z69" s="1130">
        <v>-939548.26416666701</v>
      </c>
      <c r="AA69" s="1130">
        <v>-11274579.170000002</v>
      </c>
    </row>
    <row r="70" spans="1:29" hidden="1">
      <c r="A70" s="1123" t="s">
        <v>1153</v>
      </c>
      <c r="B70" s="1136"/>
      <c r="C70" s="1136"/>
      <c r="D70" s="1136"/>
      <c r="E70" s="1136"/>
      <c r="F70" s="1136"/>
      <c r="G70" s="1136"/>
      <c r="H70" s="1136"/>
      <c r="I70" s="1136"/>
      <c r="J70" s="1136"/>
      <c r="K70" s="1136"/>
      <c r="L70" s="1136"/>
      <c r="M70" s="1136"/>
      <c r="N70" s="1136"/>
      <c r="O70" s="1136"/>
      <c r="P70" s="1136"/>
      <c r="Q70" s="1136"/>
      <c r="R70" s="1136"/>
      <c r="S70" s="1136"/>
      <c r="T70" s="1136"/>
      <c r="U70" s="1136"/>
      <c r="V70" s="1136"/>
      <c r="W70" s="1136"/>
      <c r="X70" s="1136"/>
      <c r="Y70" s="1136"/>
      <c r="Z70" s="1136"/>
      <c r="AA70" s="1136"/>
    </row>
    <row r="71" spans="1:29" hidden="1">
      <c r="A71" s="1124" t="s">
        <v>1149</v>
      </c>
      <c r="B71" s="1130">
        <v>28023033.039999999</v>
      </c>
      <c r="C71" s="1130">
        <v>2209952.3400000008</v>
      </c>
      <c r="D71" s="1130">
        <v>2202904.3499999992</v>
      </c>
      <c r="E71" s="1130">
        <v>2288392.4100000034</v>
      </c>
      <c r="F71" s="1130">
        <v>2151569.9699999988</v>
      </c>
      <c r="G71" s="1130">
        <v>1975462.9600000009</v>
      </c>
      <c r="H71" s="1130">
        <v>1628102.3000000073</v>
      </c>
      <c r="I71" s="1130">
        <v>2298890.830000001</v>
      </c>
      <c r="J71" s="1130">
        <v>2316578.1600000015</v>
      </c>
      <c r="K71" s="1130">
        <v>2212316.7161816834</v>
      </c>
      <c r="L71" s="1130">
        <v>2361081.9702264606</v>
      </c>
      <c r="M71" s="1130">
        <v>2212420.7261816836</v>
      </c>
      <c r="N71" s="1130">
        <v>790604.38022646122</v>
      </c>
      <c r="O71" s="1130">
        <v>2637084.6586282197</v>
      </c>
      <c r="P71" s="1130">
        <v>3168883.0223476319</v>
      </c>
      <c r="Q71" s="1130">
        <v>2687161.6586282197</v>
      </c>
      <c r="R71" s="1130">
        <v>2514402.1132013579</v>
      </c>
      <c r="S71" s="1130">
        <v>2662161.6586282202</v>
      </c>
      <c r="T71" s="1130">
        <v>2519402.1132013579</v>
      </c>
      <c r="U71" s="1130">
        <v>2596761.6586282202</v>
      </c>
      <c r="V71" s="1130">
        <v>2597161.6586282202</v>
      </c>
      <c r="W71" s="1130">
        <v>2379402.1132013579</v>
      </c>
      <c r="X71" s="1130">
        <v>-2002838.3413717803</v>
      </c>
      <c r="Y71" s="1130">
        <v>2329402.1132013579</v>
      </c>
      <c r="Z71" s="1130">
        <v>2491084.97862822</v>
      </c>
      <c r="AA71" s="1130">
        <v>26580069.405550599</v>
      </c>
    </row>
    <row r="72" spans="1:29" hidden="1">
      <c r="A72" s="1123" t="s">
        <v>1154</v>
      </c>
      <c r="B72" s="1130"/>
      <c r="C72" s="1130"/>
      <c r="D72" s="1130"/>
      <c r="E72" s="1130"/>
      <c r="F72" s="1130"/>
      <c r="G72" s="1130"/>
      <c r="H72" s="1130"/>
      <c r="I72" s="1130"/>
      <c r="J72" s="1130"/>
      <c r="K72" s="1130"/>
      <c r="L72" s="1130"/>
      <c r="M72" s="1130"/>
      <c r="N72" s="1130"/>
      <c r="O72" s="1130"/>
      <c r="P72" s="1130"/>
      <c r="Q72" s="1130"/>
      <c r="R72" s="1130"/>
      <c r="S72" s="1130"/>
      <c r="T72" s="1130"/>
      <c r="U72" s="1130"/>
      <c r="V72" s="1130"/>
      <c r="W72" s="1130"/>
      <c r="X72" s="1130"/>
      <c r="Y72" s="1130"/>
      <c r="Z72" s="1130"/>
      <c r="AA72" s="1130"/>
    </row>
    <row r="73" spans="1:29" hidden="1">
      <c r="A73" s="1124" t="s">
        <v>1155</v>
      </c>
      <c r="B73" s="1130">
        <v>1865.5100000000002</v>
      </c>
      <c r="C73" s="1130">
        <v>29.26</v>
      </c>
      <c r="D73" s="1130">
        <v>29.48</v>
      </c>
      <c r="E73" s="1130">
        <v>29.69</v>
      </c>
      <c r="F73" s="1130">
        <v>29.91</v>
      </c>
      <c r="G73" s="1130">
        <v>50.37</v>
      </c>
      <c r="H73" s="1130">
        <v>71.08</v>
      </c>
      <c r="I73" s="1130">
        <v>71.709999999999994</v>
      </c>
      <c r="J73" s="1130">
        <v>104.65</v>
      </c>
      <c r="K73" s="1130">
        <v>64.300147475199992</v>
      </c>
      <c r="L73" s="1130">
        <v>64.300147475199992</v>
      </c>
      <c r="M73" s="1130">
        <v>64.300147475199992</v>
      </c>
      <c r="N73" s="1130">
        <v>64.300147475199992</v>
      </c>
      <c r="O73" s="1130">
        <v>0</v>
      </c>
      <c r="P73" s="1130">
        <v>0</v>
      </c>
      <c r="Q73" s="1130">
        <v>0</v>
      </c>
      <c r="R73" s="1130">
        <v>0</v>
      </c>
      <c r="S73" s="1130">
        <v>0</v>
      </c>
      <c r="T73" s="1130">
        <v>0</v>
      </c>
      <c r="U73" s="1130">
        <v>0</v>
      </c>
      <c r="V73" s="1130">
        <v>0</v>
      </c>
      <c r="W73" s="1130">
        <v>0</v>
      </c>
      <c r="X73" s="1130">
        <v>0</v>
      </c>
      <c r="Y73" s="1130">
        <v>0</v>
      </c>
      <c r="Z73" s="1130">
        <v>0</v>
      </c>
      <c r="AA73" s="1130">
        <v>0</v>
      </c>
    </row>
    <row r="74" spans="1:29" hidden="1">
      <c r="A74" s="1124" t="s">
        <v>1156</v>
      </c>
      <c r="B74" s="1130">
        <v>-1357.04</v>
      </c>
      <c r="C74" s="1130">
        <v>0</v>
      </c>
      <c r="D74" s="1130">
        <v>-70.209999999999994</v>
      </c>
      <c r="E74" s="1130">
        <v>140.41999999999999</v>
      </c>
      <c r="F74" s="1130">
        <v>0</v>
      </c>
      <c r="G74" s="1130">
        <v>0</v>
      </c>
      <c r="H74" s="1130">
        <v>0</v>
      </c>
      <c r="I74" s="1130">
        <v>0</v>
      </c>
      <c r="J74" s="1130">
        <v>0</v>
      </c>
      <c r="K74" s="1130">
        <v>0</v>
      </c>
      <c r="L74" s="1130">
        <v>0</v>
      </c>
      <c r="M74" s="1130">
        <v>0</v>
      </c>
      <c r="N74" s="1130">
        <v>0</v>
      </c>
      <c r="O74" s="1130">
        <v>0</v>
      </c>
      <c r="P74" s="1130">
        <v>0</v>
      </c>
      <c r="Q74" s="1130">
        <v>0</v>
      </c>
      <c r="R74" s="1130">
        <v>0</v>
      </c>
      <c r="S74" s="1130">
        <v>0</v>
      </c>
      <c r="T74" s="1130">
        <v>0</v>
      </c>
      <c r="U74" s="1130">
        <v>0</v>
      </c>
      <c r="V74" s="1130">
        <v>0</v>
      </c>
      <c r="W74" s="1130">
        <v>0</v>
      </c>
      <c r="X74" s="1130">
        <v>0</v>
      </c>
      <c r="Y74" s="1130">
        <v>0</v>
      </c>
      <c r="Z74" s="1130">
        <v>0</v>
      </c>
      <c r="AA74" s="1130">
        <v>0</v>
      </c>
    </row>
    <row r="75" spans="1:29" hidden="1">
      <c r="A75" s="1124" t="s">
        <v>1126</v>
      </c>
      <c r="B75" s="1130">
        <v>0</v>
      </c>
      <c r="C75" s="1130">
        <v>0</v>
      </c>
      <c r="D75" s="1130">
        <v>0</v>
      </c>
      <c r="E75" s="1130">
        <v>-70.209999999999994</v>
      </c>
      <c r="F75" s="1130">
        <v>0</v>
      </c>
      <c r="G75" s="1130">
        <v>0</v>
      </c>
      <c r="H75" s="1130">
        <v>0</v>
      </c>
      <c r="I75" s="1130">
        <v>0</v>
      </c>
      <c r="J75" s="1130">
        <v>0</v>
      </c>
      <c r="K75" s="1130">
        <v>0</v>
      </c>
      <c r="L75" s="1130">
        <v>0</v>
      </c>
      <c r="M75" s="1130">
        <v>0</v>
      </c>
      <c r="N75" s="1130">
        <v>0</v>
      </c>
      <c r="O75" s="1130">
        <v>0</v>
      </c>
      <c r="P75" s="1130">
        <v>0</v>
      </c>
      <c r="Q75" s="1130">
        <v>0</v>
      </c>
      <c r="R75" s="1130">
        <v>0</v>
      </c>
      <c r="S75" s="1130">
        <v>0</v>
      </c>
      <c r="T75" s="1130">
        <v>0</v>
      </c>
      <c r="U75" s="1130">
        <v>0</v>
      </c>
      <c r="V75" s="1130">
        <v>0</v>
      </c>
      <c r="W75" s="1130">
        <v>0</v>
      </c>
      <c r="X75" s="1130">
        <v>0</v>
      </c>
      <c r="Y75" s="1130">
        <v>0</v>
      </c>
      <c r="Z75" s="1130">
        <v>0</v>
      </c>
      <c r="AA75" s="1130">
        <v>0</v>
      </c>
    </row>
    <row r="76" spans="1:29" hidden="1">
      <c r="A76" s="1123" t="s">
        <v>1157</v>
      </c>
      <c r="B76" s="1130"/>
      <c r="C76" s="1130"/>
      <c r="D76" s="1130"/>
      <c r="E76" s="1130"/>
      <c r="F76" s="1130"/>
      <c r="G76" s="1130"/>
      <c r="H76" s="1130"/>
      <c r="I76" s="1130"/>
      <c r="J76" s="1130"/>
      <c r="K76" s="1130"/>
      <c r="L76" s="1130"/>
      <c r="M76" s="1130"/>
      <c r="N76" s="1130"/>
      <c r="O76" s="1130"/>
      <c r="P76" s="1130"/>
      <c r="Q76" s="1130"/>
      <c r="R76" s="1130"/>
      <c r="S76" s="1130"/>
      <c r="T76" s="1130"/>
      <c r="U76" s="1130"/>
      <c r="V76" s="1130"/>
      <c r="W76" s="1130"/>
      <c r="X76" s="1130"/>
      <c r="Y76" s="1130"/>
      <c r="Z76" s="1130"/>
      <c r="AA76" s="1130"/>
    </row>
    <row r="77" spans="1:29" s="1133" customFormat="1" hidden="1">
      <c r="A77" s="1131" t="s">
        <v>1158</v>
      </c>
      <c r="B77" s="1132">
        <v>0</v>
      </c>
      <c r="C77" s="1132">
        <v>0</v>
      </c>
      <c r="D77" s="1132">
        <v>0</v>
      </c>
      <c r="E77" s="1132">
        <v>0</v>
      </c>
      <c r="F77" s="1132">
        <v>0</v>
      </c>
      <c r="G77" s="1132">
        <v>0</v>
      </c>
      <c r="H77" s="1132">
        <v>0</v>
      </c>
      <c r="I77" s="1132">
        <v>0</v>
      </c>
      <c r="J77" s="1132">
        <v>0</v>
      </c>
      <c r="K77" s="1132">
        <v>-632735.11243892473</v>
      </c>
      <c r="L77" s="1132">
        <v>-703505.71914769744</v>
      </c>
      <c r="M77" s="1132">
        <v>-688580.30286355573</v>
      </c>
      <c r="N77" s="1132">
        <v>-691377.24516828929</v>
      </c>
      <c r="O77" s="1132">
        <v>-699713.67681435437</v>
      </c>
      <c r="P77" s="1132">
        <v>-687687.28786672419</v>
      </c>
      <c r="Q77" s="1132">
        <v>-686479.00856392831</v>
      </c>
      <c r="R77" s="1132">
        <v>-685795.67981220642</v>
      </c>
      <c r="S77" s="1132">
        <v>-665795.06457856973</v>
      </c>
      <c r="T77" s="1132">
        <v>-667396.82595760375</v>
      </c>
      <c r="U77" s="1132">
        <v>-667550.48555134365</v>
      </c>
      <c r="V77" s="1132">
        <v>-645684.48380777671</v>
      </c>
      <c r="W77" s="1132">
        <v>-648178.55009576201</v>
      </c>
      <c r="X77" s="1132">
        <v>-674479.79521492112</v>
      </c>
      <c r="Y77" s="1132">
        <v>-689624.55316012632</v>
      </c>
      <c r="Z77" s="1132">
        <v>-997349.93121746834</v>
      </c>
      <c r="AA77" s="1132">
        <v>-8415735.3426407855</v>
      </c>
      <c r="AC77" s="1134">
        <f>SUM(O77:Z77)</f>
        <v>-8415735.3426407855</v>
      </c>
    </row>
    <row r="78" spans="1:29" hidden="1">
      <c r="A78" s="1124" t="s">
        <v>1159</v>
      </c>
      <c r="B78" s="1130">
        <v>99199.07</v>
      </c>
      <c r="C78" s="1130">
        <v>7385.15</v>
      </c>
      <c r="D78" s="1130">
        <v>9341.7999999999993</v>
      </c>
      <c r="E78" s="1130">
        <v>12446.2</v>
      </c>
      <c r="F78" s="1130">
        <v>19239.41</v>
      </c>
      <c r="G78" s="1130">
        <v>18905.55</v>
      </c>
      <c r="H78" s="1130">
        <v>1143133.6499999999</v>
      </c>
      <c r="I78" s="1130">
        <v>11930.13</v>
      </c>
      <c r="J78" s="1130">
        <v>18957.560000000001</v>
      </c>
      <c r="K78" s="1130">
        <v>0</v>
      </c>
      <c r="L78" s="1130">
        <v>0</v>
      </c>
      <c r="M78" s="1130">
        <v>0</v>
      </c>
      <c r="N78" s="1130">
        <v>0</v>
      </c>
      <c r="O78" s="1130">
        <v>0</v>
      </c>
      <c r="P78" s="1130">
        <v>0</v>
      </c>
      <c r="Q78" s="1130">
        <v>0</v>
      </c>
      <c r="R78" s="1130">
        <v>0</v>
      </c>
      <c r="S78" s="1130">
        <v>0</v>
      </c>
      <c r="T78" s="1130">
        <v>0</v>
      </c>
      <c r="U78" s="1130">
        <v>0</v>
      </c>
      <c r="V78" s="1130">
        <v>0</v>
      </c>
      <c r="W78" s="1130">
        <v>0</v>
      </c>
      <c r="X78" s="1130">
        <v>0</v>
      </c>
      <c r="Y78" s="1130">
        <v>0</v>
      </c>
      <c r="Z78" s="1130">
        <v>0</v>
      </c>
      <c r="AA78" s="1130">
        <v>0</v>
      </c>
    </row>
    <row r="79" spans="1:29" hidden="1">
      <c r="A79" s="1124" t="s">
        <v>1125</v>
      </c>
      <c r="B79" s="1130">
        <v>0</v>
      </c>
      <c r="C79" s="1130">
        <v>0</v>
      </c>
      <c r="D79" s="1130">
        <v>0</v>
      </c>
      <c r="E79" s="1130">
        <v>0</v>
      </c>
      <c r="F79" s="1130">
        <v>0</v>
      </c>
      <c r="G79" s="1130">
        <v>0</v>
      </c>
      <c r="H79" s="1130">
        <v>0</v>
      </c>
      <c r="I79" s="1130">
        <v>62829.88</v>
      </c>
      <c r="J79" s="1130">
        <v>62829.88</v>
      </c>
      <c r="K79" s="1130">
        <v>0</v>
      </c>
      <c r="L79" s="1130">
        <v>0</v>
      </c>
      <c r="M79" s="1130">
        <v>0</v>
      </c>
      <c r="N79" s="1130">
        <v>0</v>
      </c>
      <c r="O79" s="1130">
        <v>0</v>
      </c>
      <c r="P79" s="1130">
        <v>0</v>
      </c>
      <c r="Q79" s="1130">
        <v>0</v>
      </c>
      <c r="R79" s="1130">
        <v>0</v>
      </c>
      <c r="S79" s="1130">
        <v>0</v>
      </c>
      <c r="T79" s="1130">
        <v>0</v>
      </c>
      <c r="U79" s="1130">
        <v>0</v>
      </c>
      <c r="V79" s="1130">
        <v>0</v>
      </c>
      <c r="W79" s="1130">
        <v>0</v>
      </c>
      <c r="X79" s="1130">
        <v>0</v>
      </c>
      <c r="Y79" s="1130">
        <v>0</v>
      </c>
      <c r="Z79" s="1130">
        <v>0</v>
      </c>
      <c r="AA79" s="1130">
        <v>0</v>
      </c>
    </row>
    <row r="80" spans="1:29" ht="15.6" hidden="1" thickBot="1">
      <c r="A80" s="1124" t="s">
        <v>1160</v>
      </c>
      <c r="B80" s="1130">
        <v>-9130955.6500000004</v>
      </c>
      <c r="C80" s="1130">
        <v>-816252.22</v>
      </c>
      <c r="D80" s="1130">
        <v>-704287.35</v>
      </c>
      <c r="E80" s="1130">
        <v>-774033.37</v>
      </c>
      <c r="F80" s="1130">
        <v>-749710.41</v>
      </c>
      <c r="G80" s="1130">
        <v>-733664.77999999991</v>
      </c>
      <c r="H80" s="1130">
        <v>-750529.38</v>
      </c>
      <c r="I80" s="1130">
        <v>-777292.15</v>
      </c>
      <c r="J80" s="1130">
        <v>-777190.82000000007</v>
      </c>
      <c r="K80" s="1130">
        <v>0</v>
      </c>
      <c r="L80" s="1130">
        <v>0</v>
      </c>
      <c r="M80" s="1130">
        <v>0</v>
      </c>
      <c r="N80" s="1130">
        <v>0</v>
      </c>
      <c r="O80" s="1130">
        <v>0</v>
      </c>
      <c r="P80" s="1130">
        <v>0</v>
      </c>
      <c r="Q80" s="1130">
        <v>0</v>
      </c>
      <c r="R80" s="1130">
        <v>0</v>
      </c>
      <c r="S80" s="1130">
        <v>0</v>
      </c>
      <c r="T80" s="1130">
        <v>0</v>
      </c>
      <c r="U80" s="1130">
        <v>0</v>
      </c>
      <c r="V80" s="1130">
        <v>0</v>
      </c>
      <c r="W80" s="1130">
        <v>0</v>
      </c>
      <c r="X80" s="1130">
        <v>0</v>
      </c>
      <c r="Y80" s="1130">
        <v>0</v>
      </c>
      <c r="Z80" s="1130">
        <v>0</v>
      </c>
      <c r="AA80" s="1130">
        <v>0</v>
      </c>
    </row>
    <row r="81" spans="1:27" hidden="1">
      <c r="A81" s="1123" t="s">
        <v>1161</v>
      </c>
      <c r="B81" s="1136"/>
      <c r="C81" s="1136"/>
      <c r="D81" s="1136"/>
      <c r="E81" s="1136"/>
      <c r="F81" s="1136"/>
      <c r="G81" s="1136"/>
      <c r="H81" s="1136"/>
      <c r="I81" s="1136"/>
      <c r="J81" s="1136"/>
      <c r="K81" s="1136"/>
      <c r="L81" s="1136"/>
      <c r="M81" s="1136"/>
      <c r="N81" s="1136"/>
      <c r="O81" s="1136"/>
      <c r="P81" s="1136"/>
      <c r="Q81" s="1136"/>
      <c r="R81" s="1136"/>
      <c r="S81" s="1136"/>
      <c r="T81" s="1136"/>
      <c r="U81" s="1136"/>
      <c r="V81" s="1136"/>
      <c r="W81" s="1136"/>
      <c r="X81" s="1136"/>
      <c r="Y81" s="1136"/>
      <c r="Z81" s="1136"/>
      <c r="AA81" s="1136"/>
    </row>
    <row r="82" spans="1:27" hidden="1">
      <c r="A82" s="1124" t="s">
        <v>1149</v>
      </c>
      <c r="B82" s="1130">
        <v>18991784.929999996</v>
      </c>
      <c r="C82" s="1130">
        <v>1401114.5300000007</v>
      </c>
      <c r="D82" s="1130">
        <v>1507918.0699999994</v>
      </c>
      <c r="E82" s="1130">
        <v>1526905.1400000034</v>
      </c>
      <c r="F82" s="1130">
        <v>1421128.879999999</v>
      </c>
      <c r="G82" s="1130">
        <v>1260754.100000001</v>
      </c>
      <c r="H82" s="1130">
        <v>2020777.6500000074</v>
      </c>
      <c r="I82" s="1130">
        <v>1596430.4000000008</v>
      </c>
      <c r="J82" s="1130">
        <v>1621279.4300000016</v>
      </c>
      <c r="K82" s="1130">
        <v>1579645.903890234</v>
      </c>
      <c r="L82" s="1130">
        <v>1657640.5512262383</v>
      </c>
      <c r="M82" s="1130">
        <v>1523904.7234656031</v>
      </c>
      <c r="N82" s="1130">
        <v>99291.43520564714</v>
      </c>
      <c r="O82" s="1130">
        <v>1937370.9818138652</v>
      </c>
      <c r="P82" s="1130">
        <v>2481195.7344809077</v>
      </c>
      <c r="Q82" s="1130">
        <v>2000682.6500642914</v>
      </c>
      <c r="R82" s="1130">
        <v>1828606.4333891515</v>
      </c>
      <c r="S82" s="1130">
        <v>1996366.5940496505</v>
      </c>
      <c r="T82" s="1130">
        <v>1852005.2872437541</v>
      </c>
      <c r="U82" s="1130">
        <v>1929211.1730768764</v>
      </c>
      <c r="V82" s="1130">
        <v>1951477.1748204436</v>
      </c>
      <c r="W82" s="1130">
        <v>1731223.5631055958</v>
      </c>
      <c r="X82" s="1130">
        <v>-2677318.1365867015</v>
      </c>
      <c r="Y82" s="1130">
        <v>1639777.5600412316</v>
      </c>
      <c r="Z82" s="1130">
        <v>1493735.0474107517</v>
      </c>
      <c r="AA82" s="1130">
        <v>18164334.062909819</v>
      </c>
    </row>
    <row r="83" spans="1:27" hidden="1">
      <c r="A83" s="1123" t="s">
        <v>1162</v>
      </c>
      <c r="B83" s="1130"/>
      <c r="C83" s="1130"/>
      <c r="D83" s="1130"/>
      <c r="E83" s="1130"/>
      <c r="F83" s="1130"/>
      <c r="G83" s="1130"/>
      <c r="H83" s="1130"/>
      <c r="I83" s="1130"/>
      <c r="J83" s="1130"/>
      <c r="K83" s="1130"/>
      <c r="L83" s="1130"/>
      <c r="M83" s="1130"/>
      <c r="N83" s="1130"/>
      <c r="O83" s="1130"/>
      <c r="P83" s="1130"/>
      <c r="Q83" s="1130"/>
      <c r="R83" s="1130"/>
      <c r="S83" s="1130"/>
      <c r="T83" s="1130"/>
      <c r="U83" s="1130"/>
      <c r="V83" s="1130"/>
      <c r="W83" s="1130"/>
      <c r="X83" s="1130"/>
      <c r="Y83" s="1130"/>
      <c r="Z83" s="1130"/>
      <c r="AA83" s="1130"/>
    </row>
    <row r="84" spans="1:27" hidden="1">
      <c r="A84" s="1124" t="s">
        <v>1163</v>
      </c>
      <c r="B84" s="1130">
        <v>1096438</v>
      </c>
      <c r="C84" s="1130">
        <v>-51525</v>
      </c>
      <c r="D84" s="1130">
        <v>-123501</v>
      </c>
      <c r="E84" s="1130">
        <v>-364417</v>
      </c>
      <c r="F84" s="1130">
        <v>-106677</v>
      </c>
      <c r="G84" s="1130">
        <v>-353840</v>
      </c>
      <c r="H84" s="1130">
        <v>24314</v>
      </c>
      <c r="I84" s="1130">
        <v>-276694</v>
      </c>
      <c r="J84" s="1130">
        <v>-532007</v>
      </c>
      <c r="K84" s="1130">
        <v>493634.59607859235</v>
      </c>
      <c r="L84" s="1130">
        <v>478258.07074528659</v>
      </c>
      <c r="M84" s="1130">
        <v>504490.43226882996</v>
      </c>
      <c r="N84" s="1130">
        <v>784146.53758029244</v>
      </c>
      <c r="O84" s="1130">
        <v>-188264.32374653622</v>
      </c>
      <c r="P84" s="1130">
        <v>-295044.31393294904</v>
      </c>
      <c r="Q84" s="1130">
        <v>-200695.56980761013</v>
      </c>
      <c r="R84" s="1130">
        <v>-166908.40466365669</v>
      </c>
      <c r="S84" s="1130">
        <v>-199848.11220923261</v>
      </c>
      <c r="T84" s="1130">
        <v>-171502.76961796463</v>
      </c>
      <c r="U84" s="1130">
        <v>-186662.14530119507</v>
      </c>
      <c r="V84" s="1130">
        <v>-191034.07474351747</v>
      </c>
      <c r="W84" s="1130">
        <v>-147787.27808346582</v>
      </c>
      <c r="X84" s="1130">
        <v>717829.88465220819</v>
      </c>
      <c r="Y84" s="1130">
        <v>-129831.85537930467</v>
      </c>
      <c r="Z84" s="1130">
        <v>-103331.31414479866</v>
      </c>
      <c r="AA84" s="1130">
        <v>-1263080.2769780229</v>
      </c>
    </row>
    <row r="85" spans="1:27" hidden="1">
      <c r="A85" s="1124" t="s">
        <v>1164</v>
      </c>
      <c r="B85" s="1130">
        <v>143168</v>
      </c>
      <c r="C85" s="1130">
        <v>2477</v>
      </c>
      <c r="D85" s="1130">
        <v>33</v>
      </c>
      <c r="E85" s="1130">
        <v>3612</v>
      </c>
      <c r="F85" s="1130">
        <v>5595</v>
      </c>
      <c r="G85" s="1130">
        <v>1197</v>
      </c>
      <c r="H85" s="1130">
        <v>-216600</v>
      </c>
      <c r="I85" s="1130">
        <v>-14680</v>
      </c>
      <c r="J85" s="1130">
        <v>-15147</v>
      </c>
      <c r="K85" s="1130">
        <v>0</v>
      </c>
      <c r="L85" s="1130">
        <v>0</v>
      </c>
      <c r="M85" s="1130">
        <v>0</v>
      </c>
      <c r="N85" s="1130">
        <v>0</v>
      </c>
      <c r="O85" s="1130">
        <v>0</v>
      </c>
      <c r="P85" s="1130">
        <v>0</v>
      </c>
      <c r="Q85" s="1130">
        <v>0</v>
      </c>
      <c r="R85" s="1130">
        <v>0</v>
      </c>
      <c r="S85" s="1130">
        <v>0</v>
      </c>
      <c r="T85" s="1130">
        <v>0</v>
      </c>
      <c r="U85" s="1130">
        <v>0</v>
      </c>
      <c r="V85" s="1130">
        <v>0</v>
      </c>
      <c r="W85" s="1130">
        <v>0</v>
      </c>
      <c r="X85" s="1130">
        <v>0</v>
      </c>
      <c r="Y85" s="1130">
        <v>0</v>
      </c>
      <c r="Z85" s="1130">
        <v>0</v>
      </c>
      <c r="AA85" s="1130">
        <v>0</v>
      </c>
    </row>
    <row r="86" spans="1:27" hidden="1">
      <c r="A86" s="1124" t="s">
        <v>1165</v>
      </c>
      <c r="B86" s="1130">
        <v>-9333991</v>
      </c>
      <c r="C86" s="1130">
        <v>-370336</v>
      </c>
      <c r="D86" s="1130">
        <v>-306301</v>
      </c>
      <c r="E86" s="1130">
        <v>-338320</v>
      </c>
      <c r="F86" s="1130">
        <v>-338320</v>
      </c>
      <c r="G86" s="1130">
        <v>-338324</v>
      </c>
      <c r="H86" s="1130">
        <v>-338329</v>
      </c>
      <c r="I86" s="1130">
        <v>-338329</v>
      </c>
      <c r="J86" s="1130">
        <v>-338335</v>
      </c>
      <c r="K86" s="1130">
        <v>0</v>
      </c>
      <c r="L86" s="1130">
        <v>0</v>
      </c>
      <c r="M86" s="1130">
        <v>0</v>
      </c>
      <c r="N86" s="1130">
        <v>0</v>
      </c>
      <c r="O86" s="1130">
        <v>0</v>
      </c>
      <c r="P86" s="1130">
        <v>0</v>
      </c>
      <c r="Q86" s="1130">
        <v>0</v>
      </c>
      <c r="R86" s="1130">
        <v>0</v>
      </c>
      <c r="S86" s="1130">
        <v>0</v>
      </c>
      <c r="T86" s="1130">
        <v>0</v>
      </c>
      <c r="U86" s="1130">
        <v>0</v>
      </c>
      <c r="V86" s="1130">
        <v>0</v>
      </c>
      <c r="W86" s="1130">
        <v>0</v>
      </c>
      <c r="X86" s="1130">
        <v>0</v>
      </c>
      <c r="Y86" s="1130">
        <v>0</v>
      </c>
      <c r="Z86" s="1130">
        <v>0</v>
      </c>
      <c r="AA86" s="1130">
        <v>0</v>
      </c>
    </row>
    <row r="87" spans="1:27" hidden="1">
      <c r="A87" s="1124" t="s">
        <v>1166</v>
      </c>
      <c r="B87" s="1130">
        <v>-14996</v>
      </c>
      <c r="C87" s="1130">
        <v>0</v>
      </c>
      <c r="D87" s="1130">
        <v>0</v>
      </c>
      <c r="E87" s="1130">
        <v>0</v>
      </c>
      <c r="F87" s="1130">
        <v>0</v>
      </c>
      <c r="G87" s="1130">
        <v>0</v>
      </c>
      <c r="H87" s="1130">
        <v>0</v>
      </c>
      <c r="I87" s="1130">
        <v>0</v>
      </c>
      <c r="J87" s="1130">
        <v>0</v>
      </c>
      <c r="K87" s="1130">
        <v>-803760.98176123411</v>
      </c>
      <c r="L87" s="1130">
        <v>-803698.70543173421</v>
      </c>
      <c r="M87" s="1130">
        <v>-803672.03717473405</v>
      </c>
      <c r="N87" s="1130">
        <v>-803605.32333523408</v>
      </c>
      <c r="O87" s="1130">
        <v>-192138.46852749665</v>
      </c>
      <c r="P87" s="1130">
        <v>-192138.46852749668</v>
      </c>
      <c r="Q87" s="1130">
        <v>-192138.46852749668</v>
      </c>
      <c r="R87" s="1130">
        <v>-192138.46852749668</v>
      </c>
      <c r="S87" s="1130">
        <v>-192138.46852749668</v>
      </c>
      <c r="T87" s="1130">
        <v>-192138.46852749668</v>
      </c>
      <c r="U87" s="1130">
        <v>-192138.46852749668</v>
      </c>
      <c r="V87" s="1130">
        <v>-192138.46852749668</v>
      </c>
      <c r="W87" s="1130">
        <v>-192138.46852749668</v>
      </c>
      <c r="X87" s="1130">
        <v>-192138.46852749668</v>
      </c>
      <c r="Y87" s="1130">
        <v>-192138.46852749671</v>
      </c>
      <c r="Z87" s="1130">
        <v>-189963.56240949669</v>
      </c>
      <c r="AA87" s="1130">
        <v>-2303486.7162119607</v>
      </c>
    </row>
    <row r="88" spans="1:27" hidden="1">
      <c r="A88" s="1124" t="s">
        <v>1167</v>
      </c>
      <c r="B88" s="1130">
        <v>4331121</v>
      </c>
      <c r="C88" s="1130">
        <v>140262</v>
      </c>
      <c r="D88" s="1130">
        <v>125966</v>
      </c>
      <c r="E88" s="1130">
        <v>393725</v>
      </c>
      <c r="F88" s="1130">
        <v>153981</v>
      </c>
      <c r="G88" s="1130">
        <v>436069</v>
      </c>
      <c r="H88" s="1130">
        <v>128880</v>
      </c>
      <c r="I88" s="1130">
        <v>308685</v>
      </c>
      <c r="J88" s="1130">
        <v>562468</v>
      </c>
      <c r="K88" s="1130">
        <v>0</v>
      </c>
      <c r="L88" s="1130">
        <v>0</v>
      </c>
      <c r="M88" s="1130">
        <v>0</v>
      </c>
      <c r="N88" s="1130">
        <v>0</v>
      </c>
      <c r="O88" s="1130">
        <v>0</v>
      </c>
      <c r="P88" s="1130">
        <v>0</v>
      </c>
      <c r="Q88" s="1130">
        <v>0</v>
      </c>
      <c r="R88" s="1130">
        <v>0</v>
      </c>
      <c r="S88" s="1130">
        <v>0</v>
      </c>
      <c r="T88" s="1130">
        <v>0</v>
      </c>
      <c r="U88" s="1130">
        <v>0</v>
      </c>
      <c r="V88" s="1130">
        <v>0</v>
      </c>
      <c r="W88" s="1130">
        <v>0</v>
      </c>
      <c r="X88" s="1130">
        <v>0</v>
      </c>
      <c r="Y88" s="1130">
        <v>0</v>
      </c>
      <c r="Z88" s="1130">
        <v>0</v>
      </c>
      <c r="AA88" s="1130">
        <v>0</v>
      </c>
    </row>
    <row r="89" spans="1:27" hidden="1">
      <c r="A89" s="1124" t="s">
        <v>1168</v>
      </c>
      <c r="B89" s="1130">
        <v>-18007</v>
      </c>
      <c r="C89" s="1130">
        <v>-17057</v>
      </c>
      <c r="D89" s="1130">
        <v>-40884</v>
      </c>
      <c r="E89" s="1130">
        <v>-120637</v>
      </c>
      <c r="F89" s="1130">
        <v>-35315</v>
      </c>
      <c r="G89" s="1130">
        <v>-117135</v>
      </c>
      <c r="H89" s="1130">
        <v>8049</v>
      </c>
      <c r="I89" s="1130">
        <v>-91598</v>
      </c>
      <c r="J89" s="1130">
        <v>-176116</v>
      </c>
      <c r="K89" s="1130">
        <v>163413.54084598174</v>
      </c>
      <c r="L89" s="1130">
        <v>158323.27271934625</v>
      </c>
      <c r="M89" s="1130">
        <v>167007.27322370233</v>
      </c>
      <c r="N89" s="1130">
        <v>259585.0519109703</v>
      </c>
      <c r="O89" s="1130">
        <v>-62323.305543798626</v>
      </c>
      <c r="P89" s="1130">
        <v>-97671.914467235503</v>
      </c>
      <c r="Q89" s="1130">
        <v>-66438.563980110324</v>
      </c>
      <c r="R89" s="1130">
        <v>-55253.609896295857</v>
      </c>
      <c r="S89" s="1130">
        <v>-66158.020339190858</v>
      </c>
      <c r="T89" s="1130">
        <v>-56774.535396830681</v>
      </c>
      <c r="U89" s="1130">
        <v>-61792.917975949502</v>
      </c>
      <c r="V89" s="1130">
        <v>-63240.208089272426</v>
      </c>
      <c r="W89" s="1130">
        <v>-48923.723327859858</v>
      </c>
      <c r="X89" s="1130">
        <v>237631.48715250078</v>
      </c>
      <c r="Y89" s="1130">
        <v>-42979.733127857435</v>
      </c>
      <c r="Z89" s="1130">
        <v>-34206.954007700107</v>
      </c>
      <c r="AA89" s="1130">
        <v>-418131.99899960042</v>
      </c>
    </row>
    <row r="90" spans="1:27" hidden="1">
      <c r="A90" s="1124" t="s">
        <v>1169</v>
      </c>
      <c r="B90" s="1130">
        <v>-33943</v>
      </c>
      <c r="C90" s="1130">
        <v>820</v>
      </c>
      <c r="D90" s="1130">
        <v>11</v>
      </c>
      <c r="E90" s="1130">
        <v>1196</v>
      </c>
      <c r="F90" s="1130">
        <v>1852</v>
      </c>
      <c r="G90" s="1130">
        <v>396</v>
      </c>
      <c r="H90" s="1130">
        <v>-71704</v>
      </c>
      <c r="I90" s="1130">
        <v>-4859</v>
      </c>
      <c r="J90" s="1130">
        <v>-5015</v>
      </c>
      <c r="K90" s="1130">
        <v>0</v>
      </c>
      <c r="L90" s="1130">
        <v>0</v>
      </c>
      <c r="M90" s="1130">
        <v>0</v>
      </c>
      <c r="N90" s="1130">
        <v>0</v>
      </c>
      <c r="O90" s="1130">
        <v>0</v>
      </c>
      <c r="P90" s="1130">
        <v>0</v>
      </c>
      <c r="Q90" s="1130">
        <v>0</v>
      </c>
      <c r="R90" s="1130">
        <v>0</v>
      </c>
      <c r="S90" s="1130">
        <v>0</v>
      </c>
      <c r="T90" s="1130">
        <v>0</v>
      </c>
      <c r="U90" s="1130">
        <v>0</v>
      </c>
      <c r="V90" s="1130">
        <v>0</v>
      </c>
      <c r="W90" s="1130">
        <v>0</v>
      </c>
      <c r="X90" s="1130">
        <v>0</v>
      </c>
      <c r="Y90" s="1130">
        <v>0</v>
      </c>
      <c r="Z90" s="1130">
        <v>0</v>
      </c>
      <c r="AA90" s="1130">
        <v>0</v>
      </c>
    </row>
    <row r="91" spans="1:27" hidden="1">
      <c r="A91" s="1124" t="s">
        <v>1170</v>
      </c>
      <c r="B91" s="1130">
        <v>0</v>
      </c>
      <c r="C91" s="1130">
        <v>0</v>
      </c>
      <c r="D91" s="1130">
        <v>0</v>
      </c>
      <c r="E91" s="1130">
        <v>0</v>
      </c>
      <c r="F91" s="1130">
        <v>0</v>
      </c>
      <c r="G91" s="1130">
        <v>0</v>
      </c>
      <c r="H91" s="1130">
        <v>0</v>
      </c>
      <c r="I91" s="1130">
        <v>0</v>
      </c>
      <c r="J91" s="1130">
        <v>0</v>
      </c>
      <c r="K91" s="1130">
        <v>-266078.24708164105</v>
      </c>
      <c r="L91" s="1130">
        <v>-266057.63103164104</v>
      </c>
      <c r="M91" s="1130">
        <v>-266048.80273164104</v>
      </c>
      <c r="N91" s="1130">
        <v>-266026.71768164105</v>
      </c>
      <c r="O91" s="1130">
        <v>-63605.808272407856</v>
      </c>
      <c r="P91" s="1130">
        <v>-63605.808272407856</v>
      </c>
      <c r="Q91" s="1130">
        <v>-63605.808272407856</v>
      </c>
      <c r="R91" s="1130">
        <v>-63605.808272407863</v>
      </c>
      <c r="S91" s="1130">
        <v>-63605.808272407863</v>
      </c>
      <c r="T91" s="1130">
        <v>-63605.80827240787</v>
      </c>
      <c r="U91" s="1130">
        <v>-63605.80827240787</v>
      </c>
      <c r="V91" s="1130">
        <v>-63605.80827240787</v>
      </c>
      <c r="W91" s="1130">
        <v>-63605.80827240787</v>
      </c>
      <c r="X91" s="1130">
        <v>-63605.80827240787</v>
      </c>
      <c r="Y91" s="1130">
        <v>-63605.80827240787</v>
      </c>
      <c r="Z91" s="1130">
        <v>-62885.824072407879</v>
      </c>
      <c r="AA91" s="1130">
        <v>-762549.71506889432</v>
      </c>
    </row>
    <row r="92" spans="1:27" hidden="1">
      <c r="A92" s="1124" t="s">
        <v>1171</v>
      </c>
      <c r="B92" s="1130">
        <v>-3064790</v>
      </c>
      <c r="C92" s="1130">
        <v>-122596</v>
      </c>
      <c r="D92" s="1130">
        <v>-101399</v>
      </c>
      <c r="E92" s="1130">
        <v>-111998</v>
      </c>
      <c r="F92" s="1130">
        <v>-111998</v>
      </c>
      <c r="G92" s="1130">
        <v>-111999</v>
      </c>
      <c r="H92" s="1130">
        <v>-112002</v>
      </c>
      <c r="I92" s="1130">
        <v>-112000</v>
      </c>
      <c r="J92" s="1130">
        <v>-112004</v>
      </c>
      <c r="K92" s="1130">
        <v>0</v>
      </c>
      <c r="L92" s="1130">
        <v>0</v>
      </c>
      <c r="M92" s="1130">
        <v>0</v>
      </c>
      <c r="N92" s="1130">
        <v>0</v>
      </c>
      <c r="O92" s="1130">
        <v>0</v>
      </c>
      <c r="P92" s="1130">
        <v>0</v>
      </c>
      <c r="Q92" s="1130">
        <v>0</v>
      </c>
      <c r="R92" s="1130">
        <v>0</v>
      </c>
      <c r="S92" s="1130">
        <v>0</v>
      </c>
      <c r="T92" s="1130">
        <v>0</v>
      </c>
      <c r="U92" s="1130">
        <v>0</v>
      </c>
      <c r="V92" s="1130">
        <v>0</v>
      </c>
      <c r="W92" s="1130">
        <v>0</v>
      </c>
      <c r="X92" s="1130">
        <v>0</v>
      </c>
      <c r="Y92" s="1130">
        <v>0</v>
      </c>
      <c r="Z92" s="1130">
        <v>0</v>
      </c>
      <c r="AA92" s="1130">
        <v>0</v>
      </c>
    </row>
    <row r="93" spans="1:27" hidden="1">
      <c r="A93" s="1124" t="s">
        <v>1295</v>
      </c>
      <c r="B93" s="1130">
        <v>71410</v>
      </c>
      <c r="C93" s="1130">
        <v>0</v>
      </c>
      <c r="D93" s="1130">
        <v>0</v>
      </c>
      <c r="E93" s="1130">
        <v>0</v>
      </c>
      <c r="F93" s="1130">
        <v>0</v>
      </c>
      <c r="G93" s="1130">
        <v>0</v>
      </c>
      <c r="H93" s="1130">
        <v>0</v>
      </c>
      <c r="I93" s="1130">
        <v>0</v>
      </c>
      <c r="J93" s="1130">
        <v>0</v>
      </c>
      <c r="K93" s="1130">
        <v>0</v>
      </c>
      <c r="L93" s="1130">
        <v>0</v>
      </c>
      <c r="M93" s="1130">
        <v>0</v>
      </c>
      <c r="N93" s="1130">
        <v>0</v>
      </c>
      <c r="O93" s="1130">
        <v>0</v>
      </c>
      <c r="P93" s="1130">
        <v>0</v>
      </c>
      <c r="Q93" s="1130">
        <v>0</v>
      </c>
      <c r="R93" s="1130">
        <v>0</v>
      </c>
      <c r="S93" s="1130">
        <v>0</v>
      </c>
      <c r="T93" s="1130">
        <v>0</v>
      </c>
      <c r="U93" s="1130">
        <v>0</v>
      </c>
      <c r="V93" s="1130">
        <v>0</v>
      </c>
      <c r="W93" s="1130">
        <v>0</v>
      </c>
      <c r="X93" s="1130">
        <v>0</v>
      </c>
      <c r="Y93" s="1130">
        <v>0</v>
      </c>
      <c r="Z93" s="1130">
        <v>0</v>
      </c>
      <c r="AA93" s="1130">
        <v>0</v>
      </c>
    </row>
    <row r="94" spans="1:27" ht="15.6" hidden="1" thickBot="1">
      <c r="A94" s="1124" t="s">
        <v>1172</v>
      </c>
      <c r="B94" s="1130">
        <v>1795504</v>
      </c>
      <c r="C94" s="1130">
        <v>46432</v>
      </c>
      <c r="D94" s="1130">
        <v>41701</v>
      </c>
      <c r="E94" s="1130">
        <v>130339</v>
      </c>
      <c r="F94" s="1130">
        <v>50975</v>
      </c>
      <c r="G94" s="1130">
        <v>144355</v>
      </c>
      <c r="H94" s="1130">
        <v>42667</v>
      </c>
      <c r="I94" s="1130">
        <v>102187</v>
      </c>
      <c r="J94" s="1130">
        <v>186199</v>
      </c>
      <c r="K94" s="1130">
        <v>0</v>
      </c>
      <c r="L94" s="1130">
        <v>0</v>
      </c>
      <c r="M94" s="1130">
        <v>0</v>
      </c>
      <c r="N94" s="1130">
        <v>0</v>
      </c>
      <c r="O94" s="1130">
        <v>0</v>
      </c>
      <c r="P94" s="1130">
        <v>0</v>
      </c>
      <c r="Q94" s="1130">
        <v>0</v>
      </c>
      <c r="R94" s="1130">
        <v>0</v>
      </c>
      <c r="S94" s="1130">
        <v>0</v>
      </c>
      <c r="T94" s="1130">
        <v>0</v>
      </c>
      <c r="U94" s="1130">
        <v>0</v>
      </c>
      <c r="V94" s="1130">
        <v>0</v>
      </c>
      <c r="W94" s="1130">
        <v>0</v>
      </c>
      <c r="X94" s="1130">
        <v>0</v>
      </c>
      <c r="Y94" s="1130">
        <v>0</v>
      </c>
      <c r="Z94" s="1130">
        <v>0</v>
      </c>
      <c r="AA94" s="1130">
        <v>0</v>
      </c>
    </row>
    <row r="95" spans="1:27" hidden="1">
      <c r="A95" s="1123" t="s">
        <v>1173</v>
      </c>
      <c r="B95" s="1136"/>
      <c r="C95" s="1136"/>
      <c r="D95" s="1136"/>
      <c r="E95" s="1136"/>
      <c r="F95" s="1136"/>
      <c r="G95" s="1136"/>
      <c r="H95" s="1136"/>
      <c r="I95" s="1136"/>
      <c r="J95" s="1136"/>
      <c r="K95" s="1136"/>
      <c r="L95" s="1136"/>
      <c r="M95" s="1136"/>
      <c r="N95" s="1136"/>
      <c r="O95" s="1136"/>
      <c r="P95" s="1136"/>
      <c r="Q95" s="1136"/>
      <c r="R95" s="1136"/>
      <c r="S95" s="1136"/>
      <c r="T95" s="1136"/>
      <c r="U95" s="1136"/>
      <c r="V95" s="1136"/>
      <c r="W95" s="1136"/>
      <c r="X95" s="1136"/>
      <c r="Y95" s="1136"/>
      <c r="Z95" s="1136"/>
      <c r="AA95" s="1136"/>
    </row>
    <row r="96" spans="1:27" hidden="1">
      <c r="A96" s="1124" t="s">
        <v>1149</v>
      </c>
      <c r="B96" s="1130">
        <v>13964062.809999986</v>
      </c>
      <c r="C96" s="1130">
        <v>1029594.6399999959</v>
      </c>
      <c r="D96" s="1130">
        <v>1103540.5400000042</v>
      </c>
      <c r="E96" s="1130">
        <v>1120072.2300000023</v>
      </c>
      <c r="F96" s="1130">
        <v>1041221.8800000018</v>
      </c>
      <c r="G96" s="1130">
        <v>921474.23999999743</v>
      </c>
      <c r="H96" s="1130">
        <v>1483162.7400000058</v>
      </c>
      <c r="I96" s="1130">
        <v>1169142.3700000001</v>
      </c>
      <c r="J96" s="1130">
        <v>1191322.3399999971</v>
      </c>
      <c r="K96" s="1130">
        <v>1166854.8119719326</v>
      </c>
      <c r="L96" s="1130">
        <v>1224465.5582274962</v>
      </c>
      <c r="M96" s="1130">
        <v>1125681.5890517579</v>
      </c>
      <c r="N96" s="1130">
        <v>73390.983680034056</v>
      </c>
      <c r="O96" s="1130">
        <v>1431039.0757236267</v>
      </c>
      <c r="P96" s="1130">
        <v>1832735.2292808178</v>
      </c>
      <c r="Q96" s="1130">
        <v>1477804.2394766649</v>
      </c>
      <c r="R96" s="1130">
        <v>1350700.142029292</v>
      </c>
      <c r="S96" s="1130">
        <v>1474616.1847013216</v>
      </c>
      <c r="T96" s="1130">
        <v>1367983.7054290529</v>
      </c>
      <c r="U96" s="1130">
        <v>1425011.8329998273</v>
      </c>
      <c r="V96" s="1130">
        <v>1441458.6151877483</v>
      </c>
      <c r="W96" s="1130">
        <v>1278768.284894364</v>
      </c>
      <c r="X96" s="1130">
        <v>-1977601.0415818971</v>
      </c>
      <c r="Y96" s="1130">
        <v>1211221.6947341636</v>
      </c>
      <c r="Z96" s="1130">
        <v>1103347.3927763486</v>
      </c>
      <c r="AA96" s="1130">
        <v>13417085.35565133</v>
      </c>
    </row>
    <row r="97" spans="1:27" hidden="1">
      <c r="A97" s="1123" t="s">
        <v>1174</v>
      </c>
      <c r="B97" s="1130"/>
      <c r="C97" s="1130"/>
      <c r="D97" s="1130"/>
      <c r="E97" s="1130"/>
      <c r="F97" s="1130"/>
      <c r="G97" s="1130"/>
      <c r="H97" s="1130"/>
      <c r="I97" s="1130"/>
      <c r="J97" s="1130"/>
      <c r="K97" s="1130"/>
      <c r="L97" s="1130"/>
      <c r="M97" s="1130"/>
      <c r="N97" s="1130"/>
      <c r="O97" s="1130"/>
      <c r="P97" s="1130"/>
      <c r="Q97" s="1130"/>
      <c r="R97" s="1130"/>
      <c r="S97" s="1130"/>
      <c r="T97" s="1130"/>
      <c r="U97" s="1130"/>
      <c r="V97" s="1130"/>
      <c r="W97" s="1130"/>
      <c r="X97" s="1130"/>
      <c r="Y97" s="1130"/>
      <c r="Z97" s="1130"/>
      <c r="AA97" s="1130"/>
    </row>
    <row r="98" spans="1:27" hidden="1">
      <c r="A98" s="1124" t="s">
        <v>1149</v>
      </c>
      <c r="B98" s="1130">
        <v>-363.87999999872409</v>
      </c>
      <c r="C98" s="1130">
        <v>0</v>
      </c>
      <c r="D98" s="1130">
        <v>0</v>
      </c>
      <c r="E98" s="1130">
        <v>332.91000000108033</v>
      </c>
      <c r="F98" s="1130">
        <v>0</v>
      </c>
      <c r="G98" s="1130">
        <v>0</v>
      </c>
      <c r="H98" s="1130">
        <v>2889.910000001546</v>
      </c>
      <c r="I98" s="1130">
        <v>0</v>
      </c>
      <c r="J98" s="1130">
        <v>0</v>
      </c>
      <c r="K98" s="1130">
        <v>0</v>
      </c>
      <c r="L98" s="1130">
        <v>0</v>
      </c>
      <c r="M98" s="1130">
        <v>0</v>
      </c>
      <c r="N98" s="1130">
        <v>0</v>
      </c>
      <c r="O98" s="1130">
        <v>0</v>
      </c>
      <c r="P98" s="1130">
        <v>0</v>
      </c>
      <c r="Q98" s="1130">
        <v>0</v>
      </c>
      <c r="R98" s="1130">
        <v>0</v>
      </c>
      <c r="S98" s="1130">
        <v>0</v>
      </c>
      <c r="T98" s="1130">
        <v>0</v>
      </c>
      <c r="U98" s="1130">
        <v>0</v>
      </c>
      <c r="V98" s="1130">
        <v>0</v>
      </c>
      <c r="W98" s="1130">
        <v>0</v>
      </c>
      <c r="X98" s="1130">
        <v>0</v>
      </c>
      <c r="Y98" s="1130">
        <v>0</v>
      </c>
      <c r="Z98" s="1130">
        <v>0</v>
      </c>
      <c r="AA98" s="1130">
        <v>0</v>
      </c>
    </row>
    <row r="99" spans="1:27" ht="15.6" hidden="1" thickBot="1">
      <c r="A99" s="1122" t="s">
        <v>187</v>
      </c>
      <c r="B99" s="1130"/>
      <c r="C99" s="1130"/>
      <c r="D99" s="1130"/>
      <c r="E99" s="1130"/>
      <c r="F99" s="1130"/>
      <c r="G99" s="1130"/>
      <c r="H99" s="1130"/>
      <c r="I99" s="1130"/>
      <c r="J99" s="1130"/>
      <c r="K99" s="1130"/>
      <c r="L99" s="1130"/>
      <c r="M99" s="1130"/>
      <c r="N99" s="1130"/>
      <c r="O99" s="1130"/>
      <c r="P99" s="1130"/>
      <c r="Q99" s="1130"/>
      <c r="R99" s="1130"/>
      <c r="S99" s="1130"/>
      <c r="T99" s="1130"/>
      <c r="U99" s="1130"/>
      <c r="V99" s="1130"/>
      <c r="W99" s="1130"/>
      <c r="X99" s="1130"/>
      <c r="Y99" s="1130"/>
      <c r="Z99" s="1130"/>
      <c r="AA99" s="1130"/>
    </row>
    <row r="100" spans="1:27" ht="15.6" hidden="1" thickBot="1">
      <c r="A100" s="1123" t="s">
        <v>187</v>
      </c>
      <c r="B100" s="1125"/>
      <c r="C100" s="1125"/>
      <c r="D100" s="1125"/>
      <c r="E100" s="1125"/>
      <c r="F100" s="1125"/>
      <c r="G100" s="1125"/>
      <c r="H100" s="1125"/>
      <c r="I100" s="1125"/>
      <c r="J100" s="1125"/>
      <c r="K100" s="1125"/>
      <c r="L100" s="1125"/>
      <c r="M100" s="1125"/>
      <c r="N100" s="1125"/>
      <c r="O100" s="1125"/>
      <c r="P100" s="1125"/>
      <c r="Q100" s="1125"/>
      <c r="R100" s="1125"/>
      <c r="S100" s="1125"/>
      <c r="T100" s="1125"/>
      <c r="U100" s="1125"/>
      <c r="V100" s="1125"/>
      <c r="W100" s="1125"/>
      <c r="X100" s="1125"/>
      <c r="Y100" s="1125"/>
      <c r="Z100" s="1125"/>
      <c r="AA100" s="1125"/>
    </row>
    <row r="101" spans="1:27" ht="15.6" hidden="1" thickTop="1">
      <c r="A101" s="1124" t="s">
        <v>1149</v>
      </c>
      <c r="B101" s="1130">
        <v>13964062.809999986</v>
      </c>
      <c r="C101" s="1130">
        <v>1029594.6399999959</v>
      </c>
      <c r="D101" s="1130">
        <v>1103540.5400000042</v>
      </c>
      <c r="E101" s="1130">
        <v>1120072.2300000023</v>
      </c>
      <c r="F101" s="1130">
        <v>1041221.8800000018</v>
      </c>
      <c r="G101" s="1130">
        <v>921474.23999999743</v>
      </c>
      <c r="H101" s="1130">
        <v>1483162.7400000058</v>
      </c>
      <c r="I101" s="1130">
        <v>1169142.3700000001</v>
      </c>
      <c r="J101" s="1130">
        <v>1191322.3399999971</v>
      </c>
      <c r="K101" s="1130">
        <v>1166854.8119719326</v>
      </c>
      <c r="L101" s="1130">
        <v>1224465.5582274962</v>
      </c>
      <c r="M101" s="1130">
        <v>1125681.5890517579</v>
      </c>
      <c r="N101" s="1130">
        <v>73390.983680034056</v>
      </c>
      <c r="O101" s="1130">
        <v>1431039.0757236267</v>
      </c>
      <c r="P101" s="1130">
        <v>1832735.2292808178</v>
      </c>
      <c r="Q101" s="1130">
        <v>1477804.2394766649</v>
      </c>
      <c r="R101" s="1130">
        <v>1350700.142029292</v>
      </c>
      <c r="S101" s="1130">
        <v>1474616.1847013216</v>
      </c>
      <c r="T101" s="1130">
        <v>1367983.7054290529</v>
      </c>
      <c r="U101" s="1130">
        <v>1425011.8329998273</v>
      </c>
      <c r="V101" s="1130">
        <v>1441458.6151877483</v>
      </c>
      <c r="W101" s="1130">
        <v>1278768.284894364</v>
      </c>
      <c r="X101" s="1130">
        <v>-1977601.0415818971</v>
      </c>
      <c r="Y101" s="1130">
        <v>1211221.6947341636</v>
      </c>
      <c r="Z101" s="1130">
        <v>1103347.3927763486</v>
      </c>
      <c r="AA101" s="1130">
        <v>13417085.35565133</v>
      </c>
    </row>
    <row r="102" spans="1:27" hidden="1"/>
    <row r="103" spans="1:27" hidden="1"/>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589A88-12AD-45B3-A005-E6834976111C}">
  <sheetPr>
    <tabColor rgb="FFFF0000"/>
  </sheetPr>
  <dimension ref="A1"/>
  <sheetViews>
    <sheetView workbookViewId="0">
      <selection activeCell="AI51" sqref="AI51"/>
    </sheetView>
  </sheetViews>
  <sheetFormatPr defaultRowHeight="15"/>
  <sheetData/>
  <pageMargins left="0.7" right="0.7" top="0.75" bottom="0.75" header="0.3" footer="0.3"/>
  <customProperties>
    <customPr name="_pios_id" r:id="rId1"/>
  </customPropertie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A53934-FF10-4C5E-BBAC-E4FC8E730A50}">
  <dimension ref="B2:BB48"/>
  <sheetViews>
    <sheetView topLeftCell="B1" workbookViewId="0">
      <pane xSplit="3" ySplit="5" topLeftCell="E6" activePane="bottomRight" state="frozen"/>
      <selection activeCell="AI51" sqref="AI51"/>
      <selection pane="topRight" activeCell="AI51" sqref="AI51"/>
      <selection pane="bottomLeft" activeCell="AI51" sqref="AI51"/>
      <selection pane="bottomRight" activeCell="AI51" sqref="AI51"/>
    </sheetView>
  </sheetViews>
  <sheetFormatPr defaultRowHeight="15"/>
  <cols>
    <col min="2" max="2" width="44.36328125" bestFit="1" customWidth="1"/>
    <col min="3" max="3" width="8.36328125" bestFit="1" customWidth="1"/>
    <col min="4" max="4" width="17.1796875" bestFit="1" customWidth="1"/>
    <col min="5" max="5" width="21.453125" customWidth="1"/>
    <col min="6" max="11" width="9.81640625" customWidth="1"/>
    <col min="12" max="16" width="9.81640625" hidden="1" customWidth="1"/>
    <col min="17" max="17" width="13.81640625" hidden="1" customWidth="1"/>
    <col min="18" max="21" width="9.81640625" customWidth="1"/>
    <col min="22" max="22" width="9.81640625" bestFit="1" customWidth="1"/>
    <col min="23" max="23" width="9.81640625" customWidth="1"/>
    <col min="24" max="35" width="9.81640625" bestFit="1" customWidth="1"/>
    <col min="36" max="36" width="13.81640625" bestFit="1" customWidth="1"/>
    <col min="37" max="40" width="8.1796875" bestFit="1" customWidth="1"/>
    <col min="41" max="42" width="9.81640625" bestFit="1" customWidth="1"/>
    <col min="43" max="53" width="8.1796875" bestFit="1" customWidth="1"/>
    <col min="54" max="54" width="9.81640625" bestFit="1" customWidth="1"/>
  </cols>
  <sheetData>
    <row r="2" spans="2:54">
      <c r="B2" s="1075" t="s">
        <v>187</v>
      </c>
      <c r="C2" s="1075" t="s">
        <v>187</v>
      </c>
      <c r="D2" s="1075" t="s">
        <v>1005</v>
      </c>
      <c r="E2" s="1076" t="s">
        <v>1006</v>
      </c>
      <c r="F2" s="1066"/>
      <c r="G2" s="1066"/>
      <c r="H2" s="1066"/>
      <c r="I2" s="1066"/>
      <c r="J2" s="1066"/>
      <c r="K2" s="1066"/>
      <c r="L2" s="1066"/>
      <c r="M2" s="1066"/>
      <c r="N2" s="1066"/>
      <c r="O2" s="1066"/>
      <c r="P2" s="1066"/>
      <c r="Q2" s="1066"/>
      <c r="R2" s="1066"/>
      <c r="S2" s="1066"/>
      <c r="T2" s="1066"/>
      <c r="U2" s="1066"/>
      <c r="V2" s="1066"/>
      <c r="W2" s="1066"/>
      <c r="X2" s="1066"/>
      <c r="Y2" s="1066"/>
      <c r="Z2" s="1066"/>
      <c r="AA2" s="1066"/>
      <c r="AB2" s="1066"/>
      <c r="AC2" s="1066"/>
      <c r="AD2" s="1066"/>
      <c r="AE2" s="1066"/>
      <c r="AF2" s="1066"/>
      <c r="AG2" s="1066"/>
      <c r="AH2" s="1066"/>
      <c r="AI2" s="1066"/>
      <c r="AJ2" s="1066"/>
      <c r="AK2" s="1066"/>
      <c r="AL2" s="1066"/>
      <c r="AM2" s="1066"/>
      <c r="AN2" s="1066"/>
      <c r="AO2" s="1066"/>
      <c r="AP2" s="1066"/>
      <c r="AQ2" s="1066"/>
      <c r="AR2" s="1066"/>
      <c r="AS2" s="1066"/>
      <c r="AT2" s="1066"/>
      <c r="AU2" s="1066"/>
      <c r="AV2" s="1066"/>
      <c r="AW2" s="1066"/>
      <c r="AX2" s="1066"/>
      <c r="AY2" s="1066"/>
      <c r="AZ2" s="1066"/>
      <c r="BA2" s="1066"/>
      <c r="BB2" s="1066"/>
    </row>
    <row r="3" spans="2:54">
      <c r="B3" s="1075" t="s">
        <v>187</v>
      </c>
      <c r="C3" s="1075" t="s">
        <v>187</v>
      </c>
      <c r="D3" s="1075" t="s">
        <v>1007</v>
      </c>
      <c r="E3" s="1077" t="s">
        <v>1008</v>
      </c>
      <c r="F3" s="1069"/>
      <c r="G3" s="1069"/>
      <c r="H3" s="1069"/>
      <c r="I3" s="1069"/>
      <c r="J3" s="1069"/>
      <c r="K3" s="1069"/>
      <c r="L3" s="1069"/>
      <c r="M3" s="1069"/>
      <c r="N3" s="1069"/>
      <c r="O3" s="1069"/>
      <c r="P3" s="1069"/>
      <c r="Q3" s="1069"/>
      <c r="R3" s="1069"/>
      <c r="S3" s="1069"/>
      <c r="T3" s="1069"/>
      <c r="U3" s="1069"/>
      <c r="V3" s="1069"/>
      <c r="W3" s="1069"/>
      <c r="X3" s="1069"/>
      <c r="Y3" s="1069"/>
      <c r="Z3" s="1069"/>
      <c r="AA3" s="1069"/>
      <c r="AB3" s="1069"/>
      <c r="AC3" s="1069"/>
      <c r="AD3" s="1069"/>
      <c r="AE3" s="1069"/>
      <c r="AF3" s="1069"/>
      <c r="AG3" s="1069"/>
      <c r="AH3" s="1069"/>
      <c r="AI3" s="1069"/>
      <c r="AJ3" s="1069"/>
      <c r="AK3" s="1069"/>
      <c r="AL3" s="1069"/>
      <c r="AM3" s="1069"/>
      <c r="AN3" s="1069"/>
      <c r="AO3" s="1069"/>
      <c r="AP3" s="1069"/>
      <c r="AQ3" s="1069"/>
      <c r="AR3" s="1069"/>
      <c r="AS3" s="1069"/>
      <c r="AT3" s="1069"/>
      <c r="AU3" s="1069"/>
      <c r="AV3" s="1069"/>
      <c r="AW3" s="1069"/>
      <c r="AX3" s="1069"/>
      <c r="AY3" s="1069"/>
      <c r="AZ3" s="1069"/>
      <c r="BA3" s="1069"/>
      <c r="BB3" s="1069"/>
    </row>
    <row r="4" spans="2:54" ht="21">
      <c r="B4" s="1075" t="s">
        <v>187</v>
      </c>
      <c r="C4" s="1075" t="s">
        <v>187</v>
      </c>
      <c r="D4" s="1075" t="s">
        <v>187</v>
      </c>
      <c r="E4" s="1076" t="s">
        <v>1009</v>
      </c>
      <c r="F4" s="1066"/>
      <c r="G4" s="1066"/>
      <c r="H4" s="1066"/>
      <c r="I4" s="1066"/>
      <c r="J4" s="1066"/>
      <c r="K4" s="1066"/>
      <c r="L4" s="1066"/>
      <c r="M4" s="1066"/>
      <c r="N4" s="1066"/>
      <c r="O4" s="1066"/>
      <c r="P4" s="1066"/>
      <c r="Q4" s="1076" t="s">
        <v>1010</v>
      </c>
      <c r="R4" s="1066"/>
      <c r="S4" s="1066"/>
      <c r="T4" s="1066"/>
      <c r="U4" s="1066"/>
      <c r="V4" s="1066"/>
      <c r="W4" s="1066"/>
      <c r="X4" s="1066"/>
      <c r="Y4" s="1066"/>
      <c r="Z4" s="1066"/>
      <c r="AA4" s="1066"/>
      <c r="AB4" s="1066"/>
      <c r="AC4" s="1066"/>
      <c r="AD4" s="1066"/>
      <c r="AE4" s="1066"/>
      <c r="AF4" s="1066"/>
      <c r="AG4" s="1066"/>
      <c r="AH4" s="1066"/>
      <c r="AI4" s="1066"/>
      <c r="AJ4" s="1078" t="s">
        <v>1011</v>
      </c>
      <c r="AK4" s="1066"/>
      <c r="AL4" s="1066"/>
      <c r="AM4" s="1066"/>
      <c r="AN4" s="1066"/>
      <c r="AO4" s="1066"/>
      <c r="AP4" s="1066"/>
      <c r="AQ4" s="1066"/>
      <c r="AR4" s="1066"/>
      <c r="AS4" s="1066"/>
      <c r="AT4" s="1066"/>
      <c r="AU4" s="1066"/>
      <c r="AV4" s="1066"/>
      <c r="AW4" s="1066"/>
      <c r="AX4" s="1066"/>
      <c r="AY4" s="1066"/>
      <c r="AZ4" s="1066"/>
      <c r="BA4" s="1066"/>
      <c r="BB4" s="1066"/>
    </row>
    <row r="5" spans="2:54">
      <c r="B5" s="1075" t="s">
        <v>1012</v>
      </c>
      <c r="C5" s="1075" t="s">
        <v>1013</v>
      </c>
      <c r="D5" s="1075" t="s">
        <v>1014</v>
      </c>
      <c r="E5" s="1076" t="s">
        <v>1015</v>
      </c>
      <c r="F5" s="1076" t="s">
        <v>1016</v>
      </c>
      <c r="G5" s="1076" t="s">
        <v>1017</v>
      </c>
      <c r="H5" s="1076" t="s">
        <v>1018</v>
      </c>
      <c r="I5" s="1076" t="s">
        <v>1019</v>
      </c>
      <c r="J5" s="1076" t="s">
        <v>1020</v>
      </c>
      <c r="K5" s="1076" t="s">
        <v>1021</v>
      </c>
      <c r="L5" s="1076" t="s">
        <v>1022</v>
      </c>
      <c r="M5" s="1076" t="s">
        <v>1023</v>
      </c>
      <c r="N5" s="1076" t="s">
        <v>1024</v>
      </c>
      <c r="O5" s="1076" t="s">
        <v>1025</v>
      </c>
      <c r="P5" s="1076" t="s">
        <v>1026</v>
      </c>
      <c r="Q5" s="1076" t="s">
        <v>1021</v>
      </c>
      <c r="R5" s="1076" t="s">
        <v>1022</v>
      </c>
      <c r="S5" s="1076" t="s">
        <v>1023</v>
      </c>
      <c r="T5" s="1076" t="s">
        <v>1024</v>
      </c>
      <c r="U5" s="1076" t="s">
        <v>1025</v>
      </c>
      <c r="V5" s="1076" t="s">
        <v>1026</v>
      </c>
      <c r="W5" s="1076" t="s">
        <v>1069</v>
      </c>
      <c r="X5" s="1076" t="s">
        <v>1070</v>
      </c>
      <c r="Y5" s="1076" t="s">
        <v>1071</v>
      </c>
      <c r="Z5" s="1076" t="s">
        <v>1072</v>
      </c>
      <c r="AA5" s="1076" t="s">
        <v>1073</v>
      </c>
      <c r="AB5" s="1076" t="s">
        <v>1074</v>
      </c>
      <c r="AC5" s="1076" t="s">
        <v>1075</v>
      </c>
      <c r="AD5" s="1076" t="s">
        <v>1076</v>
      </c>
      <c r="AE5" s="1076" t="s">
        <v>1077</v>
      </c>
      <c r="AF5" s="1076" t="s">
        <v>1078</v>
      </c>
      <c r="AG5" s="1076" t="s">
        <v>1079</v>
      </c>
      <c r="AH5" s="1076" t="s">
        <v>1080</v>
      </c>
      <c r="AI5" s="1076" t="s">
        <v>1081</v>
      </c>
      <c r="AJ5" s="1076" t="s">
        <v>1021</v>
      </c>
      <c r="AK5" s="1076" t="s">
        <v>1022</v>
      </c>
      <c r="AL5" s="1076" t="s">
        <v>1023</v>
      </c>
      <c r="AM5" s="1076" t="s">
        <v>1024</v>
      </c>
      <c r="AN5" s="1076" t="s">
        <v>1025</v>
      </c>
      <c r="AO5" s="1076" t="s">
        <v>1026</v>
      </c>
      <c r="AP5" s="1076" t="s">
        <v>1069</v>
      </c>
      <c r="AQ5" s="1076" t="s">
        <v>1070</v>
      </c>
      <c r="AR5" s="1076" t="s">
        <v>1071</v>
      </c>
      <c r="AS5" s="1076" t="s">
        <v>1072</v>
      </c>
      <c r="AT5" s="1076" t="s">
        <v>1073</v>
      </c>
      <c r="AU5" s="1076" t="s">
        <v>1074</v>
      </c>
      <c r="AV5" s="1076" t="s">
        <v>1075</v>
      </c>
      <c r="AW5" s="1076" t="s">
        <v>1076</v>
      </c>
      <c r="AX5" s="1076" t="s">
        <v>1077</v>
      </c>
      <c r="AY5" s="1076" t="s">
        <v>1078</v>
      </c>
      <c r="AZ5" s="1076" t="s">
        <v>1079</v>
      </c>
      <c r="BA5" s="1076" t="s">
        <v>1080</v>
      </c>
      <c r="BB5" s="1076" t="s">
        <v>1081</v>
      </c>
    </row>
    <row r="6" spans="2:54">
      <c r="B6" s="1079" t="s">
        <v>1027</v>
      </c>
      <c r="C6" s="1076" t="s">
        <v>1028</v>
      </c>
      <c r="D6" s="1076" t="s">
        <v>1029</v>
      </c>
      <c r="E6" s="1067">
        <v>6272235.3399999999</v>
      </c>
      <c r="F6" s="1067">
        <v>8033699.0499999998</v>
      </c>
      <c r="G6" s="1067">
        <v>9726014.8800000008</v>
      </c>
      <c r="H6" s="1067">
        <v>13502681.4</v>
      </c>
      <c r="I6" s="1067">
        <v>3976039.83</v>
      </c>
      <c r="J6" s="1067">
        <v>6436920.8300000001</v>
      </c>
      <c r="K6" s="1067">
        <v>9267853.8300000001</v>
      </c>
      <c r="L6" s="1067">
        <v>9267853.8300000001</v>
      </c>
      <c r="M6" s="1067">
        <v>9267853.8300000001</v>
      </c>
      <c r="N6" s="1067">
        <v>9267853.8300000001</v>
      </c>
      <c r="O6" s="1067">
        <v>9267853.8300000001</v>
      </c>
      <c r="P6" s="1067">
        <v>9267853.8300000001</v>
      </c>
      <c r="Q6" s="1067">
        <v>1999999.9997719999</v>
      </c>
      <c r="R6" s="1067">
        <v>1999999.9997719999</v>
      </c>
      <c r="S6" s="1067">
        <v>1999999.9989439</v>
      </c>
      <c r="T6" s="1067">
        <v>1999999.9989437</v>
      </c>
      <c r="U6" s="1067">
        <v>1999999.9989438001</v>
      </c>
      <c r="V6" s="1067">
        <v>1999999.9982012</v>
      </c>
      <c r="W6" s="1067">
        <v>1999999.9982012</v>
      </c>
      <c r="X6" s="1067">
        <v>1999999.9982012</v>
      </c>
      <c r="Y6" s="1067">
        <v>1999999.9982012</v>
      </c>
      <c r="Z6" s="1067">
        <v>1999999.9977172001</v>
      </c>
      <c r="AA6" s="1067">
        <v>1999999.9977173</v>
      </c>
      <c r="AB6" s="1067">
        <v>1999999.9977174001</v>
      </c>
      <c r="AC6" s="1067">
        <v>1999999.9972701999</v>
      </c>
      <c r="AD6" s="1067">
        <v>1999999.9972701999</v>
      </c>
      <c r="AE6" s="1067">
        <v>1999999.9972703001</v>
      </c>
      <c r="AF6" s="1067">
        <v>1999999.9967085</v>
      </c>
      <c r="AG6" s="1067">
        <v>1999999.9967085</v>
      </c>
      <c r="AH6" s="1067">
        <v>1999999.9967084001</v>
      </c>
      <c r="AI6" s="1067">
        <v>1999999.9945208</v>
      </c>
      <c r="AJ6" s="1067">
        <v>-9.9999999999999995E-8</v>
      </c>
      <c r="AK6" s="1067"/>
      <c r="AL6" s="1067">
        <v>-8.2810000000000002E-4</v>
      </c>
      <c r="AM6" s="1067">
        <v>-1.9999999999999999E-7</v>
      </c>
      <c r="AN6" s="1067">
        <v>9.9999999999999995E-8</v>
      </c>
      <c r="AO6" s="1067">
        <v>-7.4260000000000005E-4</v>
      </c>
      <c r="AP6" s="1067">
        <v>1999999.9982012</v>
      </c>
      <c r="AQ6" s="1067"/>
      <c r="AR6" s="1067"/>
      <c r="AS6" s="1067">
        <v>-4.84E-4</v>
      </c>
      <c r="AT6" s="1067">
        <v>9.9999999999999995E-8</v>
      </c>
      <c r="AU6" s="1067">
        <v>9.9999999999999995E-8</v>
      </c>
      <c r="AV6" s="1067">
        <v>-4.4719999999999997E-4</v>
      </c>
      <c r="AW6" s="1067"/>
      <c r="AX6" s="1067">
        <v>9.9999999999999995E-8</v>
      </c>
      <c r="AY6" s="1067">
        <v>-5.6179999999999999E-4</v>
      </c>
      <c r="AZ6" s="1067"/>
      <c r="BA6" s="1067">
        <v>-9.9999999999999995E-8</v>
      </c>
      <c r="BB6" s="1072">
        <v>-2.1876E-3</v>
      </c>
    </row>
    <row r="7" spans="2:54">
      <c r="B7" s="1079" t="s">
        <v>1030</v>
      </c>
      <c r="C7" s="1076" t="s">
        <v>1028</v>
      </c>
      <c r="D7" s="1076" t="s">
        <v>1029</v>
      </c>
      <c r="E7" s="1067">
        <v>3750458.06</v>
      </c>
      <c r="F7" s="1067">
        <v>4032370.15</v>
      </c>
      <c r="G7" s="1067">
        <v>5006233.8899999997</v>
      </c>
      <c r="H7" s="1067">
        <v>2802921.6</v>
      </c>
      <c r="I7" s="1067">
        <v>2784915.09</v>
      </c>
      <c r="J7" s="1067">
        <v>3257181.92</v>
      </c>
      <c r="K7" s="1067">
        <v>4983041.53</v>
      </c>
      <c r="L7" s="1067">
        <v>4983041.53</v>
      </c>
      <c r="M7" s="1067">
        <v>4983041.53</v>
      </c>
      <c r="N7" s="1067">
        <v>4983041.53</v>
      </c>
      <c r="O7" s="1067">
        <v>4983041.53</v>
      </c>
      <c r="P7" s="1067">
        <v>4983041.53</v>
      </c>
      <c r="Q7" s="1067">
        <v>4550504.3760019997</v>
      </c>
      <c r="R7" s="1067">
        <v>4550504.3760019997</v>
      </c>
      <c r="S7" s="1067">
        <v>4405704.6803245004</v>
      </c>
      <c r="T7" s="1067">
        <v>4550504.3760019997</v>
      </c>
      <c r="U7" s="1067">
        <v>4405704.6803245004</v>
      </c>
      <c r="V7" s="1067">
        <v>4550504.3760019997</v>
      </c>
      <c r="W7" s="1067">
        <v>4550504.3760019997</v>
      </c>
      <c r="X7" s="1067">
        <v>4995243.7547199996</v>
      </c>
      <c r="Y7" s="1067">
        <v>4511833.0687793996</v>
      </c>
      <c r="Z7" s="1067">
        <v>4995243.7547199996</v>
      </c>
      <c r="AA7" s="1067">
        <v>4834106.8594065001</v>
      </c>
      <c r="AB7" s="1067">
        <v>4995243.7547199996</v>
      </c>
      <c r="AC7" s="1067">
        <v>4834106.8594065001</v>
      </c>
      <c r="AD7" s="1067">
        <v>4995243.7547199996</v>
      </c>
      <c r="AE7" s="1067">
        <v>4995243.7547199996</v>
      </c>
      <c r="AF7" s="1067">
        <v>4834106.8594065001</v>
      </c>
      <c r="AG7" s="1067">
        <v>4995243.7547199996</v>
      </c>
      <c r="AH7" s="1067">
        <v>4834106.8594065001</v>
      </c>
      <c r="AI7" s="1067">
        <v>4995243.7547199996</v>
      </c>
      <c r="AJ7" s="1067">
        <v>206513.50567750001</v>
      </c>
      <c r="AK7" s="1067"/>
      <c r="AL7" s="1067">
        <v>-144799.69567750001</v>
      </c>
      <c r="AM7" s="1067">
        <v>144799.69567750001</v>
      </c>
      <c r="AN7" s="1067">
        <v>-144799.69567750001</v>
      </c>
      <c r="AO7" s="1067">
        <v>144799.69567750001</v>
      </c>
      <c r="AP7" s="1067">
        <v>4550504.3760019997</v>
      </c>
      <c r="AQ7" s="1067">
        <v>444739.37871800002</v>
      </c>
      <c r="AR7" s="1067">
        <v>-483410.6859406</v>
      </c>
      <c r="AS7" s="1067">
        <v>483410.6859406</v>
      </c>
      <c r="AT7" s="1067">
        <v>-161136.89531349999</v>
      </c>
      <c r="AU7" s="1067">
        <v>161136.89531349999</v>
      </c>
      <c r="AV7" s="1067">
        <v>-161136.89531349999</v>
      </c>
      <c r="AW7" s="1067">
        <v>161136.89531349999</v>
      </c>
      <c r="AX7" s="1067"/>
      <c r="AY7" s="1067">
        <v>-161136.89531349999</v>
      </c>
      <c r="AZ7" s="1067">
        <v>161136.89531349999</v>
      </c>
      <c r="BA7" s="1067">
        <v>-161136.89531349999</v>
      </c>
      <c r="BB7" s="1072">
        <v>161136.89531349999</v>
      </c>
    </row>
    <row r="8" spans="2:54">
      <c r="B8" s="1079" t="s">
        <v>1031</v>
      </c>
      <c r="C8" s="1076" t="s">
        <v>1028</v>
      </c>
      <c r="D8" s="1076" t="s">
        <v>1029</v>
      </c>
      <c r="E8" s="1067">
        <v>13658406.93</v>
      </c>
      <c r="F8" s="1067">
        <v>12416733.58</v>
      </c>
      <c r="G8" s="1067">
        <v>11175060.23</v>
      </c>
      <c r="H8" s="1067">
        <v>9933386.8800000008</v>
      </c>
      <c r="I8" s="1067">
        <v>8691713.5299999993</v>
      </c>
      <c r="J8" s="1067">
        <v>12943321.789999999</v>
      </c>
      <c r="K8" s="1067">
        <v>12617195.369999999</v>
      </c>
      <c r="L8" s="1067">
        <v>12617195.369999999</v>
      </c>
      <c r="M8" s="1067">
        <v>12617195.369999999</v>
      </c>
      <c r="N8" s="1067">
        <v>12617195.369999999</v>
      </c>
      <c r="O8" s="1067">
        <v>12617195.369999999</v>
      </c>
      <c r="P8" s="1067">
        <v>12617195.369999999</v>
      </c>
      <c r="Q8" s="1067">
        <v>8691713.5299999993</v>
      </c>
      <c r="R8" s="1067">
        <v>8691713.5299999993</v>
      </c>
      <c r="S8" s="1067">
        <v>8691713.5299999993</v>
      </c>
      <c r="T8" s="1067">
        <v>8691713.5299999993</v>
      </c>
      <c r="U8" s="1067">
        <v>8691713.5299999993</v>
      </c>
      <c r="V8" s="1067">
        <v>8691713.5299999993</v>
      </c>
      <c r="W8" s="1067">
        <v>8691713.5299999993</v>
      </c>
      <c r="X8" s="1067">
        <v>8691713.5299999993</v>
      </c>
      <c r="Y8" s="1067">
        <v>8691713.5299999993</v>
      </c>
      <c r="Z8" s="1067">
        <v>8691713.5299999993</v>
      </c>
      <c r="AA8" s="1067">
        <v>8691713.5299999993</v>
      </c>
      <c r="AB8" s="1067">
        <v>8691713.5299999993</v>
      </c>
      <c r="AC8" s="1067">
        <v>8691713.5299999993</v>
      </c>
      <c r="AD8" s="1067">
        <v>8691713.5299999993</v>
      </c>
      <c r="AE8" s="1067">
        <v>8691713.5299999993</v>
      </c>
      <c r="AF8" s="1067">
        <v>8691713.5299999993</v>
      </c>
      <c r="AG8" s="1067">
        <v>8691713.5299999993</v>
      </c>
      <c r="AH8" s="1067">
        <v>8691713.5299999993</v>
      </c>
      <c r="AI8" s="1067">
        <v>8691713.5299999993</v>
      </c>
      <c r="AJ8" s="1067"/>
      <c r="AK8" s="1067"/>
      <c r="AL8" s="1067"/>
      <c r="AM8" s="1067"/>
      <c r="AN8" s="1067"/>
      <c r="AO8" s="1067"/>
      <c r="AP8" s="1067">
        <v>8691713.5299999993</v>
      </c>
      <c r="AQ8" s="1067"/>
      <c r="AR8" s="1067"/>
      <c r="AS8" s="1067"/>
      <c r="AT8" s="1067"/>
      <c r="AU8" s="1067"/>
      <c r="AV8" s="1067"/>
      <c r="AW8" s="1067"/>
      <c r="AX8" s="1067"/>
      <c r="AY8" s="1067"/>
      <c r="AZ8" s="1067"/>
      <c r="BA8" s="1067"/>
      <c r="BB8" s="1072"/>
    </row>
    <row r="9" spans="2:54" s="1099" customFormat="1">
      <c r="B9" s="1095" t="s">
        <v>1282</v>
      </c>
      <c r="C9" s="1096" t="s">
        <v>1028</v>
      </c>
      <c r="D9" s="1096" t="s">
        <v>1029</v>
      </c>
      <c r="E9" s="1097">
        <v>136632.29999999999</v>
      </c>
      <c r="F9" s="1097">
        <v>122069.33</v>
      </c>
      <c r="G9" s="1097">
        <v>1188748.9099999999</v>
      </c>
      <c r="H9" s="1097">
        <v>1069398.28</v>
      </c>
      <c r="I9" s="1097">
        <v>906122.71</v>
      </c>
      <c r="J9" s="1097">
        <v>774739</v>
      </c>
      <c r="K9" s="1097">
        <v>643355.29</v>
      </c>
      <c r="L9" s="1097">
        <v>643355.29</v>
      </c>
      <c r="M9" s="1097">
        <v>643355.29</v>
      </c>
      <c r="N9" s="1097">
        <v>643355.29</v>
      </c>
      <c r="O9" s="1097">
        <v>643355.29</v>
      </c>
      <c r="P9" s="1097">
        <v>643355.29</v>
      </c>
      <c r="Q9" s="1097">
        <v>906122.71</v>
      </c>
      <c r="R9" s="1097">
        <v>906122.71</v>
      </c>
      <c r="S9" s="1097">
        <v>906122.71</v>
      </c>
      <c r="T9" s="1097">
        <v>906122.71</v>
      </c>
      <c r="U9" s="1097">
        <v>906122.71</v>
      </c>
      <c r="V9" s="1097">
        <v>906122.71</v>
      </c>
      <c r="W9" s="1097">
        <v>906122.71</v>
      </c>
      <c r="X9" s="1097">
        <v>906122.71</v>
      </c>
      <c r="Y9" s="1097">
        <v>906122.71</v>
      </c>
      <c r="Z9" s="1097">
        <v>906122.71</v>
      </c>
      <c r="AA9" s="1097">
        <v>906122.71</v>
      </c>
      <c r="AB9" s="1097">
        <v>906122.71</v>
      </c>
      <c r="AC9" s="1097">
        <v>906122.71</v>
      </c>
      <c r="AD9" s="1097">
        <v>906122.71</v>
      </c>
      <c r="AE9" s="1097">
        <v>906122.71</v>
      </c>
      <c r="AF9" s="1097">
        <v>906122.71</v>
      </c>
      <c r="AG9" s="1097">
        <v>906122.71</v>
      </c>
      <c r="AH9" s="1097">
        <v>906122.71</v>
      </c>
      <c r="AI9" s="1097">
        <v>906122.71</v>
      </c>
      <c r="AJ9" s="1097"/>
      <c r="AK9" s="1097"/>
      <c r="AL9" s="1097"/>
      <c r="AM9" s="1097"/>
      <c r="AN9" s="1097"/>
      <c r="AO9" s="1097"/>
      <c r="AP9" s="1097">
        <v>906122.71</v>
      </c>
      <c r="AQ9" s="1097"/>
      <c r="AR9" s="1097"/>
      <c r="AS9" s="1097"/>
      <c r="AT9" s="1097"/>
      <c r="AU9" s="1097"/>
      <c r="AV9" s="1097"/>
      <c r="AW9" s="1097"/>
      <c r="AX9" s="1097"/>
      <c r="AY9" s="1097"/>
      <c r="AZ9" s="1097"/>
      <c r="BA9" s="1097"/>
      <c r="BB9" s="1098"/>
    </row>
    <row r="10" spans="2:54">
      <c r="B10" s="1087" t="s">
        <v>1283</v>
      </c>
      <c r="C10" s="1076" t="s">
        <v>1028</v>
      </c>
      <c r="D10" s="1076" t="s">
        <v>1029</v>
      </c>
      <c r="E10" s="1067">
        <v>1339515.18</v>
      </c>
      <c r="F10" s="1067">
        <v>1339515.18</v>
      </c>
      <c r="G10" s="1067">
        <v>1339515.18</v>
      </c>
      <c r="H10" s="1067">
        <v>1343205.5</v>
      </c>
      <c r="I10" s="1067">
        <v>1343205.5</v>
      </c>
      <c r="J10" s="1067">
        <v>1347855.19</v>
      </c>
      <c r="K10" s="1067">
        <v>1347855.19</v>
      </c>
      <c r="L10" s="1067">
        <v>1347855.19</v>
      </c>
      <c r="M10" s="1067">
        <v>1347855.19</v>
      </c>
      <c r="N10" s="1067">
        <v>1347855.19</v>
      </c>
      <c r="O10" s="1067">
        <v>1347855.19</v>
      </c>
      <c r="P10" s="1067">
        <v>1347855.19</v>
      </c>
      <c r="Q10" s="1067">
        <v>1343205.5</v>
      </c>
      <c r="R10" s="1067">
        <v>1343205.5</v>
      </c>
      <c r="S10" s="1067">
        <v>1343205.5</v>
      </c>
      <c r="T10" s="1067">
        <v>1343205.5</v>
      </c>
      <c r="U10" s="1067">
        <v>1343205.5</v>
      </c>
      <c r="V10" s="1067">
        <v>1343205.5</v>
      </c>
      <c r="W10" s="1067">
        <v>1343205.5</v>
      </c>
      <c r="X10" s="1067">
        <v>1343205.5</v>
      </c>
      <c r="Y10" s="1067">
        <v>1343205.5</v>
      </c>
      <c r="Z10" s="1067">
        <v>1343205.5</v>
      </c>
      <c r="AA10" s="1067">
        <v>1343205.5</v>
      </c>
      <c r="AB10" s="1067">
        <v>1343205.5</v>
      </c>
      <c r="AC10" s="1067">
        <v>1343205.5</v>
      </c>
      <c r="AD10" s="1067">
        <v>1343205.5</v>
      </c>
      <c r="AE10" s="1067">
        <v>1343205.5</v>
      </c>
      <c r="AF10" s="1067">
        <v>1343205.5</v>
      </c>
      <c r="AG10" s="1067">
        <v>1343205.5</v>
      </c>
      <c r="AH10" s="1067">
        <v>1343205.5</v>
      </c>
      <c r="AI10" s="1067">
        <v>1343205.5</v>
      </c>
      <c r="AJ10" s="1067"/>
      <c r="AK10" s="1067"/>
      <c r="AL10" s="1067"/>
      <c r="AM10" s="1067"/>
      <c r="AN10" s="1067"/>
      <c r="AO10" s="1067"/>
      <c r="AP10" s="1067">
        <v>1343205.5</v>
      </c>
      <c r="AQ10" s="1067"/>
      <c r="AR10" s="1067"/>
      <c r="AS10" s="1067"/>
      <c r="AT10" s="1067"/>
      <c r="AU10" s="1067"/>
      <c r="AV10" s="1067"/>
      <c r="AW10" s="1067"/>
      <c r="AX10" s="1067"/>
      <c r="AY10" s="1067"/>
      <c r="AZ10" s="1067"/>
      <c r="BA10" s="1067"/>
      <c r="BB10" s="1072"/>
    </row>
    <row r="11" spans="2:54">
      <c r="B11" s="1085" t="s">
        <v>1032</v>
      </c>
      <c r="C11" s="1076" t="s">
        <v>1028</v>
      </c>
      <c r="D11" s="1076" t="s">
        <v>1029</v>
      </c>
      <c r="E11" s="1067">
        <v>1476147.48</v>
      </c>
      <c r="F11" s="1067">
        <v>1461584.51</v>
      </c>
      <c r="G11" s="1067">
        <v>2528264.09</v>
      </c>
      <c r="H11" s="1067">
        <v>2412603.7799999998</v>
      </c>
      <c r="I11" s="1067">
        <v>2249328.21</v>
      </c>
      <c r="J11" s="1067">
        <v>2122594.19</v>
      </c>
      <c r="K11" s="1067">
        <v>1991210.48</v>
      </c>
      <c r="L11" s="1067">
        <v>1991210.48</v>
      </c>
      <c r="M11" s="1067">
        <v>1991210.48</v>
      </c>
      <c r="N11" s="1067">
        <v>1991210.48</v>
      </c>
      <c r="O11" s="1067">
        <v>1991210.48</v>
      </c>
      <c r="P11" s="1067">
        <v>1991210.48</v>
      </c>
      <c r="Q11" s="1067">
        <v>2249328.21</v>
      </c>
      <c r="R11" s="1067">
        <v>2249328.21</v>
      </c>
      <c r="S11" s="1067">
        <v>2249328.21</v>
      </c>
      <c r="T11" s="1067">
        <v>2249328.21</v>
      </c>
      <c r="U11" s="1067">
        <v>2249328.21</v>
      </c>
      <c r="V11" s="1067">
        <v>2249328.21</v>
      </c>
      <c r="W11" s="1067">
        <v>2249328.21</v>
      </c>
      <c r="X11" s="1067">
        <v>2249328.21</v>
      </c>
      <c r="Y11" s="1067">
        <v>2249328.21</v>
      </c>
      <c r="Z11" s="1067">
        <v>2249328.21</v>
      </c>
      <c r="AA11" s="1067">
        <v>2249328.21</v>
      </c>
      <c r="AB11" s="1067">
        <v>2249328.21</v>
      </c>
      <c r="AC11" s="1067">
        <v>2249328.21</v>
      </c>
      <c r="AD11" s="1067">
        <v>2249328.21</v>
      </c>
      <c r="AE11" s="1067">
        <v>2249328.21</v>
      </c>
      <c r="AF11" s="1067">
        <v>2249328.21</v>
      </c>
      <c r="AG11" s="1067">
        <v>2249328.21</v>
      </c>
      <c r="AH11" s="1067">
        <v>2249328.21</v>
      </c>
      <c r="AI11" s="1067">
        <v>2249328.21</v>
      </c>
      <c r="AJ11" s="1067"/>
      <c r="AK11" s="1067"/>
      <c r="AL11" s="1067"/>
      <c r="AM11" s="1067"/>
      <c r="AN11" s="1067"/>
      <c r="AO11" s="1067"/>
      <c r="AP11" s="1067">
        <v>2249328.21</v>
      </c>
      <c r="AQ11" s="1067"/>
      <c r="AR11" s="1067"/>
      <c r="AS11" s="1067"/>
      <c r="AT11" s="1067"/>
      <c r="AU11" s="1067"/>
      <c r="AV11" s="1067"/>
      <c r="AW11" s="1067"/>
      <c r="AX11" s="1067"/>
      <c r="AY11" s="1067"/>
      <c r="AZ11" s="1067"/>
      <c r="BA11" s="1067"/>
      <c r="BB11" s="1072"/>
    </row>
    <row r="12" spans="2:54">
      <c r="B12" s="1080" t="s">
        <v>1033</v>
      </c>
      <c r="C12" s="1076" t="s">
        <v>1028</v>
      </c>
      <c r="D12" s="1076" t="s">
        <v>1029</v>
      </c>
      <c r="E12" s="1067">
        <v>25157247.809999999</v>
      </c>
      <c r="F12" s="1067">
        <v>25944387.289999999</v>
      </c>
      <c r="G12" s="1067">
        <v>28435573.09</v>
      </c>
      <c r="H12" s="1067">
        <v>28651593.66</v>
      </c>
      <c r="I12" s="1067">
        <v>17701996.66</v>
      </c>
      <c r="J12" s="1067">
        <v>24760018.73</v>
      </c>
      <c r="K12" s="1067">
        <v>28859301.210000001</v>
      </c>
      <c r="L12" s="1067">
        <v>28859301.210000001</v>
      </c>
      <c r="M12" s="1067">
        <v>28859301.210000001</v>
      </c>
      <c r="N12" s="1067">
        <v>28859301.210000001</v>
      </c>
      <c r="O12" s="1067">
        <v>28859301.210000001</v>
      </c>
      <c r="P12" s="1067">
        <v>28859301.210000001</v>
      </c>
      <c r="Q12" s="1067">
        <v>17491546.115773998</v>
      </c>
      <c r="R12" s="1067">
        <v>17491546.115773998</v>
      </c>
      <c r="S12" s="1067">
        <v>17346746.419268399</v>
      </c>
      <c r="T12" s="1067">
        <v>17491546.114945699</v>
      </c>
      <c r="U12" s="1067">
        <v>17346746.419268299</v>
      </c>
      <c r="V12" s="1067">
        <v>17491546.1142032</v>
      </c>
      <c r="W12" s="1067">
        <v>17491546.1142032</v>
      </c>
      <c r="X12" s="1067">
        <v>17936285.4929212</v>
      </c>
      <c r="Y12" s="1067">
        <v>17452874.806980599</v>
      </c>
      <c r="Z12" s="1067">
        <v>17936285.492437199</v>
      </c>
      <c r="AA12" s="1067">
        <v>17775148.597123802</v>
      </c>
      <c r="AB12" s="1067">
        <v>17936285.4924374</v>
      </c>
      <c r="AC12" s="1067">
        <v>17775148.5966767</v>
      </c>
      <c r="AD12" s="1067">
        <v>17936285.491990201</v>
      </c>
      <c r="AE12" s="1067">
        <v>17936285.491990302</v>
      </c>
      <c r="AF12" s="1067">
        <v>17775148.596115001</v>
      </c>
      <c r="AG12" s="1067">
        <v>17936285.491428498</v>
      </c>
      <c r="AH12" s="1067">
        <v>17775148.5961149</v>
      </c>
      <c r="AI12" s="1067">
        <v>17936285.489240799</v>
      </c>
      <c r="AJ12" s="1067">
        <v>206513.50567740001</v>
      </c>
      <c r="AK12" s="1067"/>
      <c r="AL12" s="1067">
        <v>-144799.6965056</v>
      </c>
      <c r="AM12" s="1067">
        <v>144799.69567730001</v>
      </c>
      <c r="AN12" s="1067">
        <v>-144799.69567740001</v>
      </c>
      <c r="AO12" s="1067">
        <v>144799.69493490001</v>
      </c>
      <c r="AP12" s="1067">
        <v>17491546.1142032</v>
      </c>
      <c r="AQ12" s="1067">
        <v>444739.37871800002</v>
      </c>
      <c r="AR12" s="1067">
        <v>-483410.6859406</v>
      </c>
      <c r="AS12" s="1067">
        <v>483410.68545659998</v>
      </c>
      <c r="AT12" s="1067">
        <v>-161136.89531339999</v>
      </c>
      <c r="AU12" s="1067">
        <v>161136.89531359999</v>
      </c>
      <c r="AV12" s="1067">
        <v>-161136.89576069999</v>
      </c>
      <c r="AW12" s="1067">
        <v>161136.89531349999</v>
      </c>
      <c r="AX12" s="1067">
        <v>9.9999999999999995E-8</v>
      </c>
      <c r="AY12" s="1067">
        <v>-161136.89587529999</v>
      </c>
      <c r="AZ12" s="1067">
        <v>161136.89531349999</v>
      </c>
      <c r="BA12" s="1067">
        <v>-161136.89531359999</v>
      </c>
      <c r="BB12" s="1072">
        <v>161136.89312590001</v>
      </c>
    </row>
    <row r="13" spans="2:54" s="1099" customFormat="1">
      <c r="B13" s="1100" t="s">
        <v>1034</v>
      </c>
      <c r="C13" s="1096" t="s">
        <v>1028</v>
      </c>
      <c r="D13" s="1096" t="s">
        <v>1029</v>
      </c>
      <c r="E13" s="1097"/>
      <c r="F13" s="1097"/>
      <c r="G13" s="1097"/>
      <c r="H13" s="1097"/>
      <c r="I13" s="1097"/>
      <c r="J13" s="1097"/>
      <c r="K13" s="1097"/>
      <c r="L13" s="1097"/>
      <c r="M13" s="1097"/>
      <c r="N13" s="1097"/>
      <c r="O13" s="1097"/>
      <c r="P13" s="1097"/>
      <c r="Q13" s="1097">
        <v>454854</v>
      </c>
      <c r="R13" s="1097">
        <v>509432</v>
      </c>
      <c r="S13" s="1097">
        <v>677758.01</v>
      </c>
      <c r="T13" s="1097">
        <v>732336.01</v>
      </c>
      <c r="U13" s="1097">
        <v>786914.01</v>
      </c>
      <c r="V13" s="1097">
        <v>954351.57918759994</v>
      </c>
      <c r="W13" s="1097">
        <v>954351.57918759994</v>
      </c>
      <c r="X13" s="1097">
        <v>954351.57918759994</v>
      </c>
      <c r="Y13" s="1097">
        <v>954351.57918759994</v>
      </c>
      <c r="Z13" s="1097">
        <v>954351.57918759994</v>
      </c>
      <c r="AA13" s="1097">
        <v>954351.57918759994</v>
      </c>
      <c r="AB13" s="1097">
        <v>954351.57918759994</v>
      </c>
      <c r="AC13" s="1097">
        <v>954351.57918759994</v>
      </c>
      <c r="AD13" s="1097">
        <v>954351.57918759994</v>
      </c>
      <c r="AE13" s="1097">
        <v>954351.57918759994</v>
      </c>
      <c r="AF13" s="1097">
        <v>954351.57918759994</v>
      </c>
      <c r="AG13" s="1097">
        <v>954351.57918759994</v>
      </c>
      <c r="AH13" s="1097">
        <v>954351.57918759994</v>
      </c>
      <c r="AI13" s="1097">
        <v>7919312.5091875996</v>
      </c>
      <c r="AJ13" s="1097">
        <v>65000</v>
      </c>
      <c r="AK13" s="1097">
        <v>54578</v>
      </c>
      <c r="AL13" s="1097">
        <v>168326.01</v>
      </c>
      <c r="AM13" s="1097">
        <v>54578</v>
      </c>
      <c r="AN13" s="1097">
        <v>54578</v>
      </c>
      <c r="AO13" s="1097">
        <v>167437.56918759999</v>
      </c>
      <c r="AP13" s="1097">
        <v>954351.57918759994</v>
      </c>
      <c r="AQ13" s="1097"/>
      <c r="AR13" s="1097"/>
      <c r="AS13" s="1097"/>
      <c r="AT13" s="1097"/>
      <c r="AU13" s="1097"/>
      <c r="AV13" s="1097"/>
      <c r="AW13" s="1097"/>
      <c r="AX13" s="1097"/>
      <c r="AY13" s="1097"/>
      <c r="AZ13" s="1097"/>
      <c r="BA13" s="1097"/>
      <c r="BB13" s="1098">
        <v>6964960.9299999997</v>
      </c>
    </row>
    <row r="14" spans="2:54" s="1099" customFormat="1">
      <c r="B14" s="1100" t="s">
        <v>1035</v>
      </c>
      <c r="C14" s="1096" t="s">
        <v>1028</v>
      </c>
      <c r="D14" s="1096" t="s">
        <v>1029</v>
      </c>
      <c r="E14" s="1097">
        <v>263480917.63999999</v>
      </c>
      <c r="F14" s="1097">
        <v>263520267.69</v>
      </c>
      <c r="G14" s="1097">
        <v>263556728.71000001</v>
      </c>
      <c r="H14" s="1097">
        <v>263565672.62</v>
      </c>
      <c r="I14" s="1097">
        <v>263996434.19999999</v>
      </c>
      <c r="J14" s="1097">
        <v>263886397.22</v>
      </c>
      <c r="K14" s="1097">
        <v>263886397.22</v>
      </c>
      <c r="L14" s="1097">
        <v>263886397.22</v>
      </c>
      <c r="M14" s="1097">
        <v>263886397.22</v>
      </c>
      <c r="N14" s="1097">
        <v>263886397.22</v>
      </c>
      <c r="O14" s="1097">
        <v>263886397.22</v>
      </c>
      <c r="P14" s="1097">
        <v>263886397.22</v>
      </c>
      <c r="Q14" s="1097">
        <v>263996434.19999999</v>
      </c>
      <c r="R14" s="1097">
        <v>263996434.19999999</v>
      </c>
      <c r="S14" s="1097">
        <v>263996434.19999999</v>
      </c>
      <c r="T14" s="1097">
        <v>263996434.19999999</v>
      </c>
      <c r="U14" s="1097">
        <v>263996434.19999999</v>
      </c>
      <c r="V14" s="1097">
        <v>263996434.19999999</v>
      </c>
      <c r="W14" s="1097">
        <v>263996434.19999999</v>
      </c>
      <c r="X14" s="1097">
        <v>263996434.19999999</v>
      </c>
      <c r="Y14" s="1097">
        <v>263996434.19999999</v>
      </c>
      <c r="Z14" s="1097">
        <v>263996434.19999999</v>
      </c>
      <c r="AA14" s="1097">
        <v>263996434.19999999</v>
      </c>
      <c r="AB14" s="1097">
        <v>263996434.19999999</v>
      </c>
      <c r="AC14" s="1097">
        <v>263996434.19999999</v>
      </c>
      <c r="AD14" s="1097">
        <v>263996434.19999999</v>
      </c>
      <c r="AE14" s="1097">
        <v>263996434.19999999</v>
      </c>
      <c r="AF14" s="1097">
        <v>263996434.19999999</v>
      </c>
      <c r="AG14" s="1097">
        <v>263996434.19999999</v>
      </c>
      <c r="AH14" s="1097">
        <v>263996434.19999999</v>
      </c>
      <c r="AI14" s="1097">
        <v>263996434.19999999</v>
      </c>
      <c r="AJ14" s="1097"/>
      <c r="AK14" s="1097"/>
      <c r="AL14" s="1097"/>
      <c r="AM14" s="1097"/>
      <c r="AN14" s="1097"/>
      <c r="AO14" s="1097"/>
      <c r="AP14" s="1097">
        <v>263996434.19999999</v>
      </c>
      <c r="AQ14" s="1097"/>
      <c r="AR14" s="1097"/>
      <c r="AS14" s="1097"/>
      <c r="AT14" s="1097"/>
      <c r="AU14" s="1097"/>
      <c r="AV14" s="1097"/>
      <c r="AW14" s="1097"/>
      <c r="AX14" s="1097"/>
      <c r="AY14" s="1097"/>
      <c r="AZ14" s="1097"/>
      <c r="BA14" s="1097"/>
      <c r="BB14" s="1098"/>
    </row>
    <row r="15" spans="2:54" s="1099" customFormat="1">
      <c r="B15" s="1101" t="s">
        <v>1036</v>
      </c>
      <c r="C15" s="1096" t="s">
        <v>1028</v>
      </c>
      <c r="D15" s="1096" t="s">
        <v>1029</v>
      </c>
      <c r="E15" s="1097">
        <v>263480917.63999999</v>
      </c>
      <c r="F15" s="1097">
        <v>263520267.69</v>
      </c>
      <c r="G15" s="1097">
        <v>263556728.71000001</v>
      </c>
      <c r="H15" s="1097">
        <v>263565672.62</v>
      </c>
      <c r="I15" s="1097">
        <v>263996434.19999999</v>
      </c>
      <c r="J15" s="1097">
        <v>263886397.22</v>
      </c>
      <c r="K15" s="1097">
        <v>263886397.22</v>
      </c>
      <c r="L15" s="1097">
        <v>263886397.22</v>
      </c>
      <c r="M15" s="1097">
        <v>263886397.22</v>
      </c>
      <c r="N15" s="1097">
        <v>263886397.22</v>
      </c>
      <c r="O15" s="1097">
        <v>263886397.22</v>
      </c>
      <c r="P15" s="1102">
        <v>263886397.22</v>
      </c>
      <c r="Q15" s="1097">
        <v>264451288.19999999</v>
      </c>
      <c r="R15" s="1097">
        <v>264505866.19999999</v>
      </c>
      <c r="S15" s="1097">
        <v>264674192.21000001</v>
      </c>
      <c r="T15" s="1097">
        <v>264728770.21000001</v>
      </c>
      <c r="U15" s="1097">
        <v>264783348.21000001</v>
      </c>
      <c r="V15" s="1102">
        <v>264950785.77918759</v>
      </c>
      <c r="W15" s="1097">
        <v>264950785.77918759</v>
      </c>
      <c r="X15" s="1097">
        <v>264950785.77918759</v>
      </c>
      <c r="Y15" s="1097">
        <v>264950785.77918759</v>
      </c>
      <c r="Z15" s="1097">
        <v>264950785.77918759</v>
      </c>
      <c r="AA15" s="1097">
        <v>264950785.77918759</v>
      </c>
      <c r="AB15" s="1097">
        <v>264950785.77918759</v>
      </c>
      <c r="AC15" s="1097">
        <v>264950785.77918759</v>
      </c>
      <c r="AD15" s="1097">
        <v>264950785.77918759</v>
      </c>
      <c r="AE15" s="1097">
        <v>264950785.77918759</v>
      </c>
      <c r="AF15" s="1097">
        <v>264950785.77918759</v>
      </c>
      <c r="AG15" s="1097">
        <v>264950785.77918759</v>
      </c>
      <c r="AH15" s="1097">
        <v>264950785.77918759</v>
      </c>
      <c r="AI15" s="1097">
        <v>271915746.70918769</v>
      </c>
      <c r="AJ15" s="1097">
        <v>65000</v>
      </c>
      <c r="AK15" s="1097">
        <v>54578</v>
      </c>
      <c r="AL15" s="1097">
        <v>168326.01</v>
      </c>
      <c r="AM15" s="1097">
        <v>54578</v>
      </c>
      <c r="AN15" s="1097">
        <v>54578</v>
      </c>
      <c r="AO15" s="1097">
        <v>167437.56918759999</v>
      </c>
      <c r="AP15" s="1097">
        <v>264950785.77918759</v>
      </c>
      <c r="AQ15" s="1097"/>
      <c r="AR15" s="1097"/>
      <c r="AS15" s="1097"/>
      <c r="AT15" s="1097"/>
      <c r="AU15" s="1097"/>
      <c r="AV15" s="1097"/>
      <c r="AW15" s="1097"/>
      <c r="AX15" s="1097"/>
      <c r="AY15" s="1097"/>
      <c r="AZ15" s="1097"/>
      <c r="BA15" s="1097"/>
      <c r="BB15" s="1098">
        <v>6964960.9299999997</v>
      </c>
    </row>
    <row r="16" spans="2:54">
      <c r="B16" s="1081" t="s">
        <v>1037</v>
      </c>
      <c r="C16" s="1076" t="s">
        <v>1028</v>
      </c>
      <c r="D16" s="1076" t="s">
        <v>1029</v>
      </c>
      <c r="E16" s="1067">
        <v>263480917.63999999</v>
      </c>
      <c r="F16" s="1067">
        <v>263520267.69</v>
      </c>
      <c r="G16" s="1067">
        <v>263556728.71000001</v>
      </c>
      <c r="H16" s="1067">
        <v>263565672.62</v>
      </c>
      <c r="I16" s="1067">
        <v>263996434.19999999</v>
      </c>
      <c r="J16" s="1067">
        <v>263886397.22</v>
      </c>
      <c r="K16" s="1067">
        <v>263886397.22</v>
      </c>
      <c r="L16" s="1067">
        <v>263886397.22</v>
      </c>
      <c r="M16" s="1067">
        <v>263886397.22</v>
      </c>
      <c r="N16" s="1067">
        <v>263886397.22</v>
      </c>
      <c r="O16" s="1067">
        <v>263886397.22</v>
      </c>
      <c r="P16" s="1067">
        <v>263886397.22</v>
      </c>
      <c r="Q16" s="1067">
        <v>264451288.19999999</v>
      </c>
      <c r="R16" s="1067">
        <v>264505866.19999999</v>
      </c>
      <c r="S16" s="1067">
        <v>264674192.21000001</v>
      </c>
      <c r="T16" s="1067">
        <v>264728770.21000001</v>
      </c>
      <c r="U16" s="1067">
        <v>264783348.21000001</v>
      </c>
      <c r="V16" s="1067">
        <v>264950785.77918759</v>
      </c>
      <c r="W16" s="1067">
        <v>264950785.77918759</v>
      </c>
      <c r="X16" s="1067">
        <v>264950785.77918759</v>
      </c>
      <c r="Y16" s="1067">
        <v>264950785.77918759</v>
      </c>
      <c r="Z16" s="1067">
        <v>264950785.77918759</v>
      </c>
      <c r="AA16" s="1067">
        <v>264950785.77918759</v>
      </c>
      <c r="AB16" s="1067">
        <v>264950785.77918759</v>
      </c>
      <c r="AC16" s="1067">
        <v>264950785.77918759</v>
      </c>
      <c r="AD16" s="1067">
        <v>264950785.77918759</v>
      </c>
      <c r="AE16" s="1067">
        <v>264950785.77918759</v>
      </c>
      <c r="AF16" s="1067">
        <v>264950785.77918759</v>
      </c>
      <c r="AG16" s="1067">
        <v>264950785.77918759</v>
      </c>
      <c r="AH16" s="1067">
        <v>264950785.77918759</v>
      </c>
      <c r="AI16" s="1067">
        <v>271915746.70918769</v>
      </c>
      <c r="AJ16" s="1067">
        <v>65000</v>
      </c>
      <c r="AK16" s="1067">
        <v>54578</v>
      </c>
      <c r="AL16" s="1067">
        <v>168326.01</v>
      </c>
      <c r="AM16" s="1067">
        <v>54578</v>
      </c>
      <c r="AN16" s="1067">
        <v>54578</v>
      </c>
      <c r="AO16" s="1067">
        <v>167437.56918759999</v>
      </c>
      <c r="AP16" s="1067">
        <v>264950785.77918759</v>
      </c>
      <c r="AQ16" s="1067"/>
      <c r="AR16" s="1067"/>
      <c r="AS16" s="1067"/>
      <c r="AT16" s="1067"/>
      <c r="AU16" s="1067"/>
      <c r="AV16" s="1067"/>
      <c r="AW16" s="1067"/>
      <c r="AX16" s="1067"/>
      <c r="AY16" s="1067"/>
      <c r="AZ16" s="1067"/>
      <c r="BA16" s="1067"/>
      <c r="BB16" s="1072">
        <v>6964960.9299999997</v>
      </c>
    </row>
    <row r="17" spans="2:54">
      <c r="B17" s="1082" t="s">
        <v>1038</v>
      </c>
      <c r="C17" s="1076" t="s">
        <v>1028</v>
      </c>
      <c r="D17" s="1076" t="s">
        <v>1029</v>
      </c>
      <c r="E17" s="1067">
        <v>344266.07</v>
      </c>
      <c r="F17" s="1067">
        <v>359293.16</v>
      </c>
      <c r="G17" s="1067">
        <v>449928</v>
      </c>
      <c r="H17" s="1067">
        <v>528890.14</v>
      </c>
      <c r="I17" s="1067">
        <v>495531.59</v>
      </c>
      <c r="J17" s="1067">
        <v>518580.71</v>
      </c>
      <c r="K17" s="1067">
        <v>561949.54</v>
      </c>
      <c r="L17" s="1067">
        <v>561949.54</v>
      </c>
      <c r="M17" s="1067">
        <v>561949.54</v>
      </c>
      <c r="N17" s="1067">
        <v>561949.54</v>
      </c>
      <c r="O17" s="1067">
        <v>561949.54</v>
      </c>
      <c r="P17" s="1067">
        <v>561949.54</v>
      </c>
      <c r="Q17" s="1067">
        <v>676718.32405359996</v>
      </c>
      <c r="R17" s="1067">
        <v>776813.69108040002</v>
      </c>
      <c r="S17" s="1067">
        <v>1762565.0481072001</v>
      </c>
      <c r="T17" s="1067">
        <v>2109483.4151340001</v>
      </c>
      <c r="U17" s="1067">
        <v>2417109.7821608</v>
      </c>
      <c r="V17" s="1067">
        <v>3087763.58</v>
      </c>
      <c r="W17" s="1067">
        <v>3087763.58</v>
      </c>
      <c r="X17" s="1067">
        <v>3169250.58</v>
      </c>
      <c r="Y17" s="1067">
        <v>3569250.58</v>
      </c>
      <c r="Z17" s="1067">
        <v>3769250.58</v>
      </c>
      <c r="AA17" s="1067">
        <v>4614103.58</v>
      </c>
      <c r="AB17" s="1067">
        <v>4786579.58</v>
      </c>
      <c r="AC17" s="1067">
        <v>4931292.58</v>
      </c>
      <c r="AD17" s="1067">
        <v>5053744.58</v>
      </c>
      <c r="AE17" s="1067">
        <v>7108744.5800000001</v>
      </c>
      <c r="AF17" s="1067">
        <v>9408744.5800000001</v>
      </c>
      <c r="AG17" s="1067">
        <v>9708744.5800000001</v>
      </c>
      <c r="AH17" s="1067">
        <v>9708744.5800000001</v>
      </c>
      <c r="AI17" s="1067">
        <v>3673783.65</v>
      </c>
      <c r="AJ17" s="1067">
        <v>106086.3670268</v>
      </c>
      <c r="AK17" s="1067">
        <v>100095.3670268</v>
      </c>
      <c r="AL17" s="1067">
        <v>985751.35702680005</v>
      </c>
      <c r="AM17" s="1067">
        <v>346918.3670268</v>
      </c>
      <c r="AN17" s="1067">
        <v>307626.3670268</v>
      </c>
      <c r="AO17" s="1067">
        <v>670653.79783920001</v>
      </c>
      <c r="AP17" s="1067">
        <v>3087763.58</v>
      </c>
      <c r="AQ17" s="1067">
        <v>81487</v>
      </c>
      <c r="AR17" s="1067">
        <v>400000</v>
      </c>
      <c r="AS17" s="1067">
        <v>200000</v>
      </c>
      <c r="AT17" s="1067">
        <v>844853</v>
      </c>
      <c r="AU17" s="1067">
        <v>172476</v>
      </c>
      <c r="AV17" s="1067">
        <v>144713</v>
      </c>
      <c r="AW17" s="1067">
        <v>122452</v>
      </c>
      <c r="AX17" s="1067">
        <v>2055000</v>
      </c>
      <c r="AY17" s="1067">
        <v>2300000</v>
      </c>
      <c r="AZ17" s="1067">
        <v>300000</v>
      </c>
      <c r="BA17" s="1067"/>
      <c r="BB17" s="1072">
        <v>-6034960.9299999997</v>
      </c>
    </row>
    <row r="18" spans="2:54">
      <c r="B18" s="1083" t="s">
        <v>1039</v>
      </c>
      <c r="C18" s="1076" t="s">
        <v>1028</v>
      </c>
      <c r="D18" s="1076" t="s">
        <v>1029</v>
      </c>
      <c r="E18" s="1067">
        <v>263825183.71000001</v>
      </c>
      <c r="F18" s="1067">
        <v>263879560.84999999</v>
      </c>
      <c r="G18" s="1067">
        <v>264006656.71000001</v>
      </c>
      <c r="H18" s="1067">
        <v>264094562.75999999</v>
      </c>
      <c r="I18" s="1067">
        <v>264491965.78999999</v>
      </c>
      <c r="J18" s="1067">
        <v>264404977.93000001</v>
      </c>
      <c r="K18" s="1067">
        <v>264448346.75999999</v>
      </c>
      <c r="L18" s="1067">
        <v>264448346.75999999</v>
      </c>
      <c r="M18" s="1067">
        <v>264448346.75999999</v>
      </c>
      <c r="N18" s="1067">
        <v>264448346.75999999</v>
      </c>
      <c r="O18" s="1067">
        <v>264448346.75999999</v>
      </c>
      <c r="P18" s="1067">
        <v>264448346.75999999</v>
      </c>
      <c r="Q18" s="1067">
        <v>265128006.5240536</v>
      </c>
      <c r="R18" s="1067">
        <v>265282679.89108041</v>
      </c>
      <c r="S18" s="1067">
        <v>266436757.25810719</v>
      </c>
      <c r="T18" s="1067">
        <v>266838253.62513399</v>
      </c>
      <c r="U18" s="1067">
        <v>267200457.9921608</v>
      </c>
      <c r="V18" s="1067">
        <v>268038549.3591876</v>
      </c>
      <c r="W18" s="1067">
        <v>268038549.3591876</v>
      </c>
      <c r="X18" s="1067">
        <v>268120036.3591876</v>
      </c>
      <c r="Y18" s="1067">
        <v>268520036.3591876</v>
      </c>
      <c r="Z18" s="1067">
        <v>268720036.3591876</v>
      </c>
      <c r="AA18" s="1067">
        <v>269564889.3591876</v>
      </c>
      <c r="AB18" s="1067">
        <v>269737365.3591876</v>
      </c>
      <c r="AC18" s="1067">
        <v>269882078.3591876</v>
      </c>
      <c r="AD18" s="1067">
        <v>270004530.3591876</v>
      </c>
      <c r="AE18" s="1067">
        <v>272059530.3591876</v>
      </c>
      <c r="AF18" s="1067">
        <v>274359530.3591876</v>
      </c>
      <c r="AG18" s="1067">
        <v>274659530.3591876</v>
      </c>
      <c r="AH18" s="1067">
        <v>274659530.3591876</v>
      </c>
      <c r="AI18" s="1067">
        <v>275589530.3591876</v>
      </c>
      <c r="AJ18" s="1067">
        <v>171086.3670268</v>
      </c>
      <c r="AK18" s="1067">
        <v>154673.3670268</v>
      </c>
      <c r="AL18" s="1067">
        <v>1154077.3670268001</v>
      </c>
      <c r="AM18" s="1067">
        <v>401496.3670268</v>
      </c>
      <c r="AN18" s="1067">
        <v>362204.3670268</v>
      </c>
      <c r="AO18" s="1067">
        <v>838091.36702680006</v>
      </c>
      <c r="AP18" s="1067">
        <v>268038549.3591876</v>
      </c>
      <c r="AQ18" s="1067">
        <v>81487</v>
      </c>
      <c r="AR18" s="1067">
        <v>400000</v>
      </c>
      <c r="AS18" s="1067">
        <v>200000</v>
      </c>
      <c r="AT18" s="1067">
        <v>844853</v>
      </c>
      <c r="AU18" s="1067">
        <v>172476</v>
      </c>
      <c r="AV18" s="1067">
        <v>144713</v>
      </c>
      <c r="AW18" s="1067">
        <v>122452</v>
      </c>
      <c r="AX18" s="1067">
        <v>2055000</v>
      </c>
      <c r="AY18" s="1067">
        <v>2300000</v>
      </c>
      <c r="AZ18" s="1067">
        <v>300000</v>
      </c>
      <c r="BA18" s="1067"/>
      <c r="BB18" s="1072">
        <v>930000</v>
      </c>
    </row>
    <row r="19" spans="2:54">
      <c r="B19" s="1084" t="s">
        <v>1040</v>
      </c>
      <c r="C19" s="1076" t="s">
        <v>1028</v>
      </c>
      <c r="D19" s="1076" t="s">
        <v>1029</v>
      </c>
      <c r="E19" s="1067">
        <v>1182330.74</v>
      </c>
      <c r="F19" s="1067">
        <v>1182330.74</v>
      </c>
      <c r="G19" s="1067">
        <v>1359713.95</v>
      </c>
      <c r="H19" s="1067">
        <v>1359713.95</v>
      </c>
      <c r="I19" s="1067">
        <v>1359713.95</v>
      </c>
      <c r="J19" s="1067">
        <v>1537294.82</v>
      </c>
      <c r="K19" s="1067">
        <v>1537294.82</v>
      </c>
      <c r="L19" s="1067">
        <v>1537294.82</v>
      </c>
      <c r="M19" s="1067">
        <v>1537294.82</v>
      </c>
      <c r="N19" s="1067">
        <v>1537294.82</v>
      </c>
      <c r="O19" s="1067">
        <v>1537294.82</v>
      </c>
      <c r="P19" s="1067">
        <v>1537294.82</v>
      </c>
      <c r="Q19" s="1067">
        <v>1359713.95</v>
      </c>
      <c r="R19" s="1067">
        <v>1359713.95</v>
      </c>
      <c r="S19" s="1067">
        <v>1359713.95</v>
      </c>
      <c r="T19" s="1067">
        <v>1359713.95</v>
      </c>
      <c r="U19" s="1067">
        <v>1359713.95</v>
      </c>
      <c r="V19" s="1067">
        <v>1359713.95</v>
      </c>
      <c r="W19" s="1067">
        <v>1359713.95</v>
      </c>
      <c r="X19" s="1067">
        <v>1359713.95</v>
      </c>
      <c r="Y19" s="1067">
        <v>1359713.95</v>
      </c>
      <c r="Z19" s="1067">
        <v>1359713.95</v>
      </c>
      <c r="AA19" s="1067">
        <v>1359713.95</v>
      </c>
      <c r="AB19" s="1067">
        <v>1359713.95</v>
      </c>
      <c r="AC19" s="1067">
        <v>1359713.95</v>
      </c>
      <c r="AD19" s="1067">
        <v>1359713.95</v>
      </c>
      <c r="AE19" s="1067">
        <v>1359713.95</v>
      </c>
      <c r="AF19" s="1067">
        <v>1359713.95</v>
      </c>
      <c r="AG19" s="1067">
        <v>1359713.95</v>
      </c>
      <c r="AH19" s="1067">
        <v>1359713.95</v>
      </c>
      <c r="AI19" s="1067">
        <v>1359713.95</v>
      </c>
      <c r="AJ19" s="1067"/>
      <c r="AK19" s="1067"/>
      <c r="AL19" s="1067"/>
      <c r="AM19" s="1067"/>
      <c r="AN19" s="1067"/>
      <c r="AO19" s="1067"/>
      <c r="AP19" s="1067">
        <v>1359713.95</v>
      </c>
      <c r="AQ19" s="1067"/>
      <c r="AR19" s="1067"/>
      <c r="AS19" s="1067"/>
      <c r="AT19" s="1067"/>
      <c r="AU19" s="1067"/>
      <c r="AV19" s="1067"/>
      <c r="AW19" s="1067"/>
      <c r="AX19" s="1067"/>
      <c r="AY19" s="1067"/>
      <c r="AZ19" s="1067"/>
      <c r="BA19" s="1067"/>
      <c r="BB19" s="1072"/>
    </row>
    <row r="20" spans="2:54">
      <c r="B20" s="1084" t="s">
        <v>1041</v>
      </c>
      <c r="C20" s="1076" t="s">
        <v>1028</v>
      </c>
      <c r="D20" s="1076" t="s">
        <v>1029</v>
      </c>
      <c r="E20" s="1067">
        <v>-2754751.54</v>
      </c>
      <c r="F20" s="1067">
        <v>-2864756.73</v>
      </c>
      <c r="G20" s="1067">
        <v>-2974749.37</v>
      </c>
      <c r="H20" s="1067">
        <v>-3084748.53</v>
      </c>
      <c r="I20" s="1067">
        <v>-3194756.74</v>
      </c>
      <c r="J20" s="1067">
        <v>-3304827.11</v>
      </c>
      <c r="K20" s="1067">
        <v>-3304827.11</v>
      </c>
      <c r="L20" s="1067">
        <v>-3304827.11</v>
      </c>
      <c r="M20" s="1067">
        <v>-3304827.11</v>
      </c>
      <c r="N20" s="1067">
        <v>-3304827.11</v>
      </c>
      <c r="O20" s="1067">
        <v>-3304827.11</v>
      </c>
      <c r="P20" s="1067">
        <v>-3304827.11</v>
      </c>
      <c r="Q20" s="1067">
        <v>-3194756.74</v>
      </c>
      <c r="R20" s="1067">
        <v>-3194756.74</v>
      </c>
      <c r="S20" s="1067">
        <v>-3194756.74</v>
      </c>
      <c r="T20" s="1067">
        <v>-3194756.74</v>
      </c>
      <c r="U20" s="1067">
        <v>-3194756.74</v>
      </c>
      <c r="V20" s="1067">
        <v>-3194756.74</v>
      </c>
      <c r="W20" s="1067">
        <v>-3194756.74</v>
      </c>
      <c r="X20" s="1067">
        <v>-3194756.74</v>
      </c>
      <c r="Y20" s="1067">
        <v>-3194756.74</v>
      </c>
      <c r="Z20" s="1067">
        <v>-3194756.74</v>
      </c>
      <c r="AA20" s="1067">
        <v>-3194756.74</v>
      </c>
      <c r="AB20" s="1067">
        <v>-3194756.74</v>
      </c>
      <c r="AC20" s="1067">
        <v>-3194756.74</v>
      </c>
      <c r="AD20" s="1067">
        <v>-3194756.74</v>
      </c>
      <c r="AE20" s="1067">
        <v>-3194756.74</v>
      </c>
      <c r="AF20" s="1067">
        <v>-3194756.74</v>
      </c>
      <c r="AG20" s="1067">
        <v>-3194756.74</v>
      </c>
      <c r="AH20" s="1067">
        <v>-3194756.74</v>
      </c>
      <c r="AI20" s="1067">
        <v>-3194756.74</v>
      </c>
      <c r="AJ20" s="1067"/>
      <c r="AK20" s="1067"/>
      <c r="AL20" s="1067"/>
      <c r="AM20" s="1067"/>
      <c r="AN20" s="1067"/>
      <c r="AO20" s="1067"/>
      <c r="AP20" s="1067">
        <v>-3194756.74</v>
      </c>
      <c r="AQ20" s="1067"/>
      <c r="AR20" s="1067"/>
      <c r="AS20" s="1067"/>
      <c r="AT20" s="1067"/>
      <c r="AU20" s="1067"/>
      <c r="AV20" s="1067"/>
      <c r="AW20" s="1067"/>
      <c r="AX20" s="1067"/>
      <c r="AY20" s="1067"/>
      <c r="AZ20" s="1067"/>
      <c r="BA20" s="1067"/>
      <c r="BB20" s="1072"/>
    </row>
    <row r="21" spans="2:54">
      <c r="B21" s="1084" t="s">
        <v>1042</v>
      </c>
      <c r="C21" s="1076" t="s">
        <v>1028</v>
      </c>
      <c r="D21" s="1076" t="s">
        <v>1029</v>
      </c>
      <c r="E21" s="1067"/>
      <c r="F21" s="1067"/>
      <c r="G21" s="1067"/>
      <c r="H21" s="1067"/>
      <c r="I21" s="1067"/>
      <c r="J21" s="1067"/>
      <c r="K21" s="1067"/>
      <c r="L21" s="1067"/>
      <c r="M21" s="1067"/>
      <c r="N21" s="1067"/>
      <c r="O21" s="1067"/>
      <c r="P21" s="1067"/>
      <c r="Q21" s="1067">
        <v>-1199984.8400000001</v>
      </c>
      <c r="R21" s="1067">
        <v>-1800285.98</v>
      </c>
      <c r="S21" s="1067">
        <v>-2400809.86</v>
      </c>
      <c r="T21" s="1067">
        <v>-3001556.48</v>
      </c>
      <c r="U21" s="1067">
        <v>-3602398.53</v>
      </c>
      <c r="V21" s="1067">
        <v>-4203438.72</v>
      </c>
      <c r="W21" s="1067">
        <v>-4203438.72</v>
      </c>
      <c r="X21" s="1067">
        <v>-4804629.3499999996</v>
      </c>
      <c r="Y21" s="1067">
        <v>-5405819.9800000004</v>
      </c>
      <c r="Z21" s="1067">
        <v>-6007010.6100000003</v>
      </c>
      <c r="AA21" s="1067">
        <v>-6608201.2400000002</v>
      </c>
      <c r="AB21" s="1067">
        <v>-7209391.8700000001</v>
      </c>
      <c r="AC21" s="1067">
        <v>-7810582.5</v>
      </c>
      <c r="AD21" s="1067">
        <v>-8411773.1300000008</v>
      </c>
      <c r="AE21" s="1067">
        <v>-9012963.7599999998</v>
      </c>
      <c r="AF21" s="1067">
        <v>-9614154.3900000006</v>
      </c>
      <c r="AG21" s="1067">
        <v>-10215345.02</v>
      </c>
      <c r="AH21" s="1067">
        <v>-10816535.65</v>
      </c>
      <c r="AI21" s="1067">
        <v>-11425531.73</v>
      </c>
      <c r="AJ21" s="1067">
        <v>-600193.03</v>
      </c>
      <c r="AK21" s="1067">
        <v>-600301.14</v>
      </c>
      <c r="AL21" s="1067">
        <v>-600523.88</v>
      </c>
      <c r="AM21" s="1067">
        <v>-600746.62</v>
      </c>
      <c r="AN21" s="1067">
        <v>-600842.05000000005</v>
      </c>
      <c r="AO21" s="1067">
        <v>-601040.18999999994</v>
      </c>
      <c r="AP21" s="1067">
        <v>-4203438.72</v>
      </c>
      <c r="AQ21" s="1067">
        <v>-601190.63</v>
      </c>
      <c r="AR21" s="1067">
        <v>-601190.63</v>
      </c>
      <c r="AS21" s="1067">
        <v>-601190.63</v>
      </c>
      <c r="AT21" s="1067">
        <v>-601190.63</v>
      </c>
      <c r="AU21" s="1067">
        <v>-601190.63</v>
      </c>
      <c r="AV21" s="1067">
        <v>-601190.63</v>
      </c>
      <c r="AW21" s="1067">
        <v>-601190.63</v>
      </c>
      <c r="AX21" s="1067">
        <v>-601190.63</v>
      </c>
      <c r="AY21" s="1067">
        <v>-601190.63</v>
      </c>
      <c r="AZ21" s="1067">
        <v>-601190.63</v>
      </c>
      <c r="BA21" s="1067">
        <v>-601190.63</v>
      </c>
      <c r="BB21" s="1072">
        <v>-608996.07999999996</v>
      </c>
    </row>
    <row r="22" spans="2:54">
      <c r="B22" s="1084" t="s">
        <v>1043</v>
      </c>
      <c r="C22" s="1076" t="s">
        <v>1028</v>
      </c>
      <c r="D22" s="1076" t="s">
        <v>1029</v>
      </c>
      <c r="E22" s="1067">
        <v>-10540259.59</v>
      </c>
      <c r="F22" s="1067">
        <v>-11028711.75</v>
      </c>
      <c r="G22" s="1067">
        <v>-11517298.109999999</v>
      </c>
      <c r="H22" s="1067">
        <v>-12005947.23</v>
      </c>
      <c r="I22" s="1067">
        <v>-12494994.92</v>
      </c>
      <c r="J22" s="1067">
        <v>-12984301.09</v>
      </c>
      <c r="K22" s="1067">
        <v>-12984301.09</v>
      </c>
      <c r="L22" s="1067">
        <v>-12984301.09</v>
      </c>
      <c r="M22" s="1067">
        <v>-12984301.09</v>
      </c>
      <c r="N22" s="1067">
        <v>-12984301.09</v>
      </c>
      <c r="O22" s="1067">
        <v>-12984301.09</v>
      </c>
      <c r="P22" s="1067">
        <v>-12984301.09</v>
      </c>
      <c r="Q22" s="1067">
        <v>-12494994.92</v>
      </c>
      <c r="R22" s="1067">
        <v>-12494994.92</v>
      </c>
      <c r="S22" s="1067">
        <v>-12494994.92</v>
      </c>
      <c r="T22" s="1067">
        <v>-12494994.92</v>
      </c>
      <c r="U22" s="1067">
        <v>-12494994.92</v>
      </c>
      <c r="V22" s="1067">
        <v>-12494994.92</v>
      </c>
      <c r="W22" s="1067">
        <v>-12494994.92</v>
      </c>
      <c r="X22" s="1067">
        <v>-12494994.92</v>
      </c>
      <c r="Y22" s="1067">
        <v>-12494994.92</v>
      </c>
      <c r="Z22" s="1067">
        <v>-12494994.92</v>
      </c>
      <c r="AA22" s="1067">
        <v>-12494994.92</v>
      </c>
      <c r="AB22" s="1067">
        <v>-12494994.92</v>
      </c>
      <c r="AC22" s="1067">
        <v>-12494994.92</v>
      </c>
      <c r="AD22" s="1067">
        <v>-12494994.92</v>
      </c>
      <c r="AE22" s="1067">
        <v>-12494994.92</v>
      </c>
      <c r="AF22" s="1067">
        <v>-12494994.92</v>
      </c>
      <c r="AG22" s="1067">
        <v>-12494994.92</v>
      </c>
      <c r="AH22" s="1067">
        <v>-12494994.92</v>
      </c>
      <c r="AI22" s="1067">
        <v>-12494994.92</v>
      </c>
      <c r="AJ22" s="1067"/>
      <c r="AK22" s="1067"/>
      <c r="AL22" s="1067"/>
      <c r="AM22" s="1067"/>
      <c r="AN22" s="1067"/>
      <c r="AO22" s="1067"/>
      <c r="AP22" s="1067">
        <v>-12494994.92</v>
      </c>
      <c r="AQ22" s="1067"/>
      <c r="AR22" s="1067"/>
      <c r="AS22" s="1067"/>
      <c r="AT22" s="1067"/>
      <c r="AU22" s="1067"/>
      <c r="AV22" s="1067"/>
      <c r="AW22" s="1067"/>
      <c r="AX22" s="1067"/>
      <c r="AY22" s="1067"/>
      <c r="AZ22" s="1067"/>
      <c r="BA22" s="1067"/>
      <c r="BB22" s="1072"/>
    </row>
    <row r="23" spans="2:54">
      <c r="B23" s="1081" t="s">
        <v>1044</v>
      </c>
      <c r="C23" s="1076" t="s">
        <v>1028</v>
      </c>
      <c r="D23" s="1076" t="s">
        <v>1029</v>
      </c>
      <c r="E23" s="1067">
        <v>-12112680.390000001</v>
      </c>
      <c r="F23" s="1067">
        <v>-12711137.74</v>
      </c>
      <c r="G23" s="1067">
        <v>-13132333.529999999</v>
      </c>
      <c r="H23" s="1067">
        <v>-13730981.810000001</v>
      </c>
      <c r="I23" s="1067">
        <v>-14330037.710000001</v>
      </c>
      <c r="J23" s="1067">
        <v>-14751833.380000001</v>
      </c>
      <c r="K23" s="1067">
        <v>-14751833.380000001</v>
      </c>
      <c r="L23" s="1067">
        <v>-14751833.380000001</v>
      </c>
      <c r="M23" s="1067">
        <v>-14751833.380000001</v>
      </c>
      <c r="N23" s="1067">
        <v>-14751833.380000001</v>
      </c>
      <c r="O23" s="1067">
        <v>-14751833.380000001</v>
      </c>
      <c r="P23" s="1067">
        <v>-14751833.380000001</v>
      </c>
      <c r="Q23" s="1067">
        <v>-15530022.550000001</v>
      </c>
      <c r="R23" s="1067">
        <v>-16130323.689999999</v>
      </c>
      <c r="S23" s="1067">
        <v>-16730847.57</v>
      </c>
      <c r="T23" s="1067">
        <v>-17331594.190000001</v>
      </c>
      <c r="U23" s="1067">
        <v>-17932436.239999998</v>
      </c>
      <c r="V23" s="1067">
        <v>-18533476.43</v>
      </c>
      <c r="W23" s="1067">
        <v>-18533476.43</v>
      </c>
      <c r="X23" s="1067">
        <v>-19134667.059999999</v>
      </c>
      <c r="Y23" s="1067">
        <v>-19735857.690000001</v>
      </c>
      <c r="Z23" s="1067">
        <v>-20337048.32</v>
      </c>
      <c r="AA23" s="1067">
        <v>-20938238.949999999</v>
      </c>
      <c r="AB23" s="1067">
        <v>-21539429.579999998</v>
      </c>
      <c r="AC23" s="1067">
        <v>-22140620.210000001</v>
      </c>
      <c r="AD23" s="1067">
        <v>-22741810.84</v>
      </c>
      <c r="AE23" s="1067">
        <v>-23343001.469999999</v>
      </c>
      <c r="AF23" s="1067">
        <v>-23944192.100000001</v>
      </c>
      <c r="AG23" s="1067">
        <v>-24545382.73</v>
      </c>
      <c r="AH23" s="1067">
        <v>-25146573.359999999</v>
      </c>
      <c r="AI23" s="1067">
        <v>-25755569.440000001</v>
      </c>
      <c r="AJ23" s="1067">
        <v>-600193.03</v>
      </c>
      <c r="AK23" s="1067">
        <v>-600301.14</v>
      </c>
      <c r="AL23" s="1067">
        <v>-600523.88</v>
      </c>
      <c r="AM23" s="1067">
        <v>-600746.62</v>
      </c>
      <c r="AN23" s="1067">
        <v>-600842.05000000005</v>
      </c>
      <c r="AO23" s="1067">
        <v>-601040.18999999994</v>
      </c>
      <c r="AP23" s="1067">
        <v>-18533476.43</v>
      </c>
      <c r="AQ23" s="1067">
        <v>-601190.63</v>
      </c>
      <c r="AR23" s="1067">
        <v>-601190.63</v>
      </c>
      <c r="AS23" s="1067">
        <v>-601190.63</v>
      </c>
      <c r="AT23" s="1067">
        <v>-601190.63</v>
      </c>
      <c r="AU23" s="1067">
        <v>-601190.63</v>
      </c>
      <c r="AV23" s="1067">
        <v>-601190.63</v>
      </c>
      <c r="AW23" s="1067">
        <v>-601190.63</v>
      </c>
      <c r="AX23" s="1067">
        <v>-601190.63</v>
      </c>
      <c r="AY23" s="1067">
        <v>-601190.63</v>
      </c>
      <c r="AZ23" s="1067">
        <v>-601190.63</v>
      </c>
      <c r="BA23" s="1067">
        <v>-601190.63</v>
      </c>
      <c r="BB23" s="1072">
        <v>-608996.07999999996</v>
      </c>
    </row>
    <row r="24" spans="2:54">
      <c r="B24" s="1083" t="s">
        <v>1045</v>
      </c>
      <c r="C24" s="1076" t="s">
        <v>1028</v>
      </c>
      <c r="D24" s="1076" t="s">
        <v>1029</v>
      </c>
      <c r="E24" s="1067">
        <v>-12112680.390000001</v>
      </c>
      <c r="F24" s="1067">
        <v>-12711137.74</v>
      </c>
      <c r="G24" s="1067">
        <v>-13132333.529999999</v>
      </c>
      <c r="H24" s="1067">
        <v>-13730981.810000001</v>
      </c>
      <c r="I24" s="1067">
        <v>-14330037.710000001</v>
      </c>
      <c r="J24" s="1067">
        <v>-14751833.380000001</v>
      </c>
      <c r="K24" s="1067">
        <v>-14751833.380000001</v>
      </c>
      <c r="L24" s="1067">
        <v>-14751833.380000001</v>
      </c>
      <c r="M24" s="1067">
        <v>-14751833.380000001</v>
      </c>
      <c r="N24" s="1067">
        <v>-14751833.380000001</v>
      </c>
      <c r="O24" s="1067">
        <v>-14751833.380000001</v>
      </c>
      <c r="P24" s="1067">
        <v>-14751833.380000001</v>
      </c>
      <c r="Q24" s="1067">
        <v>-15530022.550000001</v>
      </c>
      <c r="R24" s="1067">
        <v>-16130323.689999999</v>
      </c>
      <c r="S24" s="1067">
        <v>-16730847.57</v>
      </c>
      <c r="T24" s="1067">
        <v>-17331594.190000001</v>
      </c>
      <c r="U24" s="1067">
        <v>-17932436.239999998</v>
      </c>
      <c r="V24" s="1067">
        <v>-18533476.43</v>
      </c>
      <c r="W24" s="1067">
        <v>-18533476.43</v>
      </c>
      <c r="X24" s="1067">
        <v>-19134667.059999999</v>
      </c>
      <c r="Y24" s="1067">
        <v>-19735857.690000001</v>
      </c>
      <c r="Z24" s="1067">
        <v>-20337048.32</v>
      </c>
      <c r="AA24" s="1067">
        <v>-20938238.949999999</v>
      </c>
      <c r="AB24" s="1067">
        <v>-21539429.579999998</v>
      </c>
      <c r="AC24" s="1067">
        <v>-22140620.210000001</v>
      </c>
      <c r="AD24" s="1067">
        <v>-22741810.84</v>
      </c>
      <c r="AE24" s="1067">
        <v>-23343001.469999999</v>
      </c>
      <c r="AF24" s="1067">
        <v>-23944192.100000001</v>
      </c>
      <c r="AG24" s="1067">
        <v>-24545382.73</v>
      </c>
      <c r="AH24" s="1067">
        <v>-25146573.359999999</v>
      </c>
      <c r="AI24" s="1067">
        <v>-25755569.440000001</v>
      </c>
      <c r="AJ24" s="1067">
        <v>-600193.03</v>
      </c>
      <c r="AK24" s="1067">
        <v>-600301.14</v>
      </c>
      <c r="AL24" s="1067">
        <v>-600523.88</v>
      </c>
      <c r="AM24" s="1067">
        <v>-600746.62</v>
      </c>
      <c r="AN24" s="1067">
        <v>-600842.05000000005</v>
      </c>
      <c r="AO24" s="1067">
        <v>-601040.18999999994</v>
      </c>
      <c r="AP24" s="1067">
        <v>-18533476.43</v>
      </c>
      <c r="AQ24" s="1067">
        <v>-601190.63</v>
      </c>
      <c r="AR24" s="1067">
        <v>-601190.63</v>
      </c>
      <c r="AS24" s="1067">
        <v>-601190.63</v>
      </c>
      <c r="AT24" s="1067">
        <v>-601190.63</v>
      </c>
      <c r="AU24" s="1067">
        <v>-601190.63</v>
      </c>
      <c r="AV24" s="1067">
        <v>-601190.63</v>
      </c>
      <c r="AW24" s="1067">
        <v>-601190.63</v>
      </c>
      <c r="AX24" s="1067">
        <v>-601190.63</v>
      </c>
      <c r="AY24" s="1067">
        <v>-601190.63</v>
      </c>
      <c r="AZ24" s="1067">
        <v>-601190.63</v>
      </c>
      <c r="BA24" s="1067">
        <v>-601190.63</v>
      </c>
      <c r="BB24" s="1072">
        <v>-608996.07999999996</v>
      </c>
    </row>
    <row r="25" spans="2:54">
      <c r="B25" s="1085" t="s">
        <v>1046</v>
      </c>
      <c r="C25" s="1076" t="s">
        <v>1028</v>
      </c>
      <c r="D25" s="1076" t="s">
        <v>1029</v>
      </c>
      <c r="E25" s="1067">
        <v>251712503.31999999</v>
      </c>
      <c r="F25" s="1067">
        <v>251168423.11000001</v>
      </c>
      <c r="G25" s="1067">
        <v>250874323.18000001</v>
      </c>
      <c r="H25" s="1067">
        <v>250363580.94999999</v>
      </c>
      <c r="I25" s="1067">
        <v>250161928.08000001</v>
      </c>
      <c r="J25" s="1067">
        <v>249653144.55000001</v>
      </c>
      <c r="K25" s="1067">
        <v>249696513.38</v>
      </c>
      <c r="L25" s="1067">
        <v>249696513.38</v>
      </c>
      <c r="M25" s="1067">
        <v>249696513.38</v>
      </c>
      <c r="N25" s="1067">
        <v>249696513.38</v>
      </c>
      <c r="O25" s="1067">
        <v>249696513.38</v>
      </c>
      <c r="P25" s="1067">
        <v>249696513.38</v>
      </c>
      <c r="Q25" s="1067">
        <v>249597983.97405359</v>
      </c>
      <c r="R25" s="1067">
        <v>249152356.20108041</v>
      </c>
      <c r="S25" s="1067">
        <v>249705909.68810719</v>
      </c>
      <c r="T25" s="1067">
        <v>249506659.43513399</v>
      </c>
      <c r="U25" s="1067">
        <v>249268021.75216079</v>
      </c>
      <c r="V25" s="1067">
        <v>249505072.9291876</v>
      </c>
      <c r="W25" s="1067">
        <v>249505072.9291876</v>
      </c>
      <c r="X25" s="1067">
        <v>248985369.2991876</v>
      </c>
      <c r="Y25" s="1067">
        <v>248784178.66918761</v>
      </c>
      <c r="Z25" s="1067">
        <v>248382988.03918761</v>
      </c>
      <c r="AA25" s="1067">
        <v>248626650.40918759</v>
      </c>
      <c r="AB25" s="1067">
        <v>248197935.77918759</v>
      </c>
      <c r="AC25" s="1067">
        <v>247741458.14918759</v>
      </c>
      <c r="AD25" s="1067">
        <v>247262719.5191876</v>
      </c>
      <c r="AE25" s="1067">
        <v>248716528.8891876</v>
      </c>
      <c r="AF25" s="1067">
        <v>250415338.25918761</v>
      </c>
      <c r="AG25" s="1067">
        <v>250114147.62918761</v>
      </c>
      <c r="AH25" s="1067">
        <v>249512956.99918759</v>
      </c>
      <c r="AI25" s="1067">
        <v>249833960.91918761</v>
      </c>
      <c r="AJ25" s="1067">
        <v>-429106.66297319997</v>
      </c>
      <c r="AK25" s="1067">
        <v>-445627.77297320002</v>
      </c>
      <c r="AL25" s="1067">
        <v>553553.48702680005</v>
      </c>
      <c r="AM25" s="1067">
        <v>-199250.2529732</v>
      </c>
      <c r="AN25" s="1067">
        <v>-238637.68297319999</v>
      </c>
      <c r="AO25" s="1067">
        <v>237051.1770268</v>
      </c>
      <c r="AP25" s="1067">
        <v>249505072.9291876</v>
      </c>
      <c r="AQ25" s="1067">
        <v>-519703.63</v>
      </c>
      <c r="AR25" s="1067">
        <v>-201190.63</v>
      </c>
      <c r="AS25" s="1067">
        <v>-401190.63</v>
      </c>
      <c r="AT25" s="1067">
        <v>243662.37</v>
      </c>
      <c r="AU25" s="1067">
        <v>-428714.63</v>
      </c>
      <c r="AV25" s="1067">
        <v>-456477.63</v>
      </c>
      <c r="AW25" s="1067">
        <v>-478738.63</v>
      </c>
      <c r="AX25" s="1067">
        <v>1453809.37</v>
      </c>
      <c r="AY25" s="1067">
        <v>1698809.37</v>
      </c>
      <c r="AZ25" s="1067">
        <v>-301190.63</v>
      </c>
      <c r="BA25" s="1067">
        <v>-601190.63</v>
      </c>
      <c r="BB25" s="1072">
        <v>321003.92</v>
      </c>
    </row>
    <row r="26" spans="2:54">
      <c r="B26" s="1079" t="s">
        <v>1047</v>
      </c>
      <c r="C26" s="1076" t="s">
        <v>1028</v>
      </c>
      <c r="D26" s="1076" t="s">
        <v>1029</v>
      </c>
      <c r="E26" s="1067">
        <v>41657192.630000003</v>
      </c>
      <c r="F26" s="1067">
        <v>42859489.799999997</v>
      </c>
      <c r="G26" s="1067">
        <v>42671153.859999999</v>
      </c>
      <c r="H26" s="1067">
        <v>43730824.939999998</v>
      </c>
      <c r="I26" s="1067">
        <v>43354678.869999997</v>
      </c>
      <c r="J26" s="1067">
        <v>39073791.020000003</v>
      </c>
      <c r="K26" s="1067">
        <v>34582359.590000004</v>
      </c>
      <c r="L26" s="1067">
        <v>34582359.590000004</v>
      </c>
      <c r="M26" s="1067">
        <v>34582359.590000004</v>
      </c>
      <c r="N26" s="1067">
        <v>34582359.590000004</v>
      </c>
      <c r="O26" s="1067">
        <v>34582359.590000004</v>
      </c>
      <c r="P26" s="1067">
        <v>34582359.590000004</v>
      </c>
      <c r="Q26" s="1067">
        <v>40871332.170000002</v>
      </c>
      <c r="R26" s="1067">
        <v>39629658.82</v>
      </c>
      <c r="S26" s="1067">
        <v>38387985.469999999</v>
      </c>
      <c r="T26" s="1067">
        <v>37146312.119999997</v>
      </c>
      <c r="U26" s="1067">
        <v>35904638.770000003</v>
      </c>
      <c r="V26" s="1067">
        <v>34662965.420000002</v>
      </c>
      <c r="W26" s="1067">
        <v>34662965.420000002</v>
      </c>
      <c r="X26" s="1067">
        <v>33342461.7437994</v>
      </c>
      <c r="Y26" s="1067">
        <v>32021958.067598902</v>
      </c>
      <c r="Z26" s="1067">
        <v>30701454.391398299</v>
      </c>
      <c r="AA26" s="1067">
        <v>29380950.715197701</v>
      </c>
      <c r="AB26" s="1067">
        <v>28060447.038997199</v>
      </c>
      <c r="AC26" s="1067">
        <v>26739943.362796601</v>
      </c>
      <c r="AD26" s="1067">
        <v>25419439.686595999</v>
      </c>
      <c r="AE26" s="1067">
        <v>24098936.010395501</v>
      </c>
      <c r="AF26" s="1067">
        <v>22778432.334194899</v>
      </c>
      <c r="AG26" s="1067">
        <v>21457928.6579943</v>
      </c>
      <c r="AH26" s="1067">
        <v>20137424.981793799</v>
      </c>
      <c r="AI26" s="1067">
        <v>18816921.3055932</v>
      </c>
      <c r="AJ26" s="1067">
        <v>-1241673.3500000001</v>
      </c>
      <c r="AK26" s="1067">
        <v>-1241673.3500000001</v>
      </c>
      <c r="AL26" s="1067">
        <v>-1241673.3500000001</v>
      </c>
      <c r="AM26" s="1067">
        <v>-1241673.3500000001</v>
      </c>
      <c r="AN26" s="1067">
        <v>-1241673.3500000001</v>
      </c>
      <c r="AO26" s="1067">
        <v>-1241673.3500000001</v>
      </c>
      <c r="AP26" s="1067">
        <v>34662965.420000002</v>
      </c>
      <c r="AQ26" s="1067">
        <v>-1320503.6762006001</v>
      </c>
      <c r="AR26" s="1067">
        <v>-1320503.6762005</v>
      </c>
      <c r="AS26" s="1067">
        <v>-1320503.6762006001</v>
      </c>
      <c r="AT26" s="1067">
        <v>-1320503.6762006001</v>
      </c>
      <c r="AU26" s="1067">
        <v>-1320503.6762005</v>
      </c>
      <c r="AV26" s="1067">
        <v>-1320503.6762006001</v>
      </c>
      <c r="AW26" s="1067">
        <v>-1320503.6762006001</v>
      </c>
      <c r="AX26" s="1067">
        <v>-1320503.6762005</v>
      </c>
      <c r="AY26" s="1067">
        <v>-1320503.6762006001</v>
      </c>
      <c r="AZ26" s="1067">
        <v>-1320503.6762006001</v>
      </c>
      <c r="BA26" s="1067">
        <v>-1320503.6762005</v>
      </c>
      <c r="BB26" s="1072">
        <v>-1320503.6762006001</v>
      </c>
    </row>
    <row r="27" spans="2:54">
      <c r="B27" s="1079" t="s">
        <v>1048</v>
      </c>
      <c r="C27" s="1076" t="s">
        <v>1028</v>
      </c>
      <c r="D27" s="1076" t="s">
        <v>1029</v>
      </c>
      <c r="E27" s="1067">
        <v>808063.55</v>
      </c>
      <c r="F27" s="1067">
        <v>803695.86</v>
      </c>
      <c r="G27" s="1067">
        <v>799326.78</v>
      </c>
      <c r="H27" s="1067">
        <v>794951.31</v>
      </c>
      <c r="I27" s="1067">
        <v>790575.43</v>
      </c>
      <c r="J27" s="1067">
        <v>786195.16</v>
      </c>
      <c r="K27" s="1067">
        <v>788211.68</v>
      </c>
      <c r="L27" s="1067">
        <v>788211.68</v>
      </c>
      <c r="M27" s="1067">
        <v>788211.68</v>
      </c>
      <c r="N27" s="1067">
        <v>788211.68</v>
      </c>
      <c r="O27" s="1067">
        <v>788211.68</v>
      </c>
      <c r="P27" s="1067">
        <v>788211.68</v>
      </c>
      <c r="Q27" s="1067">
        <v>790575.43</v>
      </c>
      <c r="R27" s="1067">
        <v>790575.43</v>
      </c>
      <c r="S27" s="1067">
        <v>790575.43</v>
      </c>
      <c r="T27" s="1067">
        <v>790575.43</v>
      </c>
      <c r="U27" s="1067">
        <v>790575.43</v>
      </c>
      <c r="V27" s="1067">
        <v>790575.43</v>
      </c>
      <c r="W27" s="1067">
        <v>790575.43</v>
      </c>
      <c r="X27" s="1067">
        <v>790575.43</v>
      </c>
      <c r="Y27" s="1067">
        <v>790575.43</v>
      </c>
      <c r="Z27" s="1067">
        <v>790575.43</v>
      </c>
      <c r="AA27" s="1067">
        <v>790575.43</v>
      </c>
      <c r="AB27" s="1067">
        <v>790575.43</v>
      </c>
      <c r="AC27" s="1067">
        <v>790575.43</v>
      </c>
      <c r="AD27" s="1067">
        <v>790575.43</v>
      </c>
      <c r="AE27" s="1067">
        <v>790575.43</v>
      </c>
      <c r="AF27" s="1067">
        <v>790575.43</v>
      </c>
      <c r="AG27" s="1067">
        <v>790575.43</v>
      </c>
      <c r="AH27" s="1067">
        <v>790575.43</v>
      </c>
      <c r="AI27" s="1067">
        <v>790575.43</v>
      </c>
      <c r="AJ27" s="1067"/>
      <c r="AK27" s="1067"/>
      <c r="AL27" s="1067"/>
      <c r="AM27" s="1067"/>
      <c r="AN27" s="1067"/>
      <c r="AO27" s="1067"/>
      <c r="AP27" s="1067">
        <v>790575.43</v>
      </c>
      <c r="AQ27" s="1067"/>
      <c r="AR27" s="1067"/>
      <c r="AS27" s="1067"/>
      <c r="AT27" s="1067"/>
      <c r="AU27" s="1067"/>
      <c r="AV27" s="1067"/>
      <c r="AW27" s="1067"/>
      <c r="AX27" s="1067"/>
      <c r="AY27" s="1067"/>
      <c r="AZ27" s="1067"/>
      <c r="BA27" s="1067"/>
      <c r="BB27" s="1072"/>
    </row>
    <row r="28" spans="2:54">
      <c r="B28" s="1080" t="s">
        <v>1049</v>
      </c>
      <c r="C28" s="1076" t="s">
        <v>1028</v>
      </c>
      <c r="D28" s="1076" t="s">
        <v>1029</v>
      </c>
      <c r="E28" s="1067">
        <v>294177759.5</v>
      </c>
      <c r="F28" s="1067">
        <v>294831608.76999998</v>
      </c>
      <c r="G28" s="1067">
        <v>294344803.81999999</v>
      </c>
      <c r="H28" s="1067">
        <v>294889357.19999999</v>
      </c>
      <c r="I28" s="1067">
        <v>294307182.38</v>
      </c>
      <c r="J28" s="1067">
        <v>289513130.73000002</v>
      </c>
      <c r="K28" s="1067">
        <v>285067084.64999998</v>
      </c>
      <c r="L28" s="1067">
        <v>285067084.64999998</v>
      </c>
      <c r="M28" s="1067">
        <v>285067084.64999998</v>
      </c>
      <c r="N28" s="1067">
        <v>285067084.64999998</v>
      </c>
      <c r="O28" s="1067">
        <v>285067084.64999998</v>
      </c>
      <c r="P28" s="1067">
        <v>285067084.64999998</v>
      </c>
      <c r="Q28" s="1067">
        <v>291259891.57405359</v>
      </c>
      <c r="R28" s="1067">
        <v>289572590.45108038</v>
      </c>
      <c r="S28" s="1067">
        <v>288884470.58810729</v>
      </c>
      <c r="T28" s="1067">
        <v>287443546.98513401</v>
      </c>
      <c r="U28" s="1067">
        <v>285963235.95216078</v>
      </c>
      <c r="V28" s="1067">
        <v>284958613.77918762</v>
      </c>
      <c r="W28" s="1067">
        <v>284958613.77918762</v>
      </c>
      <c r="X28" s="1067">
        <v>283118406.472987</v>
      </c>
      <c r="Y28" s="1067">
        <v>281596712.16678649</v>
      </c>
      <c r="Z28" s="1067">
        <v>279875017.86058599</v>
      </c>
      <c r="AA28" s="1067">
        <v>278798176.5543853</v>
      </c>
      <c r="AB28" s="1067">
        <v>277048958.2481848</v>
      </c>
      <c r="AC28" s="1067">
        <v>275271976.94198418</v>
      </c>
      <c r="AD28" s="1067">
        <v>273472734.63578361</v>
      </c>
      <c r="AE28" s="1067">
        <v>273606040.32958311</v>
      </c>
      <c r="AF28" s="1067">
        <v>273984346.02338248</v>
      </c>
      <c r="AG28" s="1067">
        <v>272362651.71718192</v>
      </c>
      <c r="AH28" s="1067">
        <v>270440957.41098142</v>
      </c>
      <c r="AI28" s="1067">
        <v>269441457.65478081</v>
      </c>
      <c r="AJ28" s="1067">
        <v>-1670780.0129732001</v>
      </c>
      <c r="AK28" s="1067">
        <v>-1687301.1229731999</v>
      </c>
      <c r="AL28" s="1067">
        <v>-688119.86297320004</v>
      </c>
      <c r="AM28" s="1067">
        <v>-1440923.6029731999</v>
      </c>
      <c r="AN28" s="1067">
        <v>-1480311.0329732001</v>
      </c>
      <c r="AO28" s="1067">
        <v>-1004622.1729732</v>
      </c>
      <c r="AP28" s="1067">
        <v>284958613.77918762</v>
      </c>
      <c r="AQ28" s="1067">
        <v>-1840207.3062006</v>
      </c>
      <c r="AR28" s="1067">
        <v>-1521694.3062005001</v>
      </c>
      <c r="AS28" s="1067">
        <v>-1721694.3062006</v>
      </c>
      <c r="AT28" s="1067">
        <v>-1076841.3062006</v>
      </c>
      <c r="AU28" s="1067">
        <v>-1749218.3062005001</v>
      </c>
      <c r="AV28" s="1067">
        <v>-1776981.3062006</v>
      </c>
      <c r="AW28" s="1067">
        <v>-1799242.3062006</v>
      </c>
      <c r="AX28" s="1067">
        <v>133305.6937995</v>
      </c>
      <c r="AY28" s="1067">
        <v>378305.6937994</v>
      </c>
      <c r="AZ28" s="1067">
        <v>-1621694.3062006</v>
      </c>
      <c r="BA28" s="1067">
        <v>-1921694.3062005001</v>
      </c>
      <c r="BB28" s="1072">
        <v>-999499.75620059995</v>
      </c>
    </row>
    <row r="29" spans="2:54">
      <c r="B29" s="1086" t="s">
        <v>1050</v>
      </c>
      <c r="C29" s="1076" t="s">
        <v>1028</v>
      </c>
      <c r="D29" s="1076" t="s">
        <v>1029</v>
      </c>
      <c r="E29" s="1067">
        <v>319335007.31</v>
      </c>
      <c r="F29" s="1067">
        <v>320775996.06</v>
      </c>
      <c r="G29" s="1067">
        <v>322780376.91000009</v>
      </c>
      <c r="H29" s="1067">
        <v>323540950.86000001</v>
      </c>
      <c r="I29" s="1067">
        <v>312009179.04000002</v>
      </c>
      <c r="J29" s="1067">
        <v>314273149.45999998</v>
      </c>
      <c r="K29" s="1067">
        <v>313926385.86000001</v>
      </c>
      <c r="L29" s="1067">
        <v>313926385.86000001</v>
      </c>
      <c r="M29" s="1067">
        <v>313926385.86000001</v>
      </c>
      <c r="N29" s="1067">
        <v>313926385.86000001</v>
      </c>
      <c r="O29" s="1067">
        <v>313926385.86000001</v>
      </c>
      <c r="P29" s="1067">
        <v>313926385.86000001</v>
      </c>
      <c r="Q29" s="1067">
        <v>308751437.68982762</v>
      </c>
      <c r="R29" s="1067">
        <v>307064136.56685442</v>
      </c>
      <c r="S29" s="1067">
        <v>306231217.0073756</v>
      </c>
      <c r="T29" s="1067">
        <v>304935093.10007972</v>
      </c>
      <c r="U29" s="1067">
        <v>303309982.37142909</v>
      </c>
      <c r="V29" s="1067">
        <v>302450159.89339077</v>
      </c>
      <c r="W29" s="1067">
        <v>302450159.89339077</v>
      </c>
      <c r="X29" s="1067">
        <v>301054691.96590829</v>
      </c>
      <c r="Y29" s="1067">
        <v>299049586.9737671</v>
      </c>
      <c r="Z29" s="1067">
        <v>297811303.35302311</v>
      </c>
      <c r="AA29" s="1067">
        <v>296573325.15150911</v>
      </c>
      <c r="AB29" s="1067">
        <v>294985243.74062222</v>
      </c>
      <c r="AC29" s="1067">
        <v>293047125.53866088</v>
      </c>
      <c r="AD29" s="1067">
        <v>291409020.12777382</v>
      </c>
      <c r="AE29" s="1067">
        <v>291542325.82157338</v>
      </c>
      <c r="AF29" s="1067">
        <v>291759494.61949748</v>
      </c>
      <c r="AG29" s="1067">
        <v>290298937.20861042</v>
      </c>
      <c r="AH29" s="1067">
        <v>288216106.00709629</v>
      </c>
      <c r="AI29" s="1067">
        <v>287377743.14402157</v>
      </c>
      <c r="AJ29" s="1067">
        <v>-1464266.5072957999</v>
      </c>
      <c r="AK29" s="1067">
        <v>-1687301.1229731999</v>
      </c>
      <c r="AL29" s="1067">
        <v>-832919.55947880005</v>
      </c>
      <c r="AM29" s="1067">
        <v>-1296123.9072958999</v>
      </c>
      <c r="AN29" s="1067">
        <v>-1625110.7286506</v>
      </c>
      <c r="AO29" s="1067">
        <v>-859822.47803829995</v>
      </c>
      <c r="AP29" s="1067">
        <v>302450159.89339077</v>
      </c>
      <c r="AQ29" s="1067">
        <v>-1395467.9274826001</v>
      </c>
      <c r="AR29" s="1067">
        <v>-2005104.9921411001</v>
      </c>
      <c r="AS29" s="1067">
        <v>-1238283.620744</v>
      </c>
      <c r="AT29" s="1067">
        <v>-1237978.2015140001</v>
      </c>
      <c r="AU29" s="1067">
        <v>-1588081.4108869</v>
      </c>
      <c r="AV29" s="1067">
        <v>-1938118.2019613001</v>
      </c>
      <c r="AW29" s="1067">
        <v>-1638105.4108871</v>
      </c>
      <c r="AX29" s="1067">
        <v>133305.69379960001</v>
      </c>
      <c r="AY29" s="1067">
        <v>217168.79792410001</v>
      </c>
      <c r="AZ29" s="1067">
        <v>-1460557.4108871</v>
      </c>
      <c r="BA29" s="1067">
        <v>-2082831.2015141</v>
      </c>
      <c r="BB29" s="1072">
        <v>-838362.8630747</v>
      </c>
    </row>
    <row r="30" spans="2:54">
      <c r="B30" s="1079" t="s">
        <v>1051</v>
      </c>
      <c r="C30" s="1076" t="s">
        <v>1028</v>
      </c>
      <c r="D30" s="1076" t="s">
        <v>1029</v>
      </c>
      <c r="E30" s="1067">
        <v>-173459320.91</v>
      </c>
      <c r="F30" s="1067">
        <v>-174551723.44999999</v>
      </c>
      <c r="G30" s="1067">
        <v>-175671795.68000001</v>
      </c>
      <c r="H30" s="1067">
        <v>-176713017.56</v>
      </c>
      <c r="I30" s="1067">
        <v>-165634491.80000001</v>
      </c>
      <c r="J30" s="1067">
        <v>-167117654.53999999</v>
      </c>
      <c r="K30" s="1067">
        <v>-169226260.94</v>
      </c>
      <c r="L30" s="1067">
        <v>-169226260.94</v>
      </c>
      <c r="M30" s="1067">
        <v>-169226260.94</v>
      </c>
      <c r="N30" s="1067">
        <v>-169226260.94</v>
      </c>
      <c r="O30" s="1067">
        <v>-169226260.94</v>
      </c>
      <c r="P30" s="1067">
        <v>-169226260.94</v>
      </c>
      <c r="Q30" s="1067">
        <v>-151702270.34042561</v>
      </c>
      <c r="R30" s="1067">
        <v>-152882606.95313549</v>
      </c>
      <c r="S30" s="1067">
        <v>-146923575.03016561</v>
      </c>
      <c r="T30" s="1067">
        <v>-148105622.49915791</v>
      </c>
      <c r="U30" s="1067">
        <v>-149192464.2265707</v>
      </c>
      <c r="V30" s="1067">
        <v>-145218433.29313841</v>
      </c>
      <c r="W30" s="1067">
        <v>-145218433.29313841</v>
      </c>
      <c r="X30" s="1067">
        <v>-146399797.97470829</v>
      </c>
      <c r="Y30" s="1067">
        <v>-147278111.3775014</v>
      </c>
      <c r="Z30" s="1067">
        <v>-141927466.4524655</v>
      </c>
      <c r="AA30" s="1067">
        <v>-143040906.56136149</v>
      </c>
      <c r="AB30" s="1067">
        <v>-144272021.0944849</v>
      </c>
      <c r="AC30" s="1067">
        <v>-138275660.81021991</v>
      </c>
      <c r="AD30" s="1067">
        <v>-139482274.60722631</v>
      </c>
      <c r="AE30" s="1067">
        <v>-140740619.47512031</v>
      </c>
      <c r="AF30" s="1067">
        <v>-135268960.27468449</v>
      </c>
      <c r="AG30" s="1067">
        <v>-136506788.53837571</v>
      </c>
      <c r="AH30" s="1067">
        <v>-137645035.960989</v>
      </c>
      <c r="AI30" s="1067">
        <v>-135670620.65711159</v>
      </c>
      <c r="AJ30" s="1067">
        <v>-1163286.5309582001</v>
      </c>
      <c r="AK30" s="1067">
        <v>-1180336.6127098999</v>
      </c>
      <c r="AL30" s="1067">
        <v>5959031.9229699001</v>
      </c>
      <c r="AM30" s="1067">
        <v>-1182047.4689923001</v>
      </c>
      <c r="AN30" s="1067">
        <v>-1086841.7274128001</v>
      </c>
      <c r="AO30" s="1067">
        <v>3974030.9334323001</v>
      </c>
      <c r="AP30" s="1067">
        <v>-145218433.29313841</v>
      </c>
      <c r="AQ30" s="1067">
        <v>-1181364.6815698999</v>
      </c>
      <c r="AR30" s="1067">
        <v>-878313.40279309999</v>
      </c>
      <c r="AS30" s="1067">
        <v>5350644.9250359004</v>
      </c>
      <c r="AT30" s="1067">
        <v>-1113440.1088960001</v>
      </c>
      <c r="AU30" s="1067">
        <v>-1231114.5331234001</v>
      </c>
      <c r="AV30" s="1067">
        <v>5996360.2842650004</v>
      </c>
      <c r="AW30" s="1067">
        <v>-1206613.7970064001</v>
      </c>
      <c r="AX30" s="1067">
        <v>-1258344.8678939999</v>
      </c>
      <c r="AY30" s="1067">
        <v>5471659.2004357995</v>
      </c>
      <c r="AZ30" s="1067">
        <v>-1237828.2636911999</v>
      </c>
      <c r="BA30" s="1067">
        <v>-1138247.4226132999</v>
      </c>
      <c r="BB30" s="1072">
        <v>1974415.3038774</v>
      </c>
    </row>
    <row r="31" spans="2:54">
      <c r="B31" s="1079" t="s">
        <v>1052</v>
      </c>
      <c r="C31" s="1076" t="s">
        <v>1028</v>
      </c>
      <c r="D31" s="1076" t="s">
        <v>1029</v>
      </c>
      <c r="E31" s="1067">
        <v>-118466609.48999999</v>
      </c>
      <c r="F31" s="1067">
        <v>-118526425.52</v>
      </c>
      <c r="G31" s="1067">
        <v>-118590714.03</v>
      </c>
      <c r="H31" s="1067">
        <v>-118653289.88</v>
      </c>
      <c r="I31" s="1067">
        <v>-118718314.84</v>
      </c>
      <c r="J31" s="1067">
        <v>-118781607.52</v>
      </c>
      <c r="K31" s="1067">
        <v>-118847377.38</v>
      </c>
      <c r="L31" s="1067">
        <v>-118847377.38</v>
      </c>
      <c r="M31" s="1067">
        <v>-118847377.38</v>
      </c>
      <c r="N31" s="1067">
        <v>-118847377.38</v>
      </c>
      <c r="O31" s="1067">
        <v>-118847377.38</v>
      </c>
      <c r="P31" s="1067">
        <v>-118847377.38</v>
      </c>
      <c r="Q31" s="1067">
        <v>-129160685.60363279</v>
      </c>
      <c r="R31" s="1067">
        <v>-125577649.29139531</v>
      </c>
      <c r="S31" s="1067">
        <v>-129009032.31852479</v>
      </c>
      <c r="T31" s="1067">
        <v>-126546025.0285318</v>
      </c>
      <c r="U31" s="1067">
        <v>-123169633.46470851</v>
      </c>
      <c r="V31" s="1067">
        <v>-7496925.4943803996</v>
      </c>
      <c r="W31" s="1067">
        <v>-7496925.4943803996</v>
      </c>
      <c r="X31" s="1067">
        <v>-4802836.0630836999</v>
      </c>
      <c r="Y31" s="1067">
        <v>-1026328.8009669</v>
      </c>
      <c r="Z31" s="1067">
        <v>-4578520.9370734999</v>
      </c>
      <c r="AA31" s="1067">
        <v>-869080.95552790002</v>
      </c>
      <c r="AB31" s="1067">
        <v>2052542.3609257</v>
      </c>
      <c r="AC31" s="1067">
        <v>-1340127.2538802</v>
      </c>
      <c r="AD31" s="1067">
        <v>2283866.4475815999</v>
      </c>
      <c r="AE31" s="1067">
        <v>6055492.6627645995</v>
      </c>
      <c r="AF31" s="1067">
        <v>1326192.0895150001</v>
      </c>
      <c r="AG31" s="1067">
        <v>694438.54224820004</v>
      </c>
      <c r="AH31" s="1067">
        <v>4332463.1900287</v>
      </c>
      <c r="AI31" s="1067">
        <v>-119029997.30403461</v>
      </c>
      <c r="AJ31" s="1067">
        <v>3054463.9351009</v>
      </c>
      <c r="AK31" s="1067">
        <v>3583036.3122375002</v>
      </c>
      <c r="AL31" s="1067">
        <v>-3431383.0271295002</v>
      </c>
      <c r="AM31" s="1067">
        <v>2463007.2899930002</v>
      </c>
      <c r="AN31" s="1067">
        <v>3376391.5638232999</v>
      </c>
      <c r="AO31" s="1067">
        <v>115672707.97032809</v>
      </c>
      <c r="AP31" s="1067">
        <v>-7496925.4943803996</v>
      </c>
      <c r="AQ31" s="1067">
        <v>2694089.4312967001</v>
      </c>
      <c r="AR31" s="1067">
        <v>3776507.2621168001</v>
      </c>
      <c r="AS31" s="1067">
        <v>-3552192.1361066001</v>
      </c>
      <c r="AT31" s="1067">
        <v>3709439.9815456001</v>
      </c>
      <c r="AU31" s="1067">
        <v>2921623.3164535998</v>
      </c>
      <c r="AV31" s="1067">
        <v>-3392669.6148059</v>
      </c>
      <c r="AW31" s="1067">
        <v>3623993.7014617999</v>
      </c>
      <c r="AX31" s="1067">
        <v>3771626.2151830001</v>
      </c>
      <c r="AY31" s="1067">
        <v>-4729300.5732495999</v>
      </c>
      <c r="AZ31" s="1067">
        <v>-631753.54726679996</v>
      </c>
      <c r="BA31" s="1067">
        <v>3638024.6477804999</v>
      </c>
      <c r="BB31" s="1072">
        <v>-123362460.4940633</v>
      </c>
    </row>
    <row r="32" spans="2:54">
      <c r="B32" s="1080" t="s">
        <v>1053</v>
      </c>
      <c r="C32" s="1076" t="s">
        <v>1028</v>
      </c>
      <c r="D32" s="1076" t="s">
        <v>1029</v>
      </c>
      <c r="E32" s="1067">
        <v>-291925930.39999998</v>
      </c>
      <c r="F32" s="1067">
        <v>-293078148.97000003</v>
      </c>
      <c r="G32" s="1067">
        <v>-294262509.70999998</v>
      </c>
      <c r="H32" s="1067">
        <v>-295366307.44</v>
      </c>
      <c r="I32" s="1067">
        <v>-284352806.63999999</v>
      </c>
      <c r="J32" s="1067">
        <v>-285899262.06</v>
      </c>
      <c r="K32" s="1067">
        <v>-288073638.31999999</v>
      </c>
      <c r="L32" s="1067">
        <v>-288073638.31999999</v>
      </c>
      <c r="M32" s="1067">
        <v>-288073638.31999999</v>
      </c>
      <c r="N32" s="1067">
        <v>-288073638.31999999</v>
      </c>
      <c r="O32" s="1067">
        <v>-288073638.31999999</v>
      </c>
      <c r="P32" s="1067">
        <v>-288073638.31999999</v>
      </c>
      <c r="Q32" s="1067">
        <v>-280862955.94405842</v>
      </c>
      <c r="R32" s="1067">
        <v>-278460256.2445308</v>
      </c>
      <c r="S32" s="1067">
        <v>-275932607.34869039</v>
      </c>
      <c r="T32" s="1067">
        <v>-274651647.5276897</v>
      </c>
      <c r="U32" s="1067">
        <v>-272362097.69127911</v>
      </c>
      <c r="V32" s="1067">
        <v>-152715358.7875188</v>
      </c>
      <c r="W32" s="1067">
        <v>-152715358.7875188</v>
      </c>
      <c r="X32" s="1067">
        <v>-151202634.037792</v>
      </c>
      <c r="Y32" s="1067">
        <v>-148304440.17846829</v>
      </c>
      <c r="Z32" s="1067">
        <v>-146505987.389539</v>
      </c>
      <c r="AA32" s="1067">
        <v>-143909987.51688939</v>
      </c>
      <c r="AB32" s="1067">
        <v>-142219478.73355919</v>
      </c>
      <c r="AC32" s="1067">
        <v>-139615788.06410009</v>
      </c>
      <c r="AD32" s="1067">
        <v>-137198408.15964469</v>
      </c>
      <c r="AE32" s="1067">
        <v>-134685126.8123557</v>
      </c>
      <c r="AF32" s="1067">
        <v>-133942768.1851695</v>
      </c>
      <c r="AG32" s="1067">
        <v>-135812349.99612749</v>
      </c>
      <c r="AH32" s="1067">
        <v>-133312572.7709603</v>
      </c>
      <c r="AI32" s="1067">
        <v>-254700617.96114621</v>
      </c>
      <c r="AJ32" s="1067">
        <v>1891177.4041426999</v>
      </c>
      <c r="AK32" s="1067">
        <v>2402699.6995275998</v>
      </c>
      <c r="AL32" s="1067">
        <v>2527648.8958403999</v>
      </c>
      <c r="AM32" s="1067">
        <v>1280959.8210006999</v>
      </c>
      <c r="AN32" s="1067">
        <v>2289549.8364105001</v>
      </c>
      <c r="AO32" s="1067">
        <v>119646738.9037604</v>
      </c>
      <c r="AP32" s="1067">
        <v>-152715358.7875188</v>
      </c>
      <c r="AQ32" s="1067">
        <v>1512724.7497268</v>
      </c>
      <c r="AR32" s="1067">
        <v>2898193.8593237</v>
      </c>
      <c r="AS32" s="1067">
        <v>1798452.7889292999</v>
      </c>
      <c r="AT32" s="1067">
        <v>2595999.8726495998</v>
      </c>
      <c r="AU32" s="1067">
        <v>1690508.7833302</v>
      </c>
      <c r="AV32" s="1067">
        <v>2603690.6694590999</v>
      </c>
      <c r="AW32" s="1067">
        <v>2417379.9044554001</v>
      </c>
      <c r="AX32" s="1067">
        <v>2513281.3472890002</v>
      </c>
      <c r="AY32" s="1067">
        <v>742358.6271862</v>
      </c>
      <c r="AZ32" s="1067">
        <v>-1869581.8109579999</v>
      </c>
      <c r="BA32" s="1067">
        <v>2499777.2251672</v>
      </c>
      <c r="BB32" s="1072">
        <v>-121388045.1901859</v>
      </c>
    </row>
    <row r="33" spans="2:54">
      <c r="B33" s="1079" t="s">
        <v>1054</v>
      </c>
      <c r="C33" s="1076" t="s">
        <v>1028</v>
      </c>
      <c r="D33" s="1076" t="s">
        <v>1029</v>
      </c>
      <c r="E33" s="1067"/>
      <c r="F33" s="1067"/>
      <c r="G33" s="1067"/>
      <c r="H33" s="1067"/>
      <c r="I33" s="1067"/>
      <c r="J33" s="1067"/>
      <c r="K33" s="1067"/>
      <c r="L33" s="1067"/>
      <c r="M33" s="1067"/>
      <c r="N33" s="1067"/>
      <c r="O33" s="1067"/>
      <c r="P33" s="1067"/>
      <c r="Q33" s="1067"/>
      <c r="R33" s="1067"/>
      <c r="S33" s="1067"/>
      <c r="T33" s="1067"/>
      <c r="U33" s="1067"/>
      <c r="V33" s="1067">
        <v>-120000000</v>
      </c>
      <c r="W33" s="1067">
        <v>-120000000</v>
      </c>
      <c r="X33" s="1067">
        <v>-120000000</v>
      </c>
      <c r="Y33" s="1067">
        <v>-120000000</v>
      </c>
      <c r="Z33" s="1067">
        <v>-120000000</v>
      </c>
      <c r="AA33" s="1067">
        <v>-120000000</v>
      </c>
      <c r="AB33" s="1067">
        <v>-120000000</v>
      </c>
      <c r="AC33" s="1067">
        <v>-120000000</v>
      </c>
      <c r="AD33" s="1067">
        <v>-120000000</v>
      </c>
      <c r="AE33" s="1067">
        <v>-120000000</v>
      </c>
      <c r="AF33" s="1067">
        <v>-120000000</v>
      </c>
      <c r="AG33" s="1067">
        <v>-120000000</v>
      </c>
      <c r="AH33" s="1067">
        <v>-120000000</v>
      </c>
      <c r="AI33" s="1067"/>
      <c r="AJ33" s="1067"/>
      <c r="AK33" s="1067"/>
      <c r="AL33" s="1067"/>
      <c r="AM33" s="1067"/>
      <c r="AN33" s="1067"/>
      <c r="AO33" s="1067">
        <v>-120000000</v>
      </c>
      <c r="AP33" s="1067">
        <v>-120000000</v>
      </c>
      <c r="AQ33" s="1067"/>
      <c r="AR33" s="1067"/>
      <c r="AS33" s="1067"/>
      <c r="AT33" s="1067"/>
      <c r="AU33" s="1067"/>
      <c r="AV33" s="1067"/>
      <c r="AW33" s="1067"/>
      <c r="AX33" s="1067"/>
      <c r="AY33" s="1067"/>
      <c r="AZ33" s="1067"/>
      <c r="BA33" s="1067"/>
      <c r="BB33" s="1072">
        <v>120000000</v>
      </c>
    </row>
    <row r="34" spans="2:54">
      <c r="B34" s="1087" t="s">
        <v>1055</v>
      </c>
      <c r="C34" s="1076" t="s">
        <v>1028</v>
      </c>
      <c r="D34" s="1076" t="s">
        <v>1029</v>
      </c>
      <c r="E34" s="1067">
        <v>-1419188.7</v>
      </c>
      <c r="F34" s="1067">
        <v>-1216400.33</v>
      </c>
      <c r="G34" s="1067">
        <v>-1600148.46</v>
      </c>
      <c r="H34" s="1067">
        <v>-2347911.4500000002</v>
      </c>
      <c r="I34" s="1067">
        <v>-2649315.4</v>
      </c>
      <c r="J34" s="1067">
        <v>-2529767.62</v>
      </c>
      <c r="K34" s="1067">
        <v>-1577367.91</v>
      </c>
      <c r="L34" s="1067">
        <v>-1577367.91</v>
      </c>
      <c r="M34" s="1067">
        <v>-1577367.91</v>
      </c>
      <c r="N34" s="1067">
        <v>-1577367.91</v>
      </c>
      <c r="O34" s="1067">
        <v>-1577367.91</v>
      </c>
      <c r="P34" s="1067">
        <v>-1577367.91</v>
      </c>
      <c r="Q34" s="1067">
        <v>-1253989</v>
      </c>
      <c r="R34" s="1067">
        <v>-1248989</v>
      </c>
      <c r="S34" s="1067">
        <v>-1243989</v>
      </c>
      <c r="T34" s="1067">
        <v>-1243989</v>
      </c>
      <c r="U34" s="1067">
        <v>-1243989</v>
      </c>
      <c r="V34" s="1067">
        <v>-1213489</v>
      </c>
      <c r="W34" s="1067">
        <v>-1213489</v>
      </c>
      <c r="X34" s="1067">
        <v>-1350048</v>
      </c>
      <c r="Y34" s="1067">
        <v>-1294648</v>
      </c>
      <c r="Z34" s="1067">
        <v>-1299648</v>
      </c>
      <c r="AA34" s="1067">
        <v>-1299648</v>
      </c>
      <c r="AB34" s="1067">
        <v>-1319648</v>
      </c>
      <c r="AC34" s="1067">
        <v>-1294648</v>
      </c>
      <c r="AD34" s="1067">
        <v>-1350048</v>
      </c>
      <c r="AE34" s="1067">
        <v>-1299648</v>
      </c>
      <c r="AF34" s="1067">
        <v>-1294648</v>
      </c>
      <c r="AG34" s="1067">
        <v>-1299648</v>
      </c>
      <c r="AH34" s="1067">
        <v>-1294648</v>
      </c>
      <c r="AI34" s="1067">
        <v>-1294648</v>
      </c>
      <c r="AJ34" s="1067">
        <v>10000</v>
      </c>
      <c r="AK34" s="1067">
        <v>5000</v>
      </c>
      <c r="AL34" s="1067">
        <v>5000</v>
      </c>
      <c r="AM34" s="1067"/>
      <c r="AN34" s="1067"/>
      <c r="AO34" s="1067">
        <v>30500</v>
      </c>
      <c r="AP34" s="1067">
        <v>-1213489</v>
      </c>
      <c r="AQ34" s="1067">
        <v>-136559</v>
      </c>
      <c r="AR34" s="1067">
        <v>55400</v>
      </c>
      <c r="AS34" s="1067">
        <v>-5000</v>
      </c>
      <c r="AT34" s="1067"/>
      <c r="AU34" s="1067">
        <v>-20000</v>
      </c>
      <c r="AV34" s="1067">
        <v>25000</v>
      </c>
      <c r="AW34" s="1067">
        <v>-55400</v>
      </c>
      <c r="AX34" s="1067">
        <v>50400</v>
      </c>
      <c r="AY34" s="1067">
        <v>5000</v>
      </c>
      <c r="AZ34" s="1067">
        <v>-5000</v>
      </c>
      <c r="BA34" s="1067">
        <v>5000</v>
      </c>
      <c r="BB34" s="1072"/>
    </row>
    <row r="35" spans="2:54">
      <c r="B35" s="1087" t="s">
        <v>1056</v>
      </c>
      <c r="C35" s="1076" t="s">
        <v>1028</v>
      </c>
      <c r="D35" s="1076" t="s">
        <v>1029</v>
      </c>
      <c r="E35" s="1067">
        <v>-218356.94</v>
      </c>
      <c r="F35" s="1067">
        <v>-253612.98</v>
      </c>
      <c r="G35" s="1067">
        <v>-191129</v>
      </c>
      <c r="H35" s="1067">
        <v>-170142.06</v>
      </c>
      <c r="I35" s="1067">
        <v>-113977.91</v>
      </c>
      <c r="J35" s="1067">
        <v>-74281.100000000006</v>
      </c>
      <c r="K35" s="1067">
        <v>89672.83</v>
      </c>
      <c r="L35" s="1067">
        <v>89672.83</v>
      </c>
      <c r="M35" s="1067">
        <v>89672.83</v>
      </c>
      <c r="N35" s="1067">
        <v>89672.83</v>
      </c>
      <c r="O35" s="1067">
        <v>89672.83</v>
      </c>
      <c r="P35" s="1067">
        <v>89672.83</v>
      </c>
      <c r="Q35" s="1067"/>
      <c r="R35" s="1067"/>
      <c r="S35" s="1067"/>
      <c r="T35" s="1067"/>
      <c r="U35" s="1067"/>
      <c r="V35" s="1067"/>
      <c r="W35" s="1067"/>
      <c r="X35" s="1067"/>
      <c r="Y35" s="1067"/>
      <c r="Z35" s="1067"/>
      <c r="AA35" s="1067"/>
      <c r="AB35" s="1067"/>
      <c r="AC35" s="1067"/>
      <c r="AD35" s="1067"/>
      <c r="AE35" s="1067"/>
      <c r="AF35" s="1067"/>
      <c r="AG35" s="1067"/>
      <c r="AH35" s="1067"/>
      <c r="AI35" s="1067"/>
      <c r="AJ35" s="1067"/>
      <c r="AK35" s="1067"/>
      <c r="AL35" s="1067"/>
      <c r="AM35" s="1067"/>
      <c r="AN35" s="1067"/>
      <c r="AO35" s="1067"/>
      <c r="AP35" s="1067"/>
      <c r="AQ35" s="1067"/>
      <c r="AR35" s="1067"/>
      <c r="AS35" s="1067"/>
      <c r="AT35" s="1067"/>
      <c r="AU35" s="1067"/>
      <c r="AV35" s="1067"/>
      <c r="AW35" s="1067"/>
      <c r="AX35" s="1067"/>
      <c r="AY35" s="1067"/>
      <c r="AZ35" s="1067"/>
      <c r="BA35" s="1067"/>
      <c r="BB35" s="1072"/>
    </row>
    <row r="36" spans="2:54">
      <c r="B36" s="1087" t="s">
        <v>1057</v>
      </c>
      <c r="C36" s="1076" t="s">
        <v>1028</v>
      </c>
      <c r="D36" s="1076" t="s">
        <v>1029</v>
      </c>
      <c r="E36" s="1067">
        <v>-104404.63</v>
      </c>
      <c r="F36" s="1067">
        <v>-107283.05</v>
      </c>
      <c r="G36" s="1067">
        <v>-52767.54</v>
      </c>
      <c r="H36" s="1067">
        <v>-53289.01</v>
      </c>
      <c r="I36" s="1067">
        <v>-53294.44</v>
      </c>
      <c r="J36" s="1067">
        <v>-53837.96</v>
      </c>
      <c r="K36" s="1067">
        <v>-54249.18</v>
      </c>
      <c r="L36" s="1067">
        <v>-54249.18</v>
      </c>
      <c r="M36" s="1067">
        <v>-54249.18</v>
      </c>
      <c r="N36" s="1067">
        <v>-54249.18</v>
      </c>
      <c r="O36" s="1067">
        <v>-54249.18</v>
      </c>
      <c r="P36" s="1067">
        <v>-54249.18</v>
      </c>
      <c r="Q36" s="1067">
        <v>-53294.44</v>
      </c>
      <c r="R36" s="1067">
        <v>-53294.44</v>
      </c>
      <c r="S36" s="1067">
        <v>-53294.44</v>
      </c>
      <c r="T36" s="1067">
        <v>-53294.44</v>
      </c>
      <c r="U36" s="1067">
        <v>-53294.44</v>
      </c>
      <c r="V36" s="1067">
        <v>-53294.44</v>
      </c>
      <c r="W36" s="1067">
        <v>-53294.44</v>
      </c>
      <c r="X36" s="1067">
        <v>-53294.44</v>
      </c>
      <c r="Y36" s="1067">
        <v>-53294.44</v>
      </c>
      <c r="Z36" s="1067">
        <v>-53294.44</v>
      </c>
      <c r="AA36" s="1067">
        <v>-53294.44</v>
      </c>
      <c r="AB36" s="1067">
        <v>-53294.44</v>
      </c>
      <c r="AC36" s="1067">
        <v>-53294.44</v>
      </c>
      <c r="AD36" s="1067">
        <v>-53294.44</v>
      </c>
      <c r="AE36" s="1067">
        <v>-53294.44</v>
      </c>
      <c r="AF36" s="1067">
        <v>-53294.44</v>
      </c>
      <c r="AG36" s="1067">
        <v>-53294.44</v>
      </c>
      <c r="AH36" s="1067">
        <v>-53294.44</v>
      </c>
      <c r="AI36" s="1067">
        <v>-53294.44</v>
      </c>
      <c r="AJ36" s="1067"/>
      <c r="AK36" s="1067"/>
      <c r="AL36" s="1067"/>
      <c r="AM36" s="1067"/>
      <c r="AN36" s="1067"/>
      <c r="AO36" s="1067"/>
      <c r="AP36" s="1067">
        <v>-53294.44</v>
      </c>
      <c r="AQ36" s="1067"/>
      <c r="AR36" s="1067"/>
      <c r="AS36" s="1067"/>
      <c r="AT36" s="1067"/>
      <c r="AU36" s="1067"/>
      <c r="AV36" s="1067"/>
      <c r="AW36" s="1067"/>
      <c r="AX36" s="1067"/>
      <c r="AY36" s="1067"/>
      <c r="AZ36" s="1067"/>
      <c r="BA36" s="1067"/>
      <c r="BB36" s="1072"/>
    </row>
    <row r="37" spans="2:54">
      <c r="B37" s="1085" t="s">
        <v>1058</v>
      </c>
      <c r="C37" s="1076" t="s">
        <v>1028</v>
      </c>
      <c r="D37" s="1076" t="s">
        <v>1029</v>
      </c>
      <c r="E37" s="1067">
        <v>-1741950.27</v>
      </c>
      <c r="F37" s="1067">
        <v>-1577296.36</v>
      </c>
      <c r="G37" s="1067">
        <v>-1844045</v>
      </c>
      <c r="H37" s="1067">
        <v>-2571342.52</v>
      </c>
      <c r="I37" s="1067">
        <v>-2816587.75</v>
      </c>
      <c r="J37" s="1067">
        <v>-2657886.6800000002</v>
      </c>
      <c r="K37" s="1067">
        <v>-1541944.26</v>
      </c>
      <c r="L37" s="1067">
        <v>-1541944.26</v>
      </c>
      <c r="M37" s="1067">
        <v>-1541944.26</v>
      </c>
      <c r="N37" s="1067">
        <v>-1541944.26</v>
      </c>
      <c r="O37" s="1067">
        <v>-1541944.26</v>
      </c>
      <c r="P37" s="1067">
        <v>-1541944.26</v>
      </c>
      <c r="Q37" s="1067">
        <v>-1307283.44</v>
      </c>
      <c r="R37" s="1067">
        <v>-1302283.44</v>
      </c>
      <c r="S37" s="1067">
        <v>-1297283.44</v>
      </c>
      <c r="T37" s="1067">
        <v>-1297283.44</v>
      </c>
      <c r="U37" s="1067">
        <v>-1297283.44</v>
      </c>
      <c r="V37" s="1067">
        <v>-1266783.44</v>
      </c>
      <c r="W37" s="1067">
        <v>-1266783.44</v>
      </c>
      <c r="X37" s="1067">
        <v>-1403342.44</v>
      </c>
      <c r="Y37" s="1067">
        <v>-1347942.44</v>
      </c>
      <c r="Z37" s="1067">
        <v>-1352942.44</v>
      </c>
      <c r="AA37" s="1067">
        <v>-1352942.44</v>
      </c>
      <c r="AB37" s="1067">
        <v>-1372942.44</v>
      </c>
      <c r="AC37" s="1067">
        <v>-1347942.44</v>
      </c>
      <c r="AD37" s="1067">
        <v>-1403342.44</v>
      </c>
      <c r="AE37" s="1067">
        <v>-1352942.44</v>
      </c>
      <c r="AF37" s="1067">
        <v>-1347942.44</v>
      </c>
      <c r="AG37" s="1067">
        <v>-1352942.44</v>
      </c>
      <c r="AH37" s="1067">
        <v>-1347942.44</v>
      </c>
      <c r="AI37" s="1067">
        <v>-1347942.44</v>
      </c>
      <c r="AJ37" s="1067">
        <v>10000</v>
      </c>
      <c r="AK37" s="1067">
        <v>5000</v>
      </c>
      <c r="AL37" s="1067">
        <v>5000</v>
      </c>
      <c r="AM37" s="1067"/>
      <c r="AN37" s="1067"/>
      <c r="AO37" s="1067">
        <v>30500</v>
      </c>
      <c r="AP37" s="1067">
        <v>-1266783.44</v>
      </c>
      <c r="AQ37" s="1067">
        <v>-136559</v>
      </c>
      <c r="AR37" s="1067">
        <v>55400</v>
      </c>
      <c r="AS37" s="1067">
        <v>-5000</v>
      </c>
      <c r="AT37" s="1067"/>
      <c r="AU37" s="1067">
        <v>-20000</v>
      </c>
      <c r="AV37" s="1067">
        <v>25000</v>
      </c>
      <c r="AW37" s="1067">
        <v>-55400</v>
      </c>
      <c r="AX37" s="1067">
        <v>50400</v>
      </c>
      <c r="AY37" s="1067">
        <v>5000</v>
      </c>
      <c r="AZ37" s="1067">
        <v>-5000</v>
      </c>
      <c r="BA37" s="1067">
        <v>5000</v>
      </c>
      <c r="BB37" s="1072"/>
    </row>
    <row r="38" spans="2:54">
      <c r="B38" s="1079" t="s">
        <v>1059</v>
      </c>
      <c r="C38" s="1076" t="s">
        <v>1028</v>
      </c>
      <c r="D38" s="1076" t="s">
        <v>1029</v>
      </c>
      <c r="E38" s="1067">
        <v>-355199.86</v>
      </c>
      <c r="F38" s="1067">
        <v>-252289.77</v>
      </c>
      <c r="G38" s="1067">
        <v>-1280853.47</v>
      </c>
      <c r="H38" s="1067">
        <v>-22635.77</v>
      </c>
      <c r="I38" s="1067">
        <v>-22677.93</v>
      </c>
      <c r="J38" s="1067">
        <v>-455688.64</v>
      </c>
      <c r="K38" s="1067">
        <v>-197688.3</v>
      </c>
      <c r="L38" s="1067">
        <v>-197688.3</v>
      </c>
      <c r="M38" s="1067">
        <v>-197688.3</v>
      </c>
      <c r="N38" s="1067">
        <v>-197688.3</v>
      </c>
      <c r="O38" s="1067">
        <v>-197688.3</v>
      </c>
      <c r="P38" s="1067">
        <v>-197688.3</v>
      </c>
      <c r="Q38" s="1067">
        <v>-326908.45022910001</v>
      </c>
      <c r="R38" s="1067">
        <v>-430702.14298539999</v>
      </c>
      <c r="S38" s="1067">
        <v>-498067.8086479</v>
      </c>
      <c r="T38" s="1067">
        <v>-602583.26475259999</v>
      </c>
      <c r="U38" s="1067">
        <v>-673437.85554300004</v>
      </c>
      <c r="V38" s="1067">
        <v>1617857.4518154999</v>
      </c>
      <c r="W38" s="1067">
        <v>1617857.4518154999</v>
      </c>
      <c r="X38" s="1067">
        <v>1111588.6321847001</v>
      </c>
      <c r="Y38" s="1067">
        <v>712545.76761550002</v>
      </c>
      <c r="Z38" s="1067">
        <v>188309.6020436</v>
      </c>
      <c r="AA38" s="1067">
        <v>-293926.06647860003</v>
      </c>
      <c r="AB38" s="1067">
        <v>-817797.43630850001</v>
      </c>
      <c r="AC38" s="1067">
        <v>-1305199.9011927999</v>
      </c>
      <c r="AD38" s="1067">
        <v>-1820402.3921478</v>
      </c>
      <c r="AE38" s="1067">
        <v>-2353908.4306228999</v>
      </c>
      <c r="AF38" s="1067">
        <v>-2842502.8531197999</v>
      </c>
      <c r="AG38" s="1067">
        <v>-1276430.6286613001</v>
      </c>
      <c r="AH38" s="1067">
        <v>-1767443.649701</v>
      </c>
      <c r="AI38" s="1067">
        <v>1617857.4518154999</v>
      </c>
      <c r="AJ38" s="1067">
        <v>-97732.758500399999</v>
      </c>
      <c r="AK38" s="1067">
        <v>-103793.69275630001</v>
      </c>
      <c r="AL38" s="1067">
        <v>-67365.665662500003</v>
      </c>
      <c r="AM38" s="1067">
        <v>-104515.4561047</v>
      </c>
      <c r="AN38" s="1067">
        <v>-70854.590790400005</v>
      </c>
      <c r="AO38" s="1067">
        <v>2291295.3073585001</v>
      </c>
      <c r="AP38" s="1067">
        <v>1617857.4518154999</v>
      </c>
      <c r="AQ38" s="1067">
        <v>-506268.81963079999</v>
      </c>
      <c r="AR38" s="1067">
        <v>-399042.86456920003</v>
      </c>
      <c r="AS38" s="1067">
        <v>-524236.16557190003</v>
      </c>
      <c r="AT38" s="1067">
        <v>-482235.66852220002</v>
      </c>
      <c r="AU38" s="1067">
        <v>-523871.36982989998</v>
      </c>
      <c r="AV38" s="1067">
        <v>-487402.46488430002</v>
      </c>
      <c r="AW38" s="1067">
        <v>-515202.49095499999</v>
      </c>
      <c r="AX38" s="1067">
        <v>-533506.03847509995</v>
      </c>
      <c r="AY38" s="1067">
        <v>-488594.42249690002</v>
      </c>
      <c r="AZ38" s="1067">
        <v>1566072.2244585</v>
      </c>
      <c r="BA38" s="1067">
        <v>-491013.02103970002</v>
      </c>
      <c r="BB38" s="1072">
        <v>3385301.1015165001</v>
      </c>
    </row>
    <row r="39" spans="2:54">
      <c r="B39" s="1079" t="s">
        <v>1060</v>
      </c>
      <c r="C39" s="1076" t="s">
        <v>1028</v>
      </c>
      <c r="D39" s="1076" t="s">
        <v>1029</v>
      </c>
      <c r="E39" s="1067">
        <v>-160000</v>
      </c>
      <c r="F39" s="1067">
        <v>-150000</v>
      </c>
      <c r="G39" s="1067">
        <v>-150000</v>
      </c>
      <c r="H39" s="1067">
        <v>-159738.64000000001</v>
      </c>
      <c r="I39" s="1067">
        <v>-159738.64000000001</v>
      </c>
      <c r="J39" s="1067"/>
      <c r="K39" s="1067"/>
      <c r="L39" s="1067"/>
      <c r="M39" s="1067"/>
      <c r="N39" s="1067"/>
      <c r="O39" s="1067"/>
      <c r="P39" s="1067"/>
      <c r="Q39" s="1067">
        <v>-330724.64</v>
      </c>
      <c r="R39" s="1067">
        <v>-314311.64</v>
      </c>
      <c r="S39" s="1067">
        <v>-1313715.6399999999</v>
      </c>
      <c r="T39" s="1067">
        <v>-561134.64</v>
      </c>
      <c r="U39" s="1067">
        <v>-521842.64</v>
      </c>
      <c r="V39" s="1067">
        <v>-997729.64</v>
      </c>
      <c r="W39" s="1067">
        <v>-997729.64</v>
      </c>
      <c r="X39" s="1067">
        <v>-241225.64</v>
      </c>
      <c r="Y39" s="1067">
        <v>-559738.64</v>
      </c>
      <c r="Z39" s="1067">
        <v>-359738.64</v>
      </c>
      <c r="AA39" s="1067">
        <v>-1004591.64</v>
      </c>
      <c r="AB39" s="1067">
        <v>-332214.64</v>
      </c>
      <c r="AC39" s="1067">
        <v>-304451.64</v>
      </c>
      <c r="AD39" s="1067">
        <v>-282190.64</v>
      </c>
      <c r="AE39" s="1067">
        <v>-2214738.64</v>
      </c>
      <c r="AF39" s="1067">
        <v>-2459738.64</v>
      </c>
      <c r="AG39" s="1067">
        <v>-459738.64</v>
      </c>
      <c r="AH39" s="1067">
        <v>-159738.64000000001</v>
      </c>
      <c r="AI39" s="1067">
        <v>-1089738.6399999999</v>
      </c>
      <c r="AJ39" s="1067">
        <v>293868</v>
      </c>
      <c r="AK39" s="1067">
        <v>16413</v>
      </c>
      <c r="AL39" s="1067">
        <v>-999404</v>
      </c>
      <c r="AM39" s="1067">
        <v>752581</v>
      </c>
      <c r="AN39" s="1067">
        <v>39292</v>
      </c>
      <c r="AO39" s="1067">
        <v>-475887</v>
      </c>
      <c r="AP39" s="1067">
        <v>-997729.64</v>
      </c>
      <c r="AQ39" s="1067">
        <v>756504</v>
      </c>
      <c r="AR39" s="1067">
        <v>-318513</v>
      </c>
      <c r="AS39" s="1067">
        <v>200000</v>
      </c>
      <c r="AT39" s="1067">
        <v>-644853</v>
      </c>
      <c r="AU39" s="1067">
        <v>672377</v>
      </c>
      <c r="AV39" s="1067">
        <v>27763</v>
      </c>
      <c r="AW39" s="1067">
        <v>22261</v>
      </c>
      <c r="AX39" s="1067">
        <v>-1932548</v>
      </c>
      <c r="AY39" s="1067">
        <v>-245000</v>
      </c>
      <c r="AZ39" s="1067">
        <v>2000000</v>
      </c>
      <c r="BA39" s="1067">
        <v>300000</v>
      </c>
      <c r="BB39" s="1072">
        <v>-930000</v>
      </c>
    </row>
    <row r="40" spans="2:54">
      <c r="B40" s="1079" t="s">
        <v>1061</v>
      </c>
      <c r="C40" s="1076" t="s">
        <v>1028</v>
      </c>
      <c r="D40" s="1076" t="s">
        <v>1029</v>
      </c>
      <c r="E40" s="1067">
        <v>-1175469.17</v>
      </c>
      <c r="F40" s="1067">
        <v>-1506166.88</v>
      </c>
      <c r="G40" s="1067">
        <v>-957280.39</v>
      </c>
      <c r="H40" s="1067">
        <v>-894280.52</v>
      </c>
      <c r="I40" s="1067">
        <v>-265437.5</v>
      </c>
      <c r="J40" s="1067">
        <v>-442030.83</v>
      </c>
      <c r="K40" s="1067">
        <v>-108221.36</v>
      </c>
      <c r="L40" s="1067">
        <v>-108221.36</v>
      </c>
      <c r="M40" s="1067">
        <v>-108221.36</v>
      </c>
      <c r="N40" s="1067">
        <v>-108221.36</v>
      </c>
      <c r="O40" s="1067">
        <v>-108221.36</v>
      </c>
      <c r="P40" s="1067">
        <v>-108221.36</v>
      </c>
      <c r="Q40" s="1067">
        <v>-265437.5</v>
      </c>
      <c r="R40" s="1067">
        <v>-265437.5</v>
      </c>
      <c r="S40" s="1067">
        <v>-265437.5</v>
      </c>
      <c r="T40" s="1067">
        <v>-265437.5</v>
      </c>
      <c r="U40" s="1067">
        <v>-265437.5</v>
      </c>
      <c r="V40" s="1067">
        <v>-265437.5</v>
      </c>
      <c r="W40" s="1067">
        <v>-265437.5</v>
      </c>
      <c r="X40" s="1067">
        <v>-265437.5</v>
      </c>
      <c r="Y40" s="1067">
        <v>-265437.5</v>
      </c>
      <c r="Z40" s="1067">
        <v>-265437.5</v>
      </c>
      <c r="AA40" s="1067">
        <v>-265437.5</v>
      </c>
      <c r="AB40" s="1067">
        <v>-265437.5</v>
      </c>
      <c r="AC40" s="1067">
        <v>-265437.5</v>
      </c>
      <c r="AD40" s="1067">
        <v>-265437.5</v>
      </c>
      <c r="AE40" s="1067">
        <v>-265437.5</v>
      </c>
      <c r="AF40" s="1067">
        <v>-265437.5</v>
      </c>
      <c r="AG40" s="1067">
        <v>-265437.5</v>
      </c>
      <c r="AH40" s="1067">
        <v>-265437.5</v>
      </c>
      <c r="AI40" s="1067">
        <v>-265437.5</v>
      </c>
      <c r="AJ40" s="1067"/>
      <c r="AK40" s="1067"/>
      <c r="AL40" s="1067"/>
      <c r="AM40" s="1067"/>
      <c r="AN40" s="1067"/>
      <c r="AO40" s="1067"/>
      <c r="AP40" s="1067">
        <v>-265437.5</v>
      </c>
      <c r="AQ40" s="1067"/>
      <c r="AR40" s="1067"/>
      <c r="AS40" s="1067"/>
      <c r="AT40" s="1067"/>
      <c r="AU40" s="1067"/>
      <c r="AV40" s="1067"/>
      <c r="AW40" s="1067"/>
      <c r="AX40" s="1067"/>
      <c r="AY40" s="1067"/>
      <c r="AZ40" s="1067"/>
      <c r="BA40" s="1067"/>
      <c r="BB40" s="1072"/>
    </row>
    <row r="41" spans="2:54">
      <c r="B41" s="1080" t="s">
        <v>1062</v>
      </c>
      <c r="C41" s="1076" t="s">
        <v>1028</v>
      </c>
      <c r="D41" s="1076" t="s">
        <v>1029</v>
      </c>
      <c r="E41" s="1067">
        <v>-3432619.3</v>
      </c>
      <c r="F41" s="1067">
        <v>-3485753.01</v>
      </c>
      <c r="G41" s="1067">
        <v>-4232178.8600000003</v>
      </c>
      <c r="H41" s="1067">
        <v>-3647997.45</v>
      </c>
      <c r="I41" s="1067">
        <v>-3264441.82</v>
      </c>
      <c r="J41" s="1067">
        <v>-3555606.15</v>
      </c>
      <c r="K41" s="1067">
        <v>-1847853.92</v>
      </c>
      <c r="L41" s="1067">
        <v>-1847853.92</v>
      </c>
      <c r="M41" s="1067">
        <v>-1847853.92</v>
      </c>
      <c r="N41" s="1067">
        <v>-1847853.92</v>
      </c>
      <c r="O41" s="1067">
        <v>-1847853.92</v>
      </c>
      <c r="P41" s="1067">
        <v>-1847853.92</v>
      </c>
      <c r="Q41" s="1067">
        <v>-2230354.0302291</v>
      </c>
      <c r="R41" s="1067">
        <v>-2312734.7229853999</v>
      </c>
      <c r="S41" s="1067">
        <v>-3374504.3886479</v>
      </c>
      <c r="T41" s="1067">
        <v>-2726438.8447526</v>
      </c>
      <c r="U41" s="1067">
        <v>-2758001.4355430002</v>
      </c>
      <c r="V41" s="1067">
        <v>-120912093.1281845</v>
      </c>
      <c r="W41" s="1067">
        <v>-120912093.1281845</v>
      </c>
      <c r="X41" s="1067">
        <v>-120798416.9478153</v>
      </c>
      <c r="Y41" s="1067">
        <v>-121460572.8123845</v>
      </c>
      <c r="Z41" s="1067">
        <v>-121789808.9779564</v>
      </c>
      <c r="AA41" s="1067">
        <v>-122916897.64647859</v>
      </c>
      <c r="AB41" s="1067">
        <v>-122788392.0163085</v>
      </c>
      <c r="AC41" s="1067">
        <v>-123223031.4811928</v>
      </c>
      <c r="AD41" s="1067">
        <v>-123771372.97214779</v>
      </c>
      <c r="AE41" s="1067">
        <v>-126187027.0106229</v>
      </c>
      <c r="AF41" s="1067">
        <v>-126915621.4331198</v>
      </c>
      <c r="AG41" s="1067">
        <v>-123354549.2086613</v>
      </c>
      <c r="AH41" s="1067">
        <v>-123540562.229701</v>
      </c>
      <c r="AI41" s="1067">
        <v>-1085261.1281844999</v>
      </c>
      <c r="AJ41" s="1067">
        <v>206135.2414996</v>
      </c>
      <c r="AK41" s="1067">
        <v>-82380.692756300006</v>
      </c>
      <c r="AL41" s="1067">
        <v>-1061769.6656625001</v>
      </c>
      <c r="AM41" s="1067">
        <v>648065.54389530001</v>
      </c>
      <c r="AN41" s="1067">
        <v>-31562.590790400001</v>
      </c>
      <c r="AO41" s="1067">
        <v>-118154091.6926415</v>
      </c>
      <c r="AP41" s="1067">
        <v>-120912093.1281845</v>
      </c>
      <c r="AQ41" s="1067">
        <v>113676.1803692</v>
      </c>
      <c r="AR41" s="1067">
        <v>-662155.86456919997</v>
      </c>
      <c r="AS41" s="1067">
        <v>-329236.16557190003</v>
      </c>
      <c r="AT41" s="1067">
        <v>-1127088.6685222001</v>
      </c>
      <c r="AU41" s="1067">
        <v>128505.6301701</v>
      </c>
      <c r="AV41" s="1067">
        <v>-434639.46488430002</v>
      </c>
      <c r="AW41" s="1067">
        <v>-548341.49095500004</v>
      </c>
      <c r="AX41" s="1067">
        <v>-2415654.0384751</v>
      </c>
      <c r="AY41" s="1067">
        <v>-728594.42249689996</v>
      </c>
      <c r="AZ41" s="1067">
        <v>3561072.2244584998</v>
      </c>
      <c r="BA41" s="1067">
        <v>-186013.02103969999</v>
      </c>
      <c r="BB41" s="1072">
        <v>122455301.1015165</v>
      </c>
    </row>
    <row r="42" spans="2:54">
      <c r="B42" s="1079" t="s">
        <v>1063</v>
      </c>
      <c r="C42" s="1076" t="s">
        <v>1028</v>
      </c>
      <c r="D42" s="1076" t="s">
        <v>1029</v>
      </c>
      <c r="E42" s="1067">
        <v>-22448916</v>
      </c>
      <c r="F42" s="1067">
        <v>-22688044</v>
      </c>
      <c r="G42" s="1067">
        <v>-22587749</v>
      </c>
      <c r="H42" s="1067">
        <v>-22832203</v>
      </c>
      <c r="I42" s="1067">
        <v>-22701196</v>
      </c>
      <c r="J42" s="1067">
        <v>-22953467</v>
      </c>
      <c r="K42" s="1067">
        <v>-22143583</v>
      </c>
      <c r="L42" s="1067">
        <v>-22143583</v>
      </c>
      <c r="M42" s="1067">
        <v>-22143583</v>
      </c>
      <c r="N42" s="1067">
        <v>-22143583</v>
      </c>
      <c r="O42" s="1067">
        <v>-22143583</v>
      </c>
      <c r="P42" s="1067">
        <v>-22143583</v>
      </c>
      <c r="Q42" s="1067">
        <v>-23967393.135540102</v>
      </c>
      <c r="R42" s="1067">
        <v>-24600411.019338202</v>
      </c>
      <c r="S42" s="1067">
        <v>-25233370.690037299</v>
      </c>
      <c r="T42" s="1067">
        <v>-25866272.147637401</v>
      </c>
      <c r="U42" s="1067">
        <v>-26499148.664606899</v>
      </c>
      <c r="V42" s="1067">
        <v>-27131973.397687498</v>
      </c>
      <c r="W42" s="1067">
        <v>-27131973.397687498</v>
      </c>
      <c r="X42" s="1067">
        <v>-27362906.400300901</v>
      </c>
      <c r="Y42" s="1067">
        <v>-27593839.402914301</v>
      </c>
      <c r="Z42" s="1067">
        <v>-27824772.4055277</v>
      </c>
      <c r="AA42" s="1067">
        <v>-28055705.408141099</v>
      </c>
      <c r="AB42" s="1067">
        <v>-28286638.410754502</v>
      </c>
      <c r="AC42" s="1067">
        <v>-28517571.413368002</v>
      </c>
      <c r="AD42" s="1067">
        <v>-28748504.4159813</v>
      </c>
      <c r="AE42" s="1067">
        <v>-28979437.4185948</v>
      </c>
      <c r="AF42" s="1067">
        <v>-29210370.421208199</v>
      </c>
      <c r="AG42" s="1067">
        <v>-29441303.423821598</v>
      </c>
      <c r="AH42" s="1067">
        <v>-29672236.426435001</v>
      </c>
      <c r="AI42" s="1067">
        <v>-29901129.474690899</v>
      </c>
      <c r="AJ42" s="1067">
        <v>-633046.1383465</v>
      </c>
      <c r="AK42" s="1067">
        <v>-633017.88379810005</v>
      </c>
      <c r="AL42" s="1067">
        <v>-632959.67069910001</v>
      </c>
      <c r="AM42" s="1067">
        <v>-632901.45760009997</v>
      </c>
      <c r="AN42" s="1067">
        <v>-632876.51696949999</v>
      </c>
      <c r="AO42" s="1067">
        <v>-632824.73308060004</v>
      </c>
      <c r="AP42" s="1067">
        <v>-27131973.397687498</v>
      </c>
      <c r="AQ42" s="1067">
        <v>-230933.00261339999</v>
      </c>
      <c r="AR42" s="1067">
        <v>-230933.00261339999</v>
      </c>
      <c r="AS42" s="1067">
        <v>-230933.00261339999</v>
      </c>
      <c r="AT42" s="1067">
        <v>-230933.00261339999</v>
      </c>
      <c r="AU42" s="1067">
        <v>-230933.00261339999</v>
      </c>
      <c r="AV42" s="1067">
        <v>-230933.00261349999</v>
      </c>
      <c r="AW42" s="1067">
        <v>-230933.00261329999</v>
      </c>
      <c r="AX42" s="1067">
        <v>-230933.00261349999</v>
      </c>
      <c r="AY42" s="1067">
        <v>-230933.00261339999</v>
      </c>
      <c r="AZ42" s="1067">
        <v>-230933.00261339999</v>
      </c>
      <c r="BA42" s="1067">
        <v>-230933.00261339999</v>
      </c>
      <c r="BB42" s="1072">
        <v>-228893.04825590001</v>
      </c>
    </row>
    <row r="43" spans="2:54">
      <c r="B43" s="1079" t="s">
        <v>1064</v>
      </c>
      <c r="C43" s="1076" t="s">
        <v>1028</v>
      </c>
      <c r="D43" s="1076" t="s">
        <v>1029</v>
      </c>
      <c r="E43" s="1067">
        <v>-1182330.74</v>
      </c>
      <c r="F43" s="1067">
        <v>-1182330.74</v>
      </c>
      <c r="G43" s="1067">
        <v>-1359713.95</v>
      </c>
      <c r="H43" s="1067">
        <v>-1359713.95</v>
      </c>
      <c r="I43" s="1067">
        <v>-1359713.95</v>
      </c>
      <c r="J43" s="1067">
        <v>-1537294.82</v>
      </c>
      <c r="K43" s="1067">
        <v>-1537294.82</v>
      </c>
      <c r="L43" s="1067">
        <v>-1537294.82</v>
      </c>
      <c r="M43" s="1067">
        <v>-1537294.82</v>
      </c>
      <c r="N43" s="1067">
        <v>-1537294.82</v>
      </c>
      <c r="O43" s="1067">
        <v>-1537294.82</v>
      </c>
      <c r="P43" s="1067">
        <v>-1537294.82</v>
      </c>
      <c r="Q43" s="1067">
        <v>-1359713.95</v>
      </c>
      <c r="R43" s="1067">
        <v>-1359713.95</v>
      </c>
      <c r="S43" s="1067">
        <v>-1359713.95</v>
      </c>
      <c r="T43" s="1067">
        <v>-1359713.95</v>
      </c>
      <c r="U43" s="1067">
        <v>-1359713.95</v>
      </c>
      <c r="V43" s="1067">
        <v>-1359713.95</v>
      </c>
      <c r="W43" s="1067">
        <v>-1359713.95</v>
      </c>
      <c r="X43" s="1067">
        <v>-1359713.95</v>
      </c>
      <c r="Y43" s="1067">
        <v>-1359713.95</v>
      </c>
      <c r="Z43" s="1067">
        <v>-1359713.95</v>
      </c>
      <c r="AA43" s="1067">
        <v>-1359713.95</v>
      </c>
      <c r="AB43" s="1067">
        <v>-1359713.95</v>
      </c>
      <c r="AC43" s="1067">
        <v>-1359713.95</v>
      </c>
      <c r="AD43" s="1067">
        <v>-1359713.95</v>
      </c>
      <c r="AE43" s="1067">
        <v>-1359713.95</v>
      </c>
      <c r="AF43" s="1067">
        <v>-1359713.95</v>
      </c>
      <c r="AG43" s="1067">
        <v>-1359713.95</v>
      </c>
      <c r="AH43" s="1067">
        <v>-1359713.95</v>
      </c>
      <c r="AI43" s="1067">
        <v>-1359713.95</v>
      </c>
      <c r="AJ43" s="1067"/>
      <c r="AK43" s="1067"/>
      <c r="AL43" s="1067"/>
      <c r="AM43" s="1067"/>
      <c r="AN43" s="1067"/>
      <c r="AO43" s="1067"/>
      <c r="AP43" s="1067">
        <v>-1359713.95</v>
      </c>
      <c r="AQ43" s="1067"/>
      <c r="AR43" s="1067"/>
      <c r="AS43" s="1067"/>
      <c r="AT43" s="1067"/>
      <c r="AU43" s="1067"/>
      <c r="AV43" s="1067"/>
      <c r="AW43" s="1067"/>
      <c r="AX43" s="1067"/>
      <c r="AY43" s="1067"/>
      <c r="AZ43" s="1067"/>
      <c r="BA43" s="1067"/>
      <c r="BB43" s="1072"/>
    </row>
    <row r="44" spans="2:54">
      <c r="B44" s="1087" t="s">
        <v>1065</v>
      </c>
      <c r="C44" s="1076" t="s">
        <v>1028</v>
      </c>
      <c r="D44" s="1076" t="s">
        <v>1029</v>
      </c>
      <c r="E44" s="1067">
        <v>-345210.87</v>
      </c>
      <c r="F44" s="1067">
        <v>-341719.34</v>
      </c>
      <c r="G44" s="1067">
        <v>-338225.39</v>
      </c>
      <c r="H44" s="1067">
        <v>-334729.02</v>
      </c>
      <c r="I44" s="1067">
        <v>-331020.63</v>
      </c>
      <c r="J44" s="1067">
        <v>-327519.43</v>
      </c>
      <c r="K44" s="1067">
        <v>-324015.8</v>
      </c>
      <c r="L44" s="1067">
        <v>-324015.8</v>
      </c>
      <c r="M44" s="1067">
        <v>-324015.8</v>
      </c>
      <c r="N44" s="1067">
        <v>-324015.8</v>
      </c>
      <c r="O44" s="1067">
        <v>-324015.8</v>
      </c>
      <c r="P44" s="1067">
        <v>-324015.8</v>
      </c>
      <c r="Q44" s="1067">
        <v>-331020.63</v>
      </c>
      <c r="R44" s="1067">
        <v>-331020.63</v>
      </c>
      <c r="S44" s="1067">
        <v>-331020.63</v>
      </c>
      <c r="T44" s="1067">
        <v>-331020.63</v>
      </c>
      <c r="U44" s="1067">
        <v>-331020.63</v>
      </c>
      <c r="V44" s="1067">
        <v>-331020.63</v>
      </c>
      <c r="W44" s="1067">
        <v>-331020.63</v>
      </c>
      <c r="X44" s="1067">
        <v>-331020.63</v>
      </c>
      <c r="Y44" s="1067">
        <v>-331020.63</v>
      </c>
      <c r="Z44" s="1067">
        <v>-331020.63</v>
      </c>
      <c r="AA44" s="1067">
        <v>-331020.63</v>
      </c>
      <c r="AB44" s="1067">
        <v>-331020.63</v>
      </c>
      <c r="AC44" s="1067">
        <v>-331020.63</v>
      </c>
      <c r="AD44" s="1067">
        <v>-331020.63</v>
      </c>
      <c r="AE44" s="1067">
        <v>-331020.63</v>
      </c>
      <c r="AF44" s="1067">
        <v>-331020.63</v>
      </c>
      <c r="AG44" s="1067">
        <v>-331020.63</v>
      </c>
      <c r="AH44" s="1067">
        <v>-331020.63</v>
      </c>
      <c r="AI44" s="1067">
        <v>-331020.63</v>
      </c>
      <c r="AJ44" s="1067"/>
      <c r="AK44" s="1067"/>
      <c r="AL44" s="1067"/>
      <c r="AM44" s="1067"/>
      <c r="AN44" s="1067"/>
      <c r="AO44" s="1067"/>
      <c r="AP44" s="1067">
        <v>-331020.63</v>
      </c>
      <c r="AQ44" s="1067"/>
      <c r="AR44" s="1067"/>
      <c r="AS44" s="1067"/>
      <c r="AT44" s="1067"/>
      <c r="AU44" s="1067"/>
      <c r="AV44" s="1067"/>
      <c r="AW44" s="1067"/>
      <c r="AX44" s="1067"/>
      <c r="AY44" s="1067"/>
      <c r="AZ44" s="1067"/>
      <c r="BA44" s="1067"/>
      <c r="BB44" s="1072"/>
    </row>
    <row r="45" spans="2:54">
      <c r="B45" s="1085" t="s">
        <v>1065</v>
      </c>
      <c r="C45" s="1076" t="s">
        <v>1028</v>
      </c>
      <c r="D45" s="1076" t="s">
        <v>1029</v>
      </c>
      <c r="E45" s="1067">
        <v>-345210.87</v>
      </c>
      <c r="F45" s="1067">
        <v>-341719.34</v>
      </c>
      <c r="G45" s="1067">
        <v>-338225.39</v>
      </c>
      <c r="H45" s="1067">
        <v>-334729.02</v>
      </c>
      <c r="I45" s="1067">
        <v>-331020.63</v>
      </c>
      <c r="J45" s="1067">
        <v>-327519.43</v>
      </c>
      <c r="K45" s="1067">
        <v>-324015.8</v>
      </c>
      <c r="L45" s="1067">
        <v>-324015.8</v>
      </c>
      <c r="M45" s="1067">
        <v>-324015.8</v>
      </c>
      <c r="N45" s="1067">
        <v>-324015.8</v>
      </c>
      <c r="O45" s="1067">
        <v>-324015.8</v>
      </c>
      <c r="P45" s="1067">
        <v>-324015.8</v>
      </c>
      <c r="Q45" s="1067">
        <v>-331020.63</v>
      </c>
      <c r="R45" s="1067">
        <v>-331020.63</v>
      </c>
      <c r="S45" s="1067">
        <v>-331020.63</v>
      </c>
      <c r="T45" s="1067">
        <v>-331020.63</v>
      </c>
      <c r="U45" s="1067">
        <v>-331020.63</v>
      </c>
      <c r="V45" s="1067">
        <v>-331020.63</v>
      </c>
      <c r="W45" s="1067">
        <v>-331020.63</v>
      </c>
      <c r="X45" s="1067">
        <v>-331020.63</v>
      </c>
      <c r="Y45" s="1067">
        <v>-331020.63</v>
      </c>
      <c r="Z45" s="1067">
        <v>-331020.63</v>
      </c>
      <c r="AA45" s="1067">
        <v>-331020.63</v>
      </c>
      <c r="AB45" s="1067">
        <v>-331020.63</v>
      </c>
      <c r="AC45" s="1067">
        <v>-331020.63</v>
      </c>
      <c r="AD45" s="1067">
        <v>-331020.63</v>
      </c>
      <c r="AE45" s="1067">
        <v>-331020.63</v>
      </c>
      <c r="AF45" s="1067">
        <v>-331020.63</v>
      </c>
      <c r="AG45" s="1067">
        <v>-331020.63</v>
      </c>
      <c r="AH45" s="1067">
        <v>-331020.63</v>
      </c>
      <c r="AI45" s="1067">
        <v>-331020.63</v>
      </c>
      <c r="AJ45" s="1067"/>
      <c r="AK45" s="1067"/>
      <c r="AL45" s="1067"/>
      <c r="AM45" s="1067"/>
      <c r="AN45" s="1067"/>
      <c r="AO45" s="1067"/>
      <c r="AP45" s="1067">
        <v>-331020.63</v>
      </c>
      <c r="AQ45" s="1067"/>
      <c r="AR45" s="1067"/>
      <c r="AS45" s="1067"/>
      <c r="AT45" s="1067"/>
      <c r="AU45" s="1067"/>
      <c r="AV45" s="1067"/>
      <c r="AW45" s="1067"/>
      <c r="AX45" s="1067"/>
      <c r="AY45" s="1067"/>
      <c r="AZ45" s="1067"/>
      <c r="BA45" s="1067"/>
      <c r="BB45" s="1072"/>
    </row>
    <row r="46" spans="2:54">
      <c r="B46" s="1080" t="s">
        <v>1066</v>
      </c>
      <c r="C46" s="1076" t="s">
        <v>1028</v>
      </c>
      <c r="D46" s="1076" t="s">
        <v>1029</v>
      </c>
      <c r="E46" s="1067">
        <v>-23976457.609999999</v>
      </c>
      <c r="F46" s="1067">
        <v>-24212094.079999998</v>
      </c>
      <c r="G46" s="1067">
        <v>-24285688.34</v>
      </c>
      <c r="H46" s="1067">
        <v>-24526645.969999999</v>
      </c>
      <c r="I46" s="1067">
        <v>-24391930.579999998</v>
      </c>
      <c r="J46" s="1067">
        <v>-24818281.25</v>
      </c>
      <c r="K46" s="1067">
        <v>-24004893.620000001</v>
      </c>
      <c r="L46" s="1067">
        <v>-24004893.620000001</v>
      </c>
      <c r="M46" s="1067">
        <v>-24004893.620000001</v>
      </c>
      <c r="N46" s="1067">
        <v>-24004893.620000001</v>
      </c>
      <c r="O46" s="1067">
        <v>-24004893.620000001</v>
      </c>
      <c r="P46" s="1067">
        <v>-24004893.620000001</v>
      </c>
      <c r="Q46" s="1067">
        <v>-25658127.7155401</v>
      </c>
      <c r="R46" s="1067">
        <v>-26291145.5993382</v>
      </c>
      <c r="S46" s="1067">
        <v>-26924105.270037301</v>
      </c>
      <c r="T46" s="1067">
        <v>-27557006.727637399</v>
      </c>
      <c r="U46" s="1067">
        <v>-28189883.244606901</v>
      </c>
      <c r="V46" s="1067">
        <v>-28822707.9776875</v>
      </c>
      <c r="W46" s="1067">
        <v>-28822707.9776875</v>
      </c>
      <c r="X46" s="1067">
        <v>-29053640.9803009</v>
      </c>
      <c r="Y46" s="1067">
        <v>-29284573.982914299</v>
      </c>
      <c r="Z46" s="1067">
        <v>-29515506.985527702</v>
      </c>
      <c r="AA46" s="1067">
        <v>-29746439.988141101</v>
      </c>
      <c r="AB46" s="1067">
        <v>-29977372.9907545</v>
      </c>
      <c r="AC46" s="1067">
        <v>-30208305.993368</v>
      </c>
      <c r="AD46" s="1067">
        <v>-30439238.995981298</v>
      </c>
      <c r="AE46" s="1067">
        <v>-30670171.998594798</v>
      </c>
      <c r="AF46" s="1067">
        <v>-30901105.001208201</v>
      </c>
      <c r="AG46" s="1067">
        <v>-31132038.0038216</v>
      </c>
      <c r="AH46" s="1067">
        <v>-31362971.006434999</v>
      </c>
      <c r="AI46" s="1067">
        <v>-31591864.054690901</v>
      </c>
      <c r="AJ46" s="1067">
        <v>-633046.1383465</v>
      </c>
      <c r="AK46" s="1067">
        <v>-633017.88379810005</v>
      </c>
      <c r="AL46" s="1067">
        <v>-632959.67069910001</v>
      </c>
      <c r="AM46" s="1067">
        <v>-632901.45760009997</v>
      </c>
      <c r="AN46" s="1067">
        <v>-632876.51696949999</v>
      </c>
      <c r="AO46" s="1067">
        <v>-632824.73308060004</v>
      </c>
      <c r="AP46" s="1067">
        <v>-28822707.9776875</v>
      </c>
      <c r="AQ46" s="1067">
        <v>-230933.00261339999</v>
      </c>
      <c r="AR46" s="1067">
        <v>-230933.00261339999</v>
      </c>
      <c r="AS46" s="1067">
        <v>-230933.00261339999</v>
      </c>
      <c r="AT46" s="1067">
        <v>-230933.00261339999</v>
      </c>
      <c r="AU46" s="1067">
        <v>-230933.00261339999</v>
      </c>
      <c r="AV46" s="1067">
        <v>-230933.00261349999</v>
      </c>
      <c r="AW46" s="1067">
        <v>-230933.00261329999</v>
      </c>
      <c r="AX46" s="1067">
        <v>-230933.00261349999</v>
      </c>
      <c r="AY46" s="1067">
        <v>-230933.00261339999</v>
      </c>
      <c r="AZ46" s="1067">
        <v>-230933.00261339999</v>
      </c>
      <c r="BA46" s="1067">
        <v>-230933.00261339999</v>
      </c>
      <c r="BB46" s="1072">
        <v>-228893.04825590001</v>
      </c>
    </row>
    <row r="47" spans="2:54">
      <c r="B47" s="1086" t="s">
        <v>1067</v>
      </c>
      <c r="C47" s="1076" t="s">
        <v>1028</v>
      </c>
      <c r="D47" s="1076" t="s">
        <v>1029</v>
      </c>
      <c r="E47" s="1067">
        <v>-319335007.31</v>
      </c>
      <c r="F47" s="1067">
        <v>-320775996.06</v>
      </c>
      <c r="G47" s="1067">
        <v>-322780376.91000003</v>
      </c>
      <c r="H47" s="1067">
        <v>-323540950.86000001</v>
      </c>
      <c r="I47" s="1067">
        <v>-312009179.04000002</v>
      </c>
      <c r="J47" s="1067">
        <v>-314273149.45999998</v>
      </c>
      <c r="K47" s="1067">
        <v>-313926385.86000001</v>
      </c>
      <c r="L47" s="1067">
        <v>-313926385.86000001</v>
      </c>
      <c r="M47" s="1067">
        <v>-313926385.86000001</v>
      </c>
      <c r="N47" s="1067">
        <v>-313926385.86000001</v>
      </c>
      <c r="O47" s="1067">
        <v>-313926385.86000001</v>
      </c>
      <c r="P47" s="1067">
        <v>-313926385.86000001</v>
      </c>
      <c r="Q47" s="1067">
        <v>-308751437.68982762</v>
      </c>
      <c r="R47" s="1067">
        <v>-307064136.56685442</v>
      </c>
      <c r="S47" s="1067">
        <v>-306231217.0073756</v>
      </c>
      <c r="T47" s="1067">
        <v>-304935093.10007972</v>
      </c>
      <c r="U47" s="1067">
        <v>-303309982.37142909</v>
      </c>
      <c r="V47" s="1067">
        <v>-302450159.89339072</v>
      </c>
      <c r="W47" s="1067">
        <v>-302450159.89339072</v>
      </c>
      <c r="X47" s="1067">
        <v>-301054691.96590823</v>
      </c>
      <c r="Y47" s="1067">
        <v>-299049586.9737671</v>
      </c>
      <c r="Z47" s="1067">
        <v>-297811303.35302311</v>
      </c>
      <c r="AA47" s="1067">
        <v>-296573325.15150911</v>
      </c>
      <c r="AB47" s="1067">
        <v>-294985243.74062222</v>
      </c>
      <c r="AC47" s="1067">
        <v>-293047125.53866088</v>
      </c>
      <c r="AD47" s="1067">
        <v>-291409020.12777382</v>
      </c>
      <c r="AE47" s="1067">
        <v>-291542325.82157338</v>
      </c>
      <c r="AF47" s="1067">
        <v>-291759494.61949748</v>
      </c>
      <c r="AG47" s="1067">
        <v>-290298937.20861042</v>
      </c>
      <c r="AH47" s="1067">
        <v>-288216106.00709629</v>
      </c>
      <c r="AI47" s="1067">
        <v>-287377743.14402151</v>
      </c>
      <c r="AJ47" s="1067">
        <v>1464266.5072957999</v>
      </c>
      <c r="AK47" s="1067">
        <v>1687301.1229731999</v>
      </c>
      <c r="AL47" s="1067">
        <v>832919.55947880005</v>
      </c>
      <c r="AM47" s="1067">
        <v>1296123.9072958999</v>
      </c>
      <c r="AN47" s="1067">
        <v>1625110.7286506</v>
      </c>
      <c r="AO47" s="1067">
        <v>859822.47803829995</v>
      </c>
      <c r="AP47" s="1067">
        <v>-302450159.89339072</v>
      </c>
      <c r="AQ47" s="1067">
        <v>1395467.9274826001</v>
      </c>
      <c r="AR47" s="1067">
        <v>2005104.9921411001</v>
      </c>
      <c r="AS47" s="1067">
        <v>1238283.620744</v>
      </c>
      <c r="AT47" s="1067">
        <v>1237978.2015140001</v>
      </c>
      <c r="AU47" s="1067">
        <v>1588081.4108869</v>
      </c>
      <c r="AV47" s="1067">
        <v>1938118.2019613001</v>
      </c>
      <c r="AW47" s="1067">
        <v>1638105.4108871</v>
      </c>
      <c r="AX47" s="1067">
        <v>-133305.69379960001</v>
      </c>
      <c r="AY47" s="1067">
        <v>-217168.79792410001</v>
      </c>
      <c r="AZ47" s="1067">
        <v>1460557.4108871</v>
      </c>
      <c r="BA47" s="1067">
        <v>2082831.2015141</v>
      </c>
      <c r="BB47" s="1072">
        <v>838362.8630747</v>
      </c>
    </row>
    <row r="48" spans="2:54">
      <c r="B48" s="1088" t="s">
        <v>1068</v>
      </c>
      <c r="C48" s="1070"/>
      <c r="D48" s="1074"/>
      <c r="E48" s="1071"/>
      <c r="F48" s="1071"/>
      <c r="G48" s="1071"/>
      <c r="H48" s="1071"/>
      <c r="I48" s="1071"/>
      <c r="J48" s="1071"/>
      <c r="K48" s="1071"/>
      <c r="L48" s="1071"/>
      <c r="M48" s="1071"/>
      <c r="N48" s="1071"/>
      <c r="O48" s="1071"/>
      <c r="P48" s="1071"/>
      <c r="Q48" s="1071"/>
      <c r="R48" s="1071"/>
      <c r="S48" s="1071"/>
      <c r="T48" s="1071"/>
      <c r="U48" s="1071"/>
      <c r="V48" s="1071"/>
      <c r="W48" s="1071"/>
      <c r="X48" s="1071"/>
      <c r="Y48" s="1071"/>
      <c r="Z48" s="1071"/>
      <c r="AA48" s="1071"/>
      <c r="AB48" s="1071"/>
      <c r="AC48" s="1071"/>
      <c r="AD48" s="1071"/>
      <c r="AE48" s="1071"/>
      <c r="AF48" s="1071"/>
      <c r="AG48" s="1071"/>
      <c r="AH48" s="1071"/>
      <c r="AI48" s="1071"/>
      <c r="AJ48" s="1071"/>
      <c r="AK48" s="1071"/>
      <c r="AL48" s="1071"/>
      <c r="AM48" s="1071"/>
      <c r="AN48" s="1071"/>
      <c r="AO48" s="1071"/>
      <c r="AP48" s="1071"/>
      <c r="AQ48" s="1071"/>
      <c r="AR48" s="1071"/>
      <c r="AS48" s="1071"/>
      <c r="AT48" s="1071"/>
      <c r="AU48" s="1071"/>
      <c r="AV48" s="1071"/>
      <c r="AW48" s="1071"/>
      <c r="AX48" s="1071"/>
      <c r="AY48" s="1071"/>
      <c r="AZ48" s="1071"/>
      <c r="BA48" s="1071"/>
      <c r="BB48" s="1073"/>
    </row>
  </sheetData>
  <pageMargins left="0.7" right="0.7" top="0.75" bottom="0.75" header="0.3" footer="0.3"/>
  <customProperties>
    <customPr name="_pios_id" r:id="rId1"/>
    <customPr name="CofWorksheetType" r:id="rId2"/>
  </customPropertie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E1248D-E993-4AAF-AF63-9E9613AB0F2F}">
  <dimension ref="C3:AD59"/>
  <sheetViews>
    <sheetView workbookViewId="0">
      <selection activeCell="AI51" sqref="AI51"/>
    </sheetView>
  </sheetViews>
  <sheetFormatPr defaultRowHeight="15"/>
  <cols>
    <col min="3" max="3" width="29.453125" bestFit="1" customWidth="1"/>
    <col min="4" max="4" width="13.36328125" bestFit="1" customWidth="1"/>
    <col min="5" max="16" width="8.1796875" bestFit="1" customWidth="1"/>
    <col min="17" max="17" width="10.08984375" bestFit="1" customWidth="1"/>
    <col min="18" max="29" width="8.1796875" bestFit="1" customWidth="1"/>
    <col min="30" max="30" width="10.08984375" bestFit="1" customWidth="1"/>
    <col min="31" max="31" width="11" bestFit="1" customWidth="1"/>
  </cols>
  <sheetData>
    <row r="3" spans="3:30" ht="21">
      <c r="C3" s="1075" t="s">
        <v>187</v>
      </c>
      <c r="D3" s="1075" t="s">
        <v>187</v>
      </c>
      <c r="E3" s="1090" t="s">
        <v>1175</v>
      </c>
      <c r="F3" s="1090" t="s">
        <v>1175</v>
      </c>
      <c r="G3" s="1090" t="s">
        <v>1175</v>
      </c>
      <c r="H3" s="1090" t="s">
        <v>1175</v>
      </c>
      <c r="I3" s="1090" t="s">
        <v>1175</v>
      </c>
      <c r="J3" s="1090" t="s">
        <v>1175</v>
      </c>
      <c r="K3" s="1090" t="s">
        <v>1175</v>
      </c>
      <c r="L3" s="1090" t="s">
        <v>1175</v>
      </c>
      <c r="M3" s="1090" t="s">
        <v>1175</v>
      </c>
      <c r="N3" s="1090" t="s">
        <v>1175</v>
      </c>
      <c r="O3" s="1090" t="s">
        <v>1175</v>
      </c>
      <c r="P3" s="1090" t="s">
        <v>1175</v>
      </c>
      <c r="Q3" s="1090" t="s">
        <v>1175</v>
      </c>
      <c r="R3" s="1090" t="s">
        <v>1175</v>
      </c>
      <c r="S3" s="1090" t="s">
        <v>1175</v>
      </c>
      <c r="T3" s="1090" t="s">
        <v>1175</v>
      </c>
      <c r="U3" s="1090" t="s">
        <v>1175</v>
      </c>
      <c r="V3" s="1090" t="s">
        <v>1175</v>
      </c>
      <c r="W3" s="1090" t="s">
        <v>1175</v>
      </c>
      <c r="X3" s="1090" t="s">
        <v>1175</v>
      </c>
      <c r="Y3" s="1090" t="s">
        <v>1175</v>
      </c>
      <c r="Z3" s="1090" t="s">
        <v>1175</v>
      </c>
      <c r="AA3" s="1090" t="s">
        <v>1175</v>
      </c>
      <c r="AB3" s="1090" t="s">
        <v>1175</v>
      </c>
      <c r="AC3" s="1090" t="s">
        <v>1175</v>
      </c>
      <c r="AD3" s="1090" t="s">
        <v>1175</v>
      </c>
    </row>
    <row r="4" spans="3:30">
      <c r="C4" s="1075" t="s">
        <v>187</v>
      </c>
      <c r="D4" s="1075" t="s">
        <v>1280</v>
      </c>
      <c r="E4" s="1076" t="s">
        <v>1092</v>
      </c>
      <c r="F4" s="1076" t="s">
        <v>1092</v>
      </c>
      <c r="G4" s="1076" t="s">
        <v>1092</v>
      </c>
      <c r="H4" s="1076" t="s">
        <v>1092</v>
      </c>
      <c r="I4" s="1076" t="s">
        <v>1092</v>
      </c>
      <c r="J4" s="1076" t="s">
        <v>1092</v>
      </c>
      <c r="K4" s="1076" t="s">
        <v>1092</v>
      </c>
      <c r="L4" s="1076" t="s">
        <v>1092</v>
      </c>
      <c r="M4" s="1076" t="s">
        <v>1092</v>
      </c>
      <c r="N4" s="1076" t="s">
        <v>1092</v>
      </c>
      <c r="O4" s="1076" t="s">
        <v>1092</v>
      </c>
      <c r="P4" s="1076" t="s">
        <v>1092</v>
      </c>
      <c r="Q4" s="1076" t="s">
        <v>1092</v>
      </c>
      <c r="R4" s="1076" t="s">
        <v>1105</v>
      </c>
      <c r="S4" s="1076" t="s">
        <v>1105</v>
      </c>
      <c r="T4" s="1076" t="s">
        <v>1105</v>
      </c>
      <c r="U4" s="1076" t="s">
        <v>1105</v>
      </c>
      <c r="V4" s="1076" t="s">
        <v>1105</v>
      </c>
      <c r="W4" s="1076" t="s">
        <v>1105</v>
      </c>
      <c r="X4" s="1076" t="s">
        <v>1105</v>
      </c>
      <c r="Y4" s="1076" t="s">
        <v>1105</v>
      </c>
      <c r="Z4" s="1076" t="s">
        <v>1105</v>
      </c>
      <c r="AA4" s="1076" t="s">
        <v>1105</v>
      </c>
      <c r="AB4" s="1076" t="s">
        <v>1105</v>
      </c>
      <c r="AC4" s="1076" t="s">
        <v>1105</v>
      </c>
      <c r="AD4" s="1076" t="s">
        <v>1105</v>
      </c>
    </row>
    <row r="5" spans="3:30">
      <c r="C5" s="1075" t="s">
        <v>1176</v>
      </c>
      <c r="D5" s="1075" t="s">
        <v>1014</v>
      </c>
      <c r="E5" s="1076" t="s">
        <v>1015</v>
      </c>
      <c r="F5" s="1076" t="s">
        <v>1016</v>
      </c>
      <c r="G5" s="1076" t="s">
        <v>1017</v>
      </c>
      <c r="H5" s="1076" t="s">
        <v>1018</v>
      </c>
      <c r="I5" s="1076" t="s">
        <v>1019</v>
      </c>
      <c r="J5" s="1076" t="s">
        <v>1020</v>
      </c>
      <c r="K5" s="1076" t="s">
        <v>1021</v>
      </c>
      <c r="L5" s="1076" t="s">
        <v>1022</v>
      </c>
      <c r="M5" s="1076" t="s">
        <v>1023</v>
      </c>
      <c r="N5" s="1076" t="s">
        <v>1024</v>
      </c>
      <c r="O5" s="1076" t="s">
        <v>1025</v>
      </c>
      <c r="P5" s="1076" t="s">
        <v>1026</v>
      </c>
      <c r="Q5" s="1093" t="s">
        <v>533</v>
      </c>
      <c r="R5" s="1076" t="s">
        <v>1070</v>
      </c>
      <c r="S5" s="1076" t="s">
        <v>1071</v>
      </c>
      <c r="T5" s="1076" t="s">
        <v>1072</v>
      </c>
      <c r="U5" s="1076" t="s">
        <v>1073</v>
      </c>
      <c r="V5" s="1076" t="s">
        <v>1074</v>
      </c>
      <c r="W5" s="1076" t="s">
        <v>1075</v>
      </c>
      <c r="X5" s="1076" t="s">
        <v>1076</v>
      </c>
      <c r="Y5" s="1076" t="s">
        <v>1077</v>
      </c>
      <c r="Z5" s="1076" t="s">
        <v>1078</v>
      </c>
      <c r="AA5" s="1076" t="s">
        <v>1079</v>
      </c>
      <c r="AB5" s="1076" t="s">
        <v>1080</v>
      </c>
      <c r="AC5" s="1076" t="s">
        <v>1081</v>
      </c>
      <c r="AD5" s="1092" t="s">
        <v>533</v>
      </c>
    </row>
    <row r="6" spans="3:30">
      <c r="C6" s="1076" t="s">
        <v>1177</v>
      </c>
      <c r="D6" s="1076" t="s">
        <v>1178</v>
      </c>
      <c r="E6" s="1067">
        <v>-29.26</v>
      </c>
      <c r="F6" s="1067">
        <v>-29.48</v>
      </c>
      <c r="G6" s="1067">
        <v>-29.69</v>
      </c>
      <c r="H6" s="1067">
        <v>-29.91</v>
      </c>
      <c r="I6" s="1067">
        <v>-50.37</v>
      </c>
      <c r="J6" s="1067">
        <v>-71.08</v>
      </c>
      <c r="K6" s="1067">
        <v>-25.489720899999998</v>
      </c>
      <c r="L6" s="1067">
        <v>-25.489720899999998</v>
      </c>
      <c r="M6" s="1067">
        <v>-25.489720899999998</v>
      </c>
      <c r="N6" s="1067">
        <v>-25.489720899999998</v>
      </c>
      <c r="O6" s="1067">
        <v>-25.489720899999998</v>
      </c>
      <c r="P6" s="1067">
        <v>-25.489720899999998</v>
      </c>
      <c r="Q6" s="1068">
        <v>-392.72832540000002</v>
      </c>
      <c r="R6" s="1067"/>
      <c r="S6" s="1067"/>
      <c r="T6" s="1067"/>
      <c r="U6" s="1067"/>
      <c r="V6" s="1067"/>
      <c r="W6" s="1067"/>
      <c r="X6" s="1067"/>
      <c r="Y6" s="1067"/>
      <c r="Z6" s="1067"/>
      <c r="AA6" s="1067"/>
      <c r="AB6" s="1067"/>
      <c r="AC6" s="1067"/>
      <c r="AD6" s="1091"/>
    </row>
    <row r="7" spans="3:30">
      <c r="C7" s="1076" t="s">
        <v>1179</v>
      </c>
      <c r="D7" s="1076" t="s">
        <v>1180</v>
      </c>
      <c r="E7" s="1067">
        <v>-49.91</v>
      </c>
      <c r="F7" s="1067">
        <v>-50.27</v>
      </c>
      <c r="G7" s="1067">
        <v>-50.64</v>
      </c>
      <c r="H7" s="1067">
        <v>-51.01</v>
      </c>
      <c r="I7" s="1067">
        <v>-85.89</v>
      </c>
      <c r="J7" s="1067">
        <v>-121.21</v>
      </c>
      <c r="K7" s="1067">
        <v>-74.877305899999996</v>
      </c>
      <c r="L7" s="1067">
        <v>-74.877305899999996</v>
      </c>
      <c r="M7" s="1067">
        <v>-74.877305899999996</v>
      </c>
      <c r="N7" s="1067">
        <v>-74.877305899999996</v>
      </c>
      <c r="O7" s="1067">
        <v>-74.877305899999996</v>
      </c>
      <c r="P7" s="1067">
        <v>-74.877305899999996</v>
      </c>
      <c r="Q7" s="1068">
        <v>-858.19383540000001</v>
      </c>
      <c r="R7" s="1067"/>
      <c r="S7" s="1067"/>
      <c r="T7" s="1067"/>
      <c r="U7" s="1067"/>
      <c r="V7" s="1067"/>
      <c r="W7" s="1067"/>
      <c r="X7" s="1067"/>
      <c r="Y7" s="1067"/>
      <c r="Z7" s="1067"/>
      <c r="AA7" s="1067"/>
      <c r="AB7" s="1067"/>
      <c r="AC7" s="1067"/>
      <c r="AD7" s="1091"/>
    </row>
    <row r="8" spans="3:30">
      <c r="C8" s="1076" t="s">
        <v>1181</v>
      </c>
      <c r="D8" s="1076" t="s">
        <v>1182</v>
      </c>
      <c r="E8" s="1067"/>
      <c r="F8" s="1067"/>
      <c r="G8" s="1067"/>
      <c r="H8" s="1067"/>
      <c r="I8" s="1067"/>
      <c r="J8" s="1067"/>
      <c r="K8" s="1067">
        <v>723357.28522359999</v>
      </c>
      <c r="L8" s="1067">
        <v>705166.41376449994</v>
      </c>
      <c r="M8" s="1067">
        <v>704750.78961189999</v>
      </c>
      <c r="N8" s="1067">
        <v>707404.74033159995</v>
      </c>
      <c r="O8" s="1067">
        <v>691401.16217869997</v>
      </c>
      <c r="P8" s="1067">
        <v>694007.21980580001</v>
      </c>
      <c r="Q8" s="1068">
        <v>4226087.6109161004</v>
      </c>
      <c r="R8" s="1067">
        <v>698483.20887199999</v>
      </c>
      <c r="S8" s="1067">
        <v>680749.75676989998</v>
      </c>
      <c r="T8" s="1067">
        <v>680134.99406229996</v>
      </c>
      <c r="U8" s="1067">
        <v>679704.03734110005</v>
      </c>
      <c r="V8" s="1067">
        <v>661530.80711950001</v>
      </c>
      <c r="W8" s="1067">
        <v>664934.39372259995</v>
      </c>
      <c r="X8" s="1067">
        <v>664300.42211140005</v>
      </c>
      <c r="Y8" s="1067">
        <v>657749</v>
      </c>
      <c r="Z8" s="1067">
        <v>660373.62229730003</v>
      </c>
      <c r="AA8" s="1067">
        <v>672441.61661130004</v>
      </c>
      <c r="AB8" s="1067">
        <v>657749</v>
      </c>
      <c r="AC8" s="1067">
        <v>987477.70345429995</v>
      </c>
      <c r="AD8" s="1091">
        <v>8365628.5623617005</v>
      </c>
    </row>
    <row r="9" spans="3:30">
      <c r="C9" s="1076" t="s">
        <v>1183</v>
      </c>
      <c r="D9" s="1076" t="s">
        <v>1184</v>
      </c>
      <c r="E9" s="1067">
        <v>1241673.3500000001</v>
      </c>
      <c r="F9" s="1067">
        <v>1303760.18</v>
      </c>
      <c r="G9" s="1067">
        <v>1242792.6299999999</v>
      </c>
      <c r="H9" s="1067">
        <v>1241673.3500000001</v>
      </c>
      <c r="I9" s="1067">
        <v>1241673.3500000001</v>
      </c>
      <c r="J9" s="1067">
        <v>1241673.3500000001</v>
      </c>
      <c r="K9" s="1067"/>
      <c r="L9" s="1067"/>
      <c r="M9" s="1067"/>
      <c r="N9" s="1067"/>
      <c r="O9" s="1067"/>
      <c r="P9" s="1067"/>
      <c r="Q9" s="1068">
        <v>7513246.21</v>
      </c>
      <c r="R9" s="1067"/>
      <c r="S9" s="1067"/>
      <c r="T9" s="1067"/>
      <c r="U9" s="1067"/>
      <c r="V9" s="1067"/>
      <c r="W9" s="1067"/>
      <c r="X9" s="1067"/>
      <c r="Y9" s="1067"/>
      <c r="Z9" s="1067"/>
      <c r="AA9" s="1067"/>
      <c r="AB9" s="1067"/>
      <c r="AC9" s="1067"/>
      <c r="AD9" s="1091"/>
    </row>
    <row r="10" spans="3:30">
      <c r="C10" s="1076" t="s">
        <v>1185</v>
      </c>
      <c r="D10" s="1076" t="s">
        <v>1186</v>
      </c>
      <c r="E10" s="1067">
        <v>-1129585.6599999999</v>
      </c>
      <c r="F10" s="1067">
        <v>-1264693.3500000001</v>
      </c>
      <c r="G10" s="1067">
        <v>162320.88</v>
      </c>
      <c r="H10" s="1067">
        <v>-1059671.08</v>
      </c>
      <c r="I10" s="1067">
        <v>376146.07</v>
      </c>
      <c r="J10" s="1067">
        <v>-107060.91</v>
      </c>
      <c r="K10" s="1067"/>
      <c r="L10" s="1067"/>
      <c r="M10" s="1067"/>
      <c r="N10" s="1067"/>
      <c r="O10" s="1067"/>
      <c r="P10" s="1067"/>
      <c r="Q10" s="1068">
        <v>-3022544.05</v>
      </c>
      <c r="R10" s="1067"/>
      <c r="S10" s="1067"/>
      <c r="T10" s="1067"/>
      <c r="U10" s="1067"/>
      <c r="V10" s="1067"/>
      <c r="W10" s="1067"/>
      <c r="X10" s="1067"/>
      <c r="Y10" s="1067"/>
      <c r="Z10" s="1067"/>
      <c r="AA10" s="1067"/>
      <c r="AB10" s="1067"/>
      <c r="AC10" s="1067"/>
      <c r="AD10" s="1091"/>
    </row>
    <row r="11" spans="3:30">
      <c r="C11" s="1076" t="s">
        <v>1187</v>
      </c>
      <c r="D11" s="1076" t="s">
        <v>1188</v>
      </c>
      <c r="E11" s="1067"/>
      <c r="F11" s="1067"/>
      <c r="G11" s="1067"/>
      <c r="H11" s="1067"/>
      <c r="I11" s="1067">
        <v>25000</v>
      </c>
      <c r="J11" s="1067"/>
      <c r="K11" s="1067"/>
      <c r="L11" s="1067"/>
      <c r="M11" s="1067"/>
      <c r="N11" s="1067"/>
      <c r="O11" s="1067"/>
      <c r="P11" s="1067"/>
      <c r="Q11" s="1068">
        <v>25000</v>
      </c>
      <c r="R11" s="1067"/>
      <c r="S11" s="1067"/>
      <c r="T11" s="1067"/>
      <c r="U11" s="1067"/>
      <c r="V11" s="1067"/>
      <c r="W11" s="1067"/>
      <c r="X11" s="1067"/>
      <c r="Y11" s="1067"/>
      <c r="Z11" s="1067"/>
      <c r="AA11" s="1067"/>
      <c r="AB11" s="1067"/>
      <c r="AC11" s="1067"/>
      <c r="AD11" s="1091"/>
    </row>
    <row r="12" spans="3:30">
      <c r="C12" s="1076" t="s">
        <v>1187</v>
      </c>
      <c r="D12" s="1076" t="s">
        <v>1189</v>
      </c>
      <c r="E12" s="1067">
        <v>20000</v>
      </c>
      <c r="F12" s="1067">
        <v>10000</v>
      </c>
      <c r="G12" s="1067">
        <v>30350</v>
      </c>
      <c r="H12" s="1067">
        <v>47737.79</v>
      </c>
      <c r="I12" s="1067"/>
      <c r="J12" s="1067">
        <v>40000</v>
      </c>
      <c r="K12" s="1067">
        <v>20000</v>
      </c>
      <c r="L12" s="1067">
        <v>15000</v>
      </c>
      <c r="M12" s="1067">
        <v>10000</v>
      </c>
      <c r="N12" s="1067">
        <v>10000</v>
      </c>
      <c r="O12" s="1067">
        <v>10000</v>
      </c>
      <c r="P12" s="1067">
        <v>7000</v>
      </c>
      <c r="Q12" s="1068">
        <v>220087.79</v>
      </c>
      <c r="R12" s="1067">
        <v>15000</v>
      </c>
      <c r="S12" s="1067">
        <v>10000</v>
      </c>
      <c r="T12" s="1067">
        <v>15000</v>
      </c>
      <c r="U12" s="1067">
        <v>15000</v>
      </c>
      <c r="V12" s="1067">
        <v>35000</v>
      </c>
      <c r="W12" s="1067">
        <v>10000</v>
      </c>
      <c r="X12" s="1067">
        <v>15000</v>
      </c>
      <c r="Y12" s="1067">
        <v>15000</v>
      </c>
      <c r="Z12" s="1067">
        <v>10000</v>
      </c>
      <c r="AA12" s="1067">
        <v>15000</v>
      </c>
      <c r="AB12" s="1067">
        <v>10000</v>
      </c>
      <c r="AC12" s="1067">
        <v>10000</v>
      </c>
      <c r="AD12" s="1091">
        <v>175000</v>
      </c>
    </row>
    <row r="13" spans="3:30">
      <c r="C13" s="1076" t="s">
        <v>1190</v>
      </c>
      <c r="D13" s="1076" t="s">
        <v>1191</v>
      </c>
      <c r="E13" s="1067">
        <v>46390.42</v>
      </c>
      <c r="F13" s="1067">
        <v>44303.67</v>
      </c>
      <c r="G13" s="1067">
        <v>70247.08</v>
      </c>
      <c r="H13" s="1067">
        <v>39866.17</v>
      </c>
      <c r="I13" s="1067">
        <v>39911.35</v>
      </c>
      <c r="J13" s="1067">
        <v>35034.21</v>
      </c>
      <c r="K13" s="1067">
        <v>13026</v>
      </c>
      <c r="L13" s="1067">
        <v>13026</v>
      </c>
      <c r="M13" s="1067">
        <v>13026</v>
      </c>
      <c r="N13" s="1067">
        <v>13026</v>
      </c>
      <c r="O13" s="1067">
        <v>13026</v>
      </c>
      <c r="P13" s="1067">
        <v>13026</v>
      </c>
      <c r="Q13" s="1068">
        <v>353908.9</v>
      </c>
      <c r="R13" s="1067">
        <v>34864</v>
      </c>
      <c r="S13" s="1067">
        <v>34864</v>
      </c>
      <c r="T13" s="1067">
        <v>34864</v>
      </c>
      <c r="U13" s="1067">
        <v>34864</v>
      </c>
      <c r="V13" s="1067">
        <v>34864</v>
      </c>
      <c r="W13" s="1067">
        <v>34864</v>
      </c>
      <c r="X13" s="1067">
        <v>34864</v>
      </c>
      <c r="Y13" s="1067">
        <v>34864</v>
      </c>
      <c r="Z13" s="1067">
        <v>34864</v>
      </c>
      <c r="AA13" s="1067">
        <v>34864</v>
      </c>
      <c r="AB13" s="1067">
        <v>34864</v>
      </c>
      <c r="AC13" s="1067">
        <v>34864</v>
      </c>
      <c r="AD13" s="1091">
        <v>418368</v>
      </c>
    </row>
    <row r="14" spans="3:30">
      <c r="C14" s="1076" t="s">
        <v>1192</v>
      </c>
      <c r="D14" s="1076" t="s">
        <v>1193</v>
      </c>
      <c r="E14" s="1067">
        <v>47083.47</v>
      </c>
      <c r="F14" s="1067">
        <v>68530.210000000006</v>
      </c>
      <c r="G14" s="1067">
        <v>4812.57</v>
      </c>
      <c r="H14" s="1067">
        <v>3687.4</v>
      </c>
      <c r="I14" s="1067">
        <v>1689.65</v>
      </c>
      <c r="J14" s="1067">
        <v>186125.37</v>
      </c>
      <c r="K14" s="1067">
        <v>84081</v>
      </c>
      <c r="L14" s="1067">
        <v>84081</v>
      </c>
      <c r="M14" s="1067">
        <v>84081</v>
      </c>
      <c r="N14" s="1067">
        <v>84081</v>
      </c>
      <c r="O14" s="1067">
        <v>84081</v>
      </c>
      <c r="P14" s="1067">
        <v>84081</v>
      </c>
      <c r="Q14" s="1068">
        <v>816414.67</v>
      </c>
      <c r="R14" s="1067">
        <v>63023</v>
      </c>
      <c r="S14" s="1067">
        <v>63023</v>
      </c>
      <c r="T14" s="1067">
        <v>63023</v>
      </c>
      <c r="U14" s="1067">
        <v>63023</v>
      </c>
      <c r="V14" s="1067">
        <v>63023</v>
      </c>
      <c r="W14" s="1067">
        <v>63023</v>
      </c>
      <c r="X14" s="1067">
        <v>63023</v>
      </c>
      <c r="Y14" s="1067">
        <v>63023</v>
      </c>
      <c r="Z14" s="1067">
        <v>63023</v>
      </c>
      <c r="AA14" s="1067">
        <v>63023</v>
      </c>
      <c r="AB14" s="1067">
        <v>63023</v>
      </c>
      <c r="AC14" s="1067">
        <v>63023</v>
      </c>
      <c r="AD14" s="1091">
        <v>756276</v>
      </c>
    </row>
    <row r="15" spans="3:30">
      <c r="C15" s="1076" t="s">
        <v>1194</v>
      </c>
      <c r="D15" s="1076" t="s">
        <v>1195</v>
      </c>
      <c r="E15" s="1067">
        <v>139508.84</v>
      </c>
      <c r="F15" s="1067">
        <v>135000.25</v>
      </c>
      <c r="G15" s="1067">
        <v>133825.97</v>
      </c>
      <c r="H15" s="1067">
        <v>142899.6</v>
      </c>
      <c r="I15" s="1067">
        <v>152287.56</v>
      </c>
      <c r="J15" s="1067">
        <v>124189.24</v>
      </c>
      <c r="K15" s="1067">
        <v>60534</v>
      </c>
      <c r="L15" s="1067">
        <v>60534</v>
      </c>
      <c r="M15" s="1067">
        <v>60534</v>
      </c>
      <c r="N15" s="1067">
        <v>60534</v>
      </c>
      <c r="O15" s="1067">
        <v>60534</v>
      </c>
      <c r="P15" s="1067">
        <v>30534</v>
      </c>
      <c r="Q15" s="1068">
        <v>1160915.46</v>
      </c>
      <c r="R15" s="1067">
        <v>112009</v>
      </c>
      <c r="S15" s="1067">
        <v>112009</v>
      </c>
      <c r="T15" s="1067">
        <v>112009</v>
      </c>
      <c r="U15" s="1067">
        <v>112009</v>
      </c>
      <c r="V15" s="1067">
        <v>112009</v>
      </c>
      <c r="W15" s="1067">
        <v>112009</v>
      </c>
      <c r="X15" s="1067">
        <v>112009</v>
      </c>
      <c r="Y15" s="1067">
        <v>112009</v>
      </c>
      <c r="Z15" s="1067">
        <v>112009</v>
      </c>
      <c r="AA15" s="1067">
        <v>112009</v>
      </c>
      <c r="AB15" s="1067">
        <v>112009</v>
      </c>
      <c r="AC15" s="1067">
        <v>112009</v>
      </c>
      <c r="AD15" s="1091">
        <v>1344108</v>
      </c>
    </row>
    <row r="16" spans="3:30">
      <c r="C16" s="1076" t="s">
        <v>1196</v>
      </c>
      <c r="D16" s="1076" t="s">
        <v>1197</v>
      </c>
      <c r="E16" s="1067"/>
      <c r="F16" s="1067">
        <v>70</v>
      </c>
      <c r="G16" s="1067">
        <v>114.65</v>
      </c>
      <c r="H16" s="1067">
        <v>113.68</v>
      </c>
      <c r="I16" s="1067"/>
      <c r="J16" s="1067"/>
      <c r="K16" s="1067"/>
      <c r="L16" s="1067"/>
      <c r="M16" s="1067"/>
      <c r="N16" s="1067"/>
      <c r="O16" s="1067"/>
      <c r="P16" s="1067"/>
      <c r="Q16" s="1068">
        <v>298.33</v>
      </c>
      <c r="R16" s="1067"/>
      <c r="S16" s="1067"/>
      <c r="T16" s="1067"/>
      <c r="U16" s="1067"/>
      <c r="V16" s="1067"/>
      <c r="W16" s="1067"/>
      <c r="X16" s="1067"/>
      <c r="Y16" s="1067"/>
      <c r="Z16" s="1067"/>
      <c r="AA16" s="1067"/>
      <c r="AB16" s="1067"/>
      <c r="AC16" s="1067"/>
      <c r="AD16" s="1091"/>
    </row>
    <row r="17" spans="3:30">
      <c r="C17" s="1076" t="s">
        <v>1198</v>
      </c>
      <c r="D17" s="1076" t="s">
        <v>1199</v>
      </c>
      <c r="E17" s="1067">
        <v>1335.67</v>
      </c>
      <c r="F17" s="1067"/>
      <c r="G17" s="1067"/>
      <c r="H17" s="1067"/>
      <c r="I17" s="1067"/>
      <c r="J17" s="1067"/>
      <c r="K17" s="1067"/>
      <c r="L17" s="1067"/>
      <c r="M17" s="1067"/>
      <c r="N17" s="1067"/>
      <c r="O17" s="1067"/>
      <c r="P17" s="1067"/>
      <c r="Q17" s="1068">
        <v>1335.67</v>
      </c>
      <c r="R17" s="1067"/>
      <c r="S17" s="1067"/>
      <c r="T17" s="1067"/>
      <c r="U17" s="1067"/>
      <c r="V17" s="1067"/>
      <c r="W17" s="1067"/>
      <c r="X17" s="1067"/>
      <c r="Y17" s="1067"/>
      <c r="Z17" s="1067"/>
      <c r="AA17" s="1067"/>
      <c r="AB17" s="1067"/>
      <c r="AC17" s="1067"/>
      <c r="AD17" s="1091"/>
    </row>
    <row r="18" spans="3:30">
      <c r="C18" s="1076" t="s">
        <v>1200</v>
      </c>
      <c r="D18" s="1076" t="s">
        <v>1201</v>
      </c>
      <c r="E18" s="1067">
        <v>-112673.3</v>
      </c>
      <c r="F18" s="1067"/>
      <c r="G18" s="1067">
        <v>51.25</v>
      </c>
      <c r="H18" s="1067">
        <v>4673.75</v>
      </c>
      <c r="I18" s="1067"/>
      <c r="J18" s="1067">
        <v>866.25</v>
      </c>
      <c r="K18" s="1067"/>
      <c r="L18" s="1067"/>
      <c r="M18" s="1067"/>
      <c r="N18" s="1067"/>
      <c r="O18" s="1067"/>
      <c r="P18" s="1067"/>
      <c r="Q18" s="1068">
        <v>-107082.05</v>
      </c>
      <c r="R18" s="1067"/>
      <c r="S18" s="1067"/>
      <c r="T18" s="1067"/>
      <c r="U18" s="1067"/>
      <c r="V18" s="1067"/>
      <c r="W18" s="1067"/>
      <c r="X18" s="1067"/>
      <c r="Y18" s="1067"/>
      <c r="Z18" s="1067"/>
      <c r="AA18" s="1067"/>
      <c r="AB18" s="1067"/>
      <c r="AC18" s="1067"/>
      <c r="AD18" s="1091"/>
    </row>
    <row r="19" spans="3:30">
      <c r="C19" s="1076" t="s">
        <v>1202</v>
      </c>
      <c r="D19" s="1076" t="s">
        <v>1203</v>
      </c>
      <c r="E19" s="1067">
        <v>921181.27</v>
      </c>
      <c r="F19" s="1067">
        <v>681689.96</v>
      </c>
      <c r="G19" s="1067">
        <v>614771.85</v>
      </c>
      <c r="H19" s="1067">
        <v>545360.11</v>
      </c>
      <c r="I19" s="1067">
        <v>-127441.3</v>
      </c>
      <c r="J19" s="1067">
        <v>249113.07</v>
      </c>
      <c r="K19" s="1067">
        <v>49515.848974499997</v>
      </c>
      <c r="L19" s="1067">
        <v>49502.715201400002</v>
      </c>
      <c r="M19" s="1067">
        <v>49525.3190559</v>
      </c>
      <c r="N19" s="1067">
        <v>49480.111347099999</v>
      </c>
      <c r="O19" s="1067">
        <v>49525.3190559</v>
      </c>
      <c r="P19" s="1067">
        <v>29502.715201399998</v>
      </c>
      <c r="Q19" s="1068">
        <v>3161726.9888362</v>
      </c>
      <c r="R19" s="1067">
        <v>26614.6306214</v>
      </c>
      <c r="S19" s="1067">
        <v>26664.8961924</v>
      </c>
      <c r="T19" s="1067">
        <v>26637.674885699998</v>
      </c>
      <c r="U19" s="1067">
        <v>26620.421309099998</v>
      </c>
      <c r="V19" s="1067">
        <v>26620.421309099998</v>
      </c>
      <c r="W19" s="1067">
        <v>26637.674885699998</v>
      </c>
      <c r="X19" s="1067">
        <v>26603.167731900001</v>
      </c>
      <c r="Y19" s="1067">
        <v>26637.674885699998</v>
      </c>
      <c r="Z19" s="1067">
        <v>26620.421309099998</v>
      </c>
      <c r="AA19" s="1067">
        <v>26603.167731900001</v>
      </c>
      <c r="AB19" s="1067">
        <v>26654.9284625</v>
      </c>
      <c r="AC19" s="1067">
        <v>26603.167731900001</v>
      </c>
      <c r="AD19" s="1091">
        <v>319518.2470564</v>
      </c>
    </row>
    <row r="20" spans="3:30">
      <c r="C20" s="1076" t="s">
        <v>1204</v>
      </c>
      <c r="D20" s="1076" t="s">
        <v>1205</v>
      </c>
      <c r="E20" s="1067">
        <v>32845.53</v>
      </c>
      <c r="F20" s="1067">
        <v>42451.92</v>
      </c>
      <c r="G20" s="1067">
        <v>22020.49</v>
      </c>
      <c r="H20" s="1067">
        <v>12126.56</v>
      </c>
      <c r="I20" s="1067">
        <v>13927.01</v>
      </c>
      <c r="J20" s="1067">
        <v>20360.97</v>
      </c>
      <c r="K20" s="1067">
        <v>-19.212661900000001</v>
      </c>
      <c r="L20" s="1067">
        <v>-64.304674399999996</v>
      </c>
      <c r="M20" s="1067">
        <v>-61.381734700000003</v>
      </c>
      <c r="N20" s="1067">
        <v>-67.227614200000005</v>
      </c>
      <c r="O20" s="1067">
        <v>-61.381734700000003</v>
      </c>
      <c r="P20" s="1067">
        <v>-64.304674399999996</v>
      </c>
      <c r="Q20" s="1068">
        <v>143394.6669057</v>
      </c>
      <c r="R20" s="1067">
        <v>-75.695198500000004</v>
      </c>
      <c r="S20" s="1067">
        <v>-65.821911799999995</v>
      </c>
      <c r="T20" s="1067">
        <v>-71.162493100000006</v>
      </c>
      <c r="U20" s="1067">
        <v>-74.551183199999997</v>
      </c>
      <c r="V20" s="1067">
        <v>-74.551183199999997</v>
      </c>
      <c r="W20" s="1067">
        <v>-71.162493100000006</v>
      </c>
      <c r="X20" s="1067">
        <v>-77.939873199999994</v>
      </c>
      <c r="Y20" s="1067">
        <v>-71.162493100000006</v>
      </c>
      <c r="Z20" s="1067">
        <v>-74.551183199999997</v>
      </c>
      <c r="AA20" s="1067">
        <v>-77.939873199999994</v>
      </c>
      <c r="AB20" s="1067">
        <v>-67.773803000000001</v>
      </c>
      <c r="AC20" s="1067">
        <v>-77.939873199999994</v>
      </c>
      <c r="AD20" s="1091">
        <v>-880.25156179999999</v>
      </c>
    </row>
    <row r="21" spans="3:30">
      <c r="C21" s="1076" t="s">
        <v>1206</v>
      </c>
      <c r="D21" s="1076" t="s">
        <v>1207</v>
      </c>
      <c r="E21" s="1067">
        <v>81993.25</v>
      </c>
      <c r="F21" s="1067">
        <v>44683.23</v>
      </c>
      <c r="G21" s="1067">
        <v>22400.04</v>
      </c>
      <c r="H21" s="1067">
        <v>15864.27</v>
      </c>
      <c r="I21" s="1067">
        <v>21653.49</v>
      </c>
      <c r="J21" s="1067">
        <v>32840.97</v>
      </c>
      <c r="K21" s="1067">
        <v>29978.020253999999</v>
      </c>
      <c r="L21" s="1067">
        <v>29964.449196000001</v>
      </c>
      <c r="M21" s="1067">
        <v>29966.0651416</v>
      </c>
      <c r="N21" s="1067">
        <v>29962.833250299998</v>
      </c>
      <c r="O21" s="1067">
        <v>29966.0651416</v>
      </c>
      <c r="P21" s="1067">
        <v>52464.449196000001</v>
      </c>
      <c r="Q21" s="1068">
        <v>421737.13217950001</v>
      </c>
      <c r="R21" s="1067">
        <v>72959.813754500006</v>
      </c>
      <c r="S21" s="1067">
        <v>22565.055438399999</v>
      </c>
      <c r="T21" s="1067">
        <v>22562.2380337</v>
      </c>
      <c r="U21" s="1067">
        <v>22560.439845000001</v>
      </c>
      <c r="V21" s="1067">
        <v>22560.439845000001</v>
      </c>
      <c r="W21" s="1067">
        <v>22562.2380337</v>
      </c>
      <c r="X21" s="1067">
        <v>72958.641656000007</v>
      </c>
      <c r="Y21" s="1067">
        <v>22562.2380337</v>
      </c>
      <c r="Z21" s="1067">
        <v>22560.439845000001</v>
      </c>
      <c r="AA21" s="1067">
        <v>22558.641656</v>
      </c>
      <c r="AB21" s="1067">
        <v>22564.036222499999</v>
      </c>
      <c r="AC21" s="1067">
        <v>22558.641656</v>
      </c>
      <c r="AD21" s="1091">
        <v>371532.86401949998</v>
      </c>
    </row>
    <row r="22" spans="3:30">
      <c r="C22" s="1076" t="s">
        <v>1208</v>
      </c>
      <c r="D22" s="1076" t="s">
        <v>1209</v>
      </c>
      <c r="E22" s="1067"/>
      <c r="F22" s="1067"/>
      <c r="G22" s="1067"/>
      <c r="H22" s="1067"/>
      <c r="I22" s="1067">
        <v>73796.31</v>
      </c>
      <c r="J22" s="1067"/>
      <c r="K22" s="1067"/>
      <c r="L22" s="1067"/>
      <c r="M22" s="1067"/>
      <c r="N22" s="1067"/>
      <c r="O22" s="1067"/>
      <c r="P22" s="1067"/>
      <c r="Q22" s="1068">
        <v>73796.31</v>
      </c>
      <c r="R22" s="1067">
        <v>6334</v>
      </c>
      <c r="S22" s="1067">
        <v>6334</v>
      </c>
      <c r="T22" s="1067">
        <v>6334</v>
      </c>
      <c r="U22" s="1067">
        <v>6334</v>
      </c>
      <c r="V22" s="1067">
        <v>6334</v>
      </c>
      <c r="W22" s="1067">
        <v>6334</v>
      </c>
      <c r="X22" s="1067">
        <v>6334</v>
      </c>
      <c r="Y22" s="1067">
        <v>6334</v>
      </c>
      <c r="Z22" s="1067">
        <v>6334</v>
      </c>
      <c r="AA22" s="1067">
        <v>6334</v>
      </c>
      <c r="AB22" s="1067">
        <v>6334</v>
      </c>
      <c r="AC22" s="1067">
        <v>6334</v>
      </c>
      <c r="AD22" s="1091">
        <v>76008</v>
      </c>
    </row>
    <row r="23" spans="3:30">
      <c r="C23" s="1076" t="s">
        <v>1210</v>
      </c>
      <c r="D23" s="1076" t="s">
        <v>1211</v>
      </c>
      <c r="E23" s="1067">
        <v>17321.939999999999</v>
      </c>
      <c r="F23" s="1067"/>
      <c r="G23" s="1067">
        <v>923.52</v>
      </c>
      <c r="H23" s="1067"/>
      <c r="I23" s="1067"/>
      <c r="J23" s="1067">
        <v>2188.29</v>
      </c>
      <c r="K23" s="1067"/>
      <c r="L23" s="1067"/>
      <c r="M23" s="1067"/>
      <c r="N23" s="1067"/>
      <c r="O23" s="1067"/>
      <c r="P23" s="1067"/>
      <c r="Q23" s="1068">
        <v>20433.75</v>
      </c>
      <c r="R23" s="1067"/>
      <c r="S23" s="1067"/>
      <c r="T23" s="1067"/>
      <c r="U23" s="1067"/>
      <c r="V23" s="1067"/>
      <c r="W23" s="1067"/>
      <c r="X23" s="1067"/>
      <c r="Y23" s="1067"/>
      <c r="Z23" s="1067"/>
      <c r="AA23" s="1067"/>
      <c r="AB23" s="1067"/>
      <c r="AC23" s="1067"/>
      <c r="AD23" s="1091"/>
    </row>
    <row r="24" spans="3:30">
      <c r="C24" s="1076" t="s">
        <v>1212</v>
      </c>
      <c r="D24" s="1076" t="s">
        <v>1213</v>
      </c>
      <c r="E24" s="1067">
        <v>3513.33</v>
      </c>
      <c r="F24" s="1067">
        <v>3513.33</v>
      </c>
      <c r="G24" s="1067">
        <v>3513.33</v>
      </c>
      <c r="H24" s="1067">
        <v>3513.33</v>
      </c>
      <c r="I24" s="1067">
        <v>3513.33</v>
      </c>
      <c r="J24" s="1067">
        <v>3513.33</v>
      </c>
      <c r="K24" s="1067">
        <v>3694</v>
      </c>
      <c r="L24" s="1067">
        <v>3694</v>
      </c>
      <c r="M24" s="1067">
        <v>3694</v>
      </c>
      <c r="N24" s="1067">
        <v>3694</v>
      </c>
      <c r="O24" s="1067">
        <v>3694</v>
      </c>
      <c r="P24" s="1067">
        <v>3694</v>
      </c>
      <c r="Q24" s="1068">
        <v>43243.98</v>
      </c>
      <c r="R24" s="1067">
        <v>3727</v>
      </c>
      <c r="S24" s="1067">
        <v>3727</v>
      </c>
      <c r="T24" s="1067">
        <v>3727</v>
      </c>
      <c r="U24" s="1067">
        <v>3727</v>
      </c>
      <c r="V24" s="1067">
        <v>3727</v>
      </c>
      <c r="W24" s="1067">
        <v>3727</v>
      </c>
      <c r="X24" s="1067">
        <v>3727</v>
      </c>
      <c r="Y24" s="1067">
        <v>3727</v>
      </c>
      <c r="Z24" s="1067">
        <v>3727</v>
      </c>
      <c r="AA24" s="1067">
        <v>3727</v>
      </c>
      <c r="AB24" s="1067">
        <v>3727</v>
      </c>
      <c r="AC24" s="1067">
        <v>3727</v>
      </c>
      <c r="AD24" s="1091">
        <v>44724</v>
      </c>
    </row>
    <row r="25" spans="3:30">
      <c r="C25" s="1076" t="s">
        <v>1214</v>
      </c>
      <c r="D25" s="1076" t="s">
        <v>1215</v>
      </c>
      <c r="E25" s="1067">
        <v>16929.53</v>
      </c>
      <c r="F25" s="1067">
        <v>13982.48</v>
      </c>
      <c r="G25" s="1067">
        <v>19179.53</v>
      </c>
      <c r="H25" s="1067">
        <v>9768.57</v>
      </c>
      <c r="I25" s="1067">
        <v>10459.9</v>
      </c>
      <c r="J25" s="1067">
        <v>9487.5400000000009</v>
      </c>
      <c r="K25" s="1067">
        <v>17670</v>
      </c>
      <c r="L25" s="1067">
        <v>17670</v>
      </c>
      <c r="M25" s="1067">
        <v>17670</v>
      </c>
      <c r="N25" s="1067">
        <v>17670</v>
      </c>
      <c r="O25" s="1067">
        <v>17670</v>
      </c>
      <c r="P25" s="1067">
        <v>17670</v>
      </c>
      <c r="Q25" s="1068">
        <v>185827.55</v>
      </c>
      <c r="R25" s="1067">
        <v>16653</v>
      </c>
      <c r="S25" s="1067">
        <v>16653</v>
      </c>
      <c r="T25" s="1067">
        <v>16653</v>
      </c>
      <c r="U25" s="1067">
        <v>16653</v>
      </c>
      <c r="V25" s="1067">
        <v>16653</v>
      </c>
      <c r="W25" s="1067">
        <v>16653</v>
      </c>
      <c r="X25" s="1067">
        <v>16653</v>
      </c>
      <c r="Y25" s="1067">
        <v>16653</v>
      </c>
      <c r="Z25" s="1067">
        <v>16653</v>
      </c>
      <c r="AA25" s="1067">
        <v>16653</v>
      </c>
      <c r="AB25" s="1067">
        <v>16653</v>
      </c>
      <c r="AC25" s="1067">
        <v>16653</v>
      </c>
      <c r="AD25" s="1091">
        <v>199836</v>
      </c>
    </row>
    <row r="26" spans="3:30">
      <c r="C26" s="1076" t="s">
        <v>1216</v>
      </c>
      <c r="D26" s="1076" t="s">
        <v>1217</v>
      </c>
      <c r="E26" s="1067"/>
      <c r="F26" s="1067">
        <v>26926.97</v>
      </c>
      <c r="G26" s="1067">
        <v>8153.65</v>
      </c>
      <c r="H26" s="1067">
        <v>2715.08</v>
      </c>
      <c r="I26" s="1067">
        <v>3055.03</v>
      </c>
      <c r="J26" s="1067">
        <v>16065.6</v>
      </c>
      <c r="K26" s="1067"/>
      <c r="L26" s="1067"/>
      <c r="M26" s="1067"/>
      <c r="N26" s="1067"/>
      <c r="O26" s="1067"/>
      <c r="P26" s="1067"/>
      <c r="Q26" s="1068">
        <v>56916.33</v>
      </c>
      <c r="R26" s="1067"/>
      <c r="S26" s="1067"/>
      <c r="T26" s="1067"/>
      <c r="U26" s="1067"/>
      <c r="V26" s="1067"/>
      <c r="W26" s="1067"/>
      <c r="X26" s="1067"/>
      <c r="Y26" s="1067"/>
      <c r="Z26" s="1067"/>
      <c r="AA26" s="1067"/>
      <c r="AB26" s="1067"/>
      <c r="AC26" s="1067"/>
      <c r="AD26" s="1091"/>
    </row>
    <row r="27" spans="3:30">
      <c r="C27" s="1076" t="s">
        <v>1218</v>
      </c>
      <c r="D27" s="1076" t="s">
        <v>1219</v>
      </c>
      <c r="E27" s="1067"/>
      <c r="F27" s="1067">
        <v>33458.379999999997</v>
      </c>
      <c r="G27" s="1067"/>
      <c r="H27" s="1067">
        <v>-38.42</v>
      </c>
      <c r="I27" s="1067"/>
      <c r="J27" s="1067">
        <v>8452.74</v>
      </c>
      <c r="K27" s="1067"/>
      <c r="L27" s="1067"/>
      <c r="M27" s="1067"/>
      <c r="N27" s="1067"/>
      <c r="O27" s="1067"/>
      <c r="P27" s="1067"/>
      <c r="Q27" s="1068">
        <v>41872.699999999997</v>
      </c>
      <c r="R27" s="1067"/>
      <c r="S27" s="1067"/>
      <c r="T27" s="1067"/>
      <c r="U27" s="1067"/>
      <c r="V27" s="1067"/>
      <c r="W27" s="1067"/>
      <c r="X27" s="1067"/>
      <c r="Y27" s="1067"/>
      <c r="Z27" s="1067"/>
      <c r="AA27" s="1067"/>
      <c r="AB27" s="1067"/>
      <c r="AC27" s="1067"/>
      <c r="AD27" s="1091"/>
    </row>
    <row r="28" spans="3:30">
      <c r="C28" s="1076" t="s">
        <v>1220</v>
      </c>
      <c r="D28" s="1076" t="s">
        <v>1221</v>
      </c>
      <c r="E28" s="1067">
        <v>226387.96</v>
      </c>
      <c r="F28" s="1067">
        <v>69139.98</v>
      </c>
      <c r="G28" s="1067">
        <v>67001.17</v>
      </c>
      <c r="H28" s="1067">
        <v>84427.62</v>
      </c>
      <c r="I28" s="1067">
        <v>-87302.63</v>
      </c>
      <c r="J28" s="1067">
        <v>63689.49</v>
      </c>
      <c r="K28" s="1067">
        <v>83603</v>
      </c>
      <c r="L28" s="1067">
        <v>83603</v>
      </c>
      <c r="M28" s="1067">
        <v>83603</v>
      </c>
      <c r="N28" s="1067">
        <v>83603</v>
      </c>
      <c r="O28" s="1067">
        <v>83603</v>
      </c>
      <c r="P28" s="1067">
        <v>83603</v>
      </c>
      <c r="Q28" s="1068">
        <v>924961.59</v>
      </c>
      <c r="R28" s="1067">
        <v>96603</v>
      </c>
      <c r="S28" s="1067">
        <v>96603</v>
      </c>
      <c r="T28" s="1067">
        <v>96603</v>
      </c>
      <c r="U28" s="1067">
        <v>96603</v>
      </c>
      <c r="V28" s="1067">
        <v>96603</v>
      </c>
      <c r="W28" s="1067">
        <v>96603</v>
      </c>
      <c r="X28" s="1067">
        <v>96603</v>
      </c>
      <c r="Y28" s="1067">
        <v>96603</v>
      </c>
      <c r="Z28" s="1067">
        <v>96603</v>
      </c>
      <c r="AA28" s="1067">
        <v>96603</v>
      </c>
      <c r="AB28" s="1067">
        <v>96603</v>
      </c>
      <c r="AC28" s="1067">
        <v>96603</v>
      </c>
      <c r="AD28" s="1091">
        <v>1159236</v>
      </c>
    </row>
    <row r="29" spans="3:30">
      <c r="C29" s="1076" t="s">
        <v>1222</v>
      </c>
      <c r="D29" s="1076" t="s">
        <v>1223</v>
      </c>
      <c r="E29" s="1067">
        <v>1760.43</v>
      </c>
      <c r="F29" s="1067">
        <v>846.65</v>
      </c>
      <c r="G29" s="1067">
        <v>3110.53</v>
      </c>
      <c r="H29" s="1067">
        <v>749.17</v>
      </c>
      <c r="I29" s="1067">
        <v>5714.42</v>
      </c>
      <c r="J29" s="1067">
        <v>194.5</v>
      </c>
      <c r="K29" s="1067">
        <v>27999</v>
      </c>
      <c r="L29" s="1067">
        <v>27999</v>
      </c>
      <c r="M29" s="1067">
        <v>27999</v>
      </c>
      <c r="N29" s="1067">
        <v>27999</v>
      </c>
      <c r="O29" s="1067">
        <v>27999</v>
      </c>
      <c r="P29" s="1067">
        <v>27999</v>
      </c>
      <c r="Q29" s="1068">
        <v>180369.7</v>
      </c>
      <c r="R29" s="1067">
        <v>17868</v>
      </c>
      <c r="S29" s="1067">
        <v>17868</v>
      </c>
      <c r="T29" s="1067">
        <v>17868</v>
      </c>
      <c r="U29" s="1067">
        <v>17868</v>
      </c>
      <c r="V29" s="1067">
        <v>17868</v>
      </c>
      <c r="W29" s="1067">
        <v>17868</v>
      </c>
      <c r="X29" s="1067">
        <v>17868</v>
      </c>
      <c r="Y29" s="1067">
        <v>17868</v>
      </c>
      <c r="Z29" s="1067">
        <v>17868</v>
      </c>
      <c r="AA29" s="1067">
        <v>17868</v>
      </c>
      <c r="AB29" s="1067">
        <v>17868</v>
      </c>
      <c r="AC29" s="1067">
        <v>17868</v>
      </c>
      <c r="AD29" s="1091">
        <v>214416</v>
      </c>
    </row>
    <row r="30" spans="3:30">
      <c r="C30" s="1076" t="s">
        <v>1224</v>
      </c>
      <c r="D30" s="1076" t="s">
        <v>1225</v>
      </c>
      <c r="E30" s="1067">
        <v>3768.07</v>
      </c>
      <c r="F30" s="1067">
        <v>3768.07</v>
      </c>
      <c r="G30" s="1067">
        <v>31979.26</v>
      </c>
      <c r="H30" s="1067">
        <v>6348</v>
      </c>
      <c r="I30" s="1067">
        <v>6348</v>
      </c>
      <c r="J30" s="1067">
        <v>6348</v>
      </c>
      <c r="K30" s="1067">
        <v>25465</v>
      </c>
      <c r="L30" s="1067">
        <v>25465</v>
      </c>
      <c r="M30" s="1067">
        <v>25465</v>
      </c>
      <c r="N30" s="1067">
        <v>25465</v>
      </c>
      <c r="O30" s="1067">
        <v>25465</v>
      </c>
      <c r="P30" s="1067">
        <v>25465</v>
      </c>
      <c r="Q30" s="1068">
        <v>211349.4</v>
      </c>
      <c r="R30" s="1067">
        <v>19782</v>
      </c>
      <c r="S30" s="1067">
        <v>19782</v>
      </c>
      <c r="T30" s="1067">
        <v>19782</v>
      </c>
      <c r="U30" s="1067">
        <v>19782</v>
      </c>
      <c r="V30" s="1067">
        <v>19782</v>
      </c>
      <c r="W30" s="1067">
        <v>19782</v>
      </c>
      <c r="X30" s="1067">
        <v>19782</v>
      </c>
      <c r="Y30" s="1067">
        <v>19782</v>
      </c>
      <c r="Z30" s="1067">
        <v>19782</v>
      </c>
      <c r="AA30" s="1067">
        <v>19782</v>
      </c>
      <c r="AB30" s="1067">
        <v>19782</v>
      </c>
      <c r="AC30" s="1067">
        <v>19782</v>
      </c>
      <c r="AD30" s="1091">
        <v>237384</v>
      </c>
    </row>
    <row r="31" spans="3:30">
      <c r="C31" s="1076" t="s">
        <v>1226</v>
      </c>
      <c r="D31" s="1076" t="s">
        <v>1227</v>
      </c>
      <c r="E31" s="1067">
        <v>312832.34000000003</v>
      </c>
      <c r="F31" s="1067">
        <v>206849.03</v>
      </c>
      <c r="G31" s="1067">
        <v>148013.37</v>
      </c>
      <c r="H31" s="1067">
        <v>719629.6</v>
      </c>
      <c r="I31" s="1067">
        <v>518788.42</v>
      </c>
      <c r="J31" s="1067">
        <v>527552.22</v>
      </c>
      <c r="K31" s="1067">
        <v>381173.20559149998</v>
      </c>
      <c r="L31" s="1067">
        <v>381175.62217280001</v>
      </c>
      <c r="M31" s="1067">
        <v>381178.02773849998</v>
      </c>
      <c r="N31" s="1067">
        <v>381173.44743519998</v>
      </c>
      <c r="O31" s="1067">
        <v>381178.15742280002</v>
      </c>
      <c r="P31" s="1067">
        <v>381175.90123610001</v>
      </c>
      <c r="Q31" s="1068">
        <v>4720719.3415968996</v>
      </c>
      <c r="R31" s="1067">
        <v>392663</v>
      </c>
      <c r="S31" s="1067">
        <v>392663</v>
      </c>
      <c r="T31" s="1067">
        <v>392663</v>
      </c>
      <c r="U31" s="1067">
        <v>392663</v>
      </c>
      <c r="V31" s="1067">
        <v>392663</v>
      </c>
      <c r="W31" s="1067">
        <v>392663</v>
      </c>
      <c r="X31" s="1067">
        <v>392663</v>
      </c>
      <c r="Y31" s="1067">
        <v>392663</v>
      </c>
      <c r="Z31" s="1067">
        <v>392663</v>
      </c>
      <c r="AA31" s="1067">
        <v>392663</v>
      </c>
      <c r="AB31" s="1067">
        <v>392663</v>
      </c>
      <c r="AC31" s="1067">
        <v>392663</v>
      </c>
      <c r="AD31" s="1091">
        <v>4711956</v>
      </c>
    </row>
    <row r="32" spans="3:30">
      <c r="C32" s="1076" t="s">
        <v>1228</v>
      </c>
      <c r="D32" s="1076" t="s">
        <v>1229</v>
      </c>
      <c r="E32" s="1067"/>
      <c r="F32" s="1067"/>
      <c r="G32" s="1067"/>
      <c r="H32" s="1067">
        <v>209.61</v>
      </c>
      <c r="I32" s="1067">
        <v>-209.61</v>
      </c>
      <c r="J32" s="1067"/>
      <c r="K32" s="1067"/>
      <c r="L32" s="1067"/>
      <c r="M32" s="1067"/>
      <c r="N32" s="1067"/>
      <c r="O32" s="1067"/>
      <c r="P32" s="1067">
        <v>647297</v>
      </c>
      <c r="Q32" s="1068">
        <v>647297</v>
      </c>
      <c r="R32" s="1067"/>
      <c r="S32" s="1067"/>
      <c r="T32" s="1067"/>
      <c r="U32" s="1067"/>
      <c r="V32" s="1067"/>
      <c r="W32" s="1067"/>
      <c r="X32" s="1067"/>
      <c r="Y32" s="1067"/>
      <c r="Z32" s="1067"/>
      <c r="AA32" s="1067"/>
      <c r="AB32" s="1067"/>
      <c r="AC32" s="1067"/>
      <c r="AD32" s="1091"/>
    </row>
    <row r="33" spans="3:30">
      <c r="C33" s="1076" t="s">
        <v>1230</v>
      </c>
      <c r="D33" s="1076" t="s">
        <v>1231</v>
      </c>
      <c r="E33" s="1067">
        <v>109930.05</v>
      </c>
      <c r="F33" s="1067">
        <v>110005.19</v>
      </c>
      <c r="G33" s="1067">
        <v>109992.64</v>
      </c>
      <c r="H33" s="1067">
        <v>109999.16</v>
      </c>
      <c r="I33" s="1067">
        <v>110008.21</v>
      </c>
      <c r="J33" s="1067">
        <v>110070.37</v>
      </c>
      <c r="K33" s="1067"/>
      <c r="L33" s="1067"/>
      <c r="M33" s="1067"/>
      <c r="N33" s="1067"/>
      <c r="O33" s="1067"/>
      <c r="P33" s="1067"/>
      <c r="Q33" s="1068">
        <v>660005.62</v>
      </c>
      <c r="R33" s="1067"/>
      <c r="S33" s="1067"/>
      <c r="T33" s="1067"/>
      <c r="U33" s="1067"/>
      <c r="V33" s="1067"/>
      <c r="W33" s="1067"/>
      <c r="X33" s="1067"/>
      <c r="Y33" s="1067"/>
      <c r="Z33" s="1067"/>
      <c r="AA33" s="1067"/>
      <c r="AB33" s="1067"/>
      <c r="AC33" s="1067"/>
      <c r="AD33" s="1091"/>
    </row>
    <row r="34" spans="3:30">
      <c r="C34" s="1076" t="s">
        <v>1232</v>
      </c>
      <c r="D34" s="1076" t="s">
        <v>1233</v>
      </c>
      <c r="E34" s="1067"/>
      <c r="F34" s="1067"/>
      <c r="G34" s="1067"/>
      <c r="H34" s="1067"/>
      <c r="I34" s="1067"/>
      <c r="J34" s="1067"/>
      <c r="K34" s="1067">
        <v>1241673.3500000001</v>
      </c>
      <c r="L34" s="1067">
        <v>1241673.3500000001</v>
      </c>
      <c r="M34" s="1067">
        <v>1241673.3500000001</v>
      </c>
      <c r="N34" s="1067">
        <v>1241673.3500000001</v>
      </c>
      <c r="O34" s="1067">
        <v>1241673.3500000001</v>
      </c>
      <c r="P34" s="1067">
        <v>1241673.3500000001</v>
      </c>
      <c r="Q34" s="1068">
        <v>7450040.0999999996</v>
      </c>
      <c r="R34" s="1067">
        <v>939548.26416669996</v>
      </c>
      <c r="S34" s="1067">
        <v>939548.26416669996</v>
      </c>
      <c r="T34" s="1067">
        <v>939548.26416669996</v>
      </c>
      <c r="U34" s="1067">
        <v>939548.26416669996</v>
      </c>
      <c r="V34" s="1067">
        <v>939548.26416669996</v>
      </c>
      <c r="W34" s="1067">
        <v>939548.26416669996</v>
      </c>
      <c r="X34" s="1067">
        <v>939548.26416669996</v>
      </c>
      <c r="Y34" s="1067">
        <v>926465.06787030003</v>
      </c>
      <c r="Z34" s="1067">
        <v>939548.26416669996</v>
      </c>
      <c r="AA34" s="1067">
        <v>939548.26416669996</v>
      </c>
      <c r="AB34" s="1067">
        <v>932918.63527289999</v>
      </c>
      <c r="AC34" s="1067">
        <v>939548.26416669996</v>
      </c>
      <c r="AD34" s="1091">
        <v>11254866.344810201</v>
      </c>
    </row>
    <row r="35" spans="3:30">
      <c r="C35" s="1076" t="s">
        <v>1232</v>
      </c>
      <c r="D35" s="1076" t="s">
        <v>1234</v>
      </c>
      <c r="E35" s="1067"/>
      <c r="F35" s="1067"/>
      <c r="G35" s="1067"/>
      <c r="H35" s="1067"/>
      <c r="I35" s="1067"/>
      <c r="J35" s="1067"/>
      <c r="K35" s="1067">
        <v>-17407.0450413</v>
      </c>
      <c r="L35" s="1067">
        <v>-15576.2025488</v>
      </c>
      <c r="M35" s="1067">
        <v>-15792.5610356</v>
      </c>
      <c r="N35" s="1067">
        <v>-16568.8509662</v>
      </c>
      <c r="O35" s="1067">
        <v>-16227.326145000001</v>
      </c>
      <c r="P35" s="1067">
        <v>-24767.223337200001</v>
      </c>
      <c r="Q35" s="1068">
        <v>-106339.2090741</v>
      </c>
      <c r="R35" s="1067">
        <v>-17780.5586234</v>
      </c>
      <c r="S35" s="1067">
        <v>-20500.9550934</v>
      </c>
      <c r="T35" s="1067">
        <v>-17826.9895646</v>
      </c>
      <c r="U35" s="1067">
        <v>-18719.721062000001</v>
      </c>
      <c r="V35" s="1067">
        <v>-21164.842963300001</v>
      </c>
      <c r="W35" s="1067">
        <v>-18070.829749100001</v>
      </c>
      <c r="X35" s="1067">
        <v>-18817.531114699999</v>
      </c>
      <c r="Y35" s="1067">
        <v>-19838.7183745</v>
      </c>
      <c r="Z35" s="1067">
        <v>-18129.857354700001</v>
      </c>
      <c r="AA35" s="1067">
        <v>-17994.709212900001</v>
      </c>
      <c r="AB35" s="1067">
        <v>-17737.2131223</v>
      </c>
      <c r="AC35" s="1067">
        <v>-25158.215958299999</v>
      </c>
      <c r="AD35" s="1091">
        <v>-231740.14219320001</v>
      </c>
    </row>
    <row r="36" spans="3:30">
      <c r="C36" s="1076" t="s">
        <v>1235</v>
      </c>
      <c r="D36" s="1076" t="s">
        <v>1236</v>
      </c>
      <c r="E36" s="1067">
        <v>-7385.15</v>
      </c>
      <c r="F36" s="1067">
        <v>-9341.7999999999993</v>
      </c>
      <c r="G36" s="1067">
        <v>-12446.2</v>
      </c>
      <c r="H36" s="1067">
        <v>-19239.41</v>
      </c>
      <c r="I36" s="1067">
        <v>-18905.55</v>
      </c>
      <c r="J36" s="1067">
        <v>-1143133.6499999999</v>
      </c>
      <c r="K36" s="1067"/>
      <c r="L36" s="1067"/>
      <c r="M36" s="1067"/>
      <c r="N36" s="1067"/>
      <c r="O36" s="1067"/>
      <c r="P36" s="1067"/>
      <c r="Q36" s="1068">
        <v>-1210451.76</v>
      </c>
      <c r="R36" s="1067"/>
      <c r="S36" s="1067"/>
      <c r="T36" s="1067"/>
      <c r="U36" s="1067"/>
      <c r="V36" s="1067"/>
      <c r="W36" s="1067"/>
      <c r="X36" s="1067"/>
      <c r="Y36" s="1067"/>
      <c r="Z36" s="1067"/>
      <c r="AA36" s="1067"/>
      <c r="AB36" s="1067"/>
      <c r="AC36" s="1067"/>
      <c r="AD36" s="1091"/>
    </row>
    <row r="37" spans="3:30">
      <c r="C37" s="1076" t="s">
        <v>1237</v>
      </c>
      <c r="D37" s="1076" t="s">
        <v>1238</v>
      </c>
      <c r="E37" s="1067">
        <v>488255.8</v>
      </c>
      <c r="F37" s="1067">
        <v>488452.16</v>
      </c>
      <c r="G37" s="1067">
        <v>488586.36</v>
      </c>
      <c r="H37" s="1067">
        <v>488649.12</v>
      </c>
      <c r="I37" s="1067">
        <v>489047.69</v>
      </c>
      <c r="J37" s="1067">
        <v>489306.17</v>
      </c>
      <c r="K37" s="1067">
        <v>600193.03</v>
      </c>
      <c r="L37" s="1067">
        <v>600301.14</v>
      </c>
      <c r="M37" s="1067">
        <v>600523.88</v>
      </c>
      <c r="N37" s="1067">
        <v>600746.62</v>
      </c>
      <c r="O37" s="1067">
        <v>600842.05000000005</v>
      </c>
      <c r="P37" s="1067">
        <v>601040.18999999994</v>
      </c>
      <c r="Q37" s="1068">
        <v>6535944.21</v>
      </c>
      <c r="R37" s="1067">
        <v>982146.04203390004</v>
      </c>
      <c r="S37" s="1067">
        <v>982146.04203390004</v>
      </c>
      <c r="T37" s="1067">
        <v>982146.04203390004</v>
      </c>
      <c r="U37" s="1067">
        <v>982146.04203390004</v>
      </c>
      <c r="V37" s="1067">
        <v>982146.04203390004</v>
      </c>
      <c r="W37" s="1067">
        <v>982146.04203390004</v>
      </c>
      <c r="X37" s="1067">
        <v>982146.04203390004</v>
      </c>
      <c r="Y37" s="1067">
        <v>982146.04203390004</v>
      </c>
      <c r="Z37" s="1067">
        <v>982146.04203390004</v>
      </c>
      <c r="AA37" s="1067">
        <v>982146.04203390004</v>
      </c>
      <c r="AB37" s="1067">
        <v>982146.04203390004</v>
      </c>
      <c r="AC37" s="1067">
        <v>989951.49203389999</v>
      </c>
      <c r="AD37" s="1091">
        <v>11793557.9544068</v>
      </c>
    </row>
    <row r="38" spans="3:30">
      <c r="C38" s="1076" t="s">
        <v>1239</v>
      </c>
      <c r="D38" s="1076" t="s">
        <v>1240</v>
      </c>
      <c r="E38" s="1067">
        <v>965.72</v>
      </c>
      <c r="F38" s="1067">
        <v>2965.14</v>
      </c>
      <c r="G38" s="1067">
        <v>1965.43</v>
      </c>
      <c r="H38" s="1067">
        <v>1965.43</v>
      </c>
      <c r="I38" s="1067">
        <v>16205.04</v>
      </c>
      <c r="J38" s="1067">
        <v>1965.43</v>
      </c>
      <c r="K38" s="1067">
        <v>2121</v>
      </c>
      <c r="L38" s="1067">
        <v>2121</v>
      </c>
      <c r="M38" s="1067">
        <v>2121</v>
      </c>
      <c r="N38" s="1067">
        <v>2121</v>
      </c>
      <c r="O38" s="1067">
        <v>2121</v>
      </c>
      <c r="P38" s="1067">
        <v>2121</v>
      </c>
      <c r="Q38" s="1068">
        <v>38758.19</v>
      </c>
      <c r="R38" s="1067">
        <v>3340</v>
      </c>
      <c r="S38" s="1067">
        <v>3340</v>
      </c>
      <c r="T38" s="1067">
        <v>3340</v>
      </c>
      <c r="U38" s="1067">
        <v>3340</v>
      </c>
      <c r="V38" s="1067">
        <v>3340</v>
      </c>
      <c r="W38" s="1067">
        <v>3340</v>
      </c>
      <c r="X38" s="1067">
        <v>3340</v>
      </c>
      <c r="Y38" s="1067">
        <v>3340</v>
      </c>
      <c r="Z38" s="1067">
        <v>3340</v>
      </c>
      <c r="AA38" s="1067">
        <v>3340</v>
      </c>
      <c r="AB38" s="1067">
        <v>3340</v>
      </c>
      <c r="AC38" s="1067">
        <v>3340</v>
      </c>
      <c r="AD38" s="1091">
        <v>40080</v>
      </c>
    </row>
    <row r="39" spans="3:30">
      <c r="C39" s="1076" t="s">
        <v>1241</v>
      </c>
      <c r="D39" s="1076" t="s">
        <v>1242</v>
      </c>
      <c r="E39" s="1067"/>
      <c r="F39" s="1067">
        <v>70.209999999999994</v>
      </c>
      <c r="G39" s="1067">
        <v>-140.41999999999999</v>
      </c>
      <c r="H39" s="1067"/>
      <c r="I39" s="1067"/>
      <c r="J39" s="1067"/>
      <c r="K39" s="1067"/>
      <c r="L39" s="1067"/>
      <c r="M39" s="1067"/>
      <c r="N39" s="1067"/>
      <c r="O39" s="1067"/>
      <c r="P39" s="1067"/>
      <c r="Q39" s="1068">
        <v>-70.209999999999994</v>
      </c>
      <c r="R39" s="1067"/>
      <c r="S39" s="1067"/>
      <c r="T39" s="1067"/>
      <c r="U39" s="1067"/>
      <c r="V39" s="1067"/>
      <c r="W39" s="1067"/>
      <c r="X39" s="1067"/>
      <c r="Y39" s="1067"/>
      <c r="Z39" s="1067"/>
      <c r="AA39" s="1067"/>
      <c r="AB39" s="1067"/>
      <c r="AC39" s="1067"/>
      <c r="AD39" s="1091"/>
    </row>
    <row r="40" spans="3:30">
      <c r="C40" s="1076" t="s">
        <v>1243</v>
      </c>
      <c r="D40" s="1076" t="s">
        <v>1244</v>
      </c>
      <c r="E40" s="1067"/>
      <c r="F40" s="1067">
        <v>489.43</v>
      </c>
      <c r="G40" s="1067">
        <v>-978.86</v>
      </c>
      <c r="H40" s="1067"/>
      <c r="I40" s="1067"/>
      <c r="J40" s="1067"/>
      <c r="K40" s="1067"/>
      <c r="L40" s="1067"/>
      <c r="M40" s="1067"/>
      <c r="N40" s="1067"/>
      <c r="O40" s="1067"/>
      <c r="P40" s="1067"/>
      <c r="Q40" s="1068">
        <v>-489.43</v>
      </c>
      <c r="R40" s="1067"/>
      <c r="S40" s="1067"/>
      <c r="T40" s="1067"/>
      <c r="U40" s="1067"/>
      <c r="V40" s="1067"/>
      <c r="W40" s="1067"/>
      <c r="X40" s="1067"/>
      <c r="Y40" s="1067"/>
      <c r="Z40" s="1067"/>
      <c r="AA40" s="1067"/>
      <c r="AB40" s="1067"/>
      <c r="AC40" s="1067"/>
      <c r="AD40" s="1091"/>
    </row>
    <row r="41" spans="3:30">
      <c r="C41" s="1076" t="s">
        <v>1245</v>
      </c>
      <c r="D41" s="1076" t="s">
        <v>1246</v>
      </c>
      <c r="E41" s="1067">
        <v>13392.31</v>
      </c>
      <c r="F41" s="1067">
        <v>6393.83</v>
      </c>
      <c r="G41" s="1067">
        <v>17856.330000000002</v>
      </c>
      <c r="H41" s="1067">
        <v>15286.79</v>
      </c>
      <c r="I41" s="1067">
        <v>20280.060000000001</v>
      </c>
      <c r="J41" s="1067">
        <v>13904.49</v>
      </c>
      <c r="K41" s="1067">
        <v>30356.502244300002</v>
      </c>
      <c r="L41" s="1067">
        <v>28592.8950573</v>
      </c>
      <c r="M41" s="1067">
        <v>28538.4607058</v>
      </c>
      <c r="N41" s="1067">
        <v>30282.5698429</v>
      </c>
      <c r="O41" s="1067">
        <v>29649.052045299999</v>
      </c>
      <c r="P41" s="1067">
        <v>36665.1485483</v>
      </c>
      <c r="Q41" s="1068">
        <v>271198.43844390003</v>
      </c>
      <c r="R41" s="1067">
        <v>28410.456478</v>
      </c>
      <c r="S41" s="1067">
        <v>31421.413997799998</v>
      </c>
      <c r="T41" s="1067">
        <v>28445.803052300002</v>
      </c>
      <c r="U41" s="1067">
        <v>29514.3010177</v>
      </c>
      <c r="V41" s="1067">
        <v>31926.827288299999</v>
      </c>
      <c r="W41" s="1067">
        <v>28693.453068300001</v>
      </c>
      <c r="X41" s="1067">
        <v>29532.0200119</v>
      </c>
      <c r="Y41" s="1067">
        <v>30873.922086499999</v>
      </c>
      <c r="Z41" s="1067">
        <v>28407.1613144</v>
      </c>
      <c r="AA41" s="1067">
        <v>28691.146049899999</v>
      </c>
      <c r="AB41" s="1067">
        <v>28702.012799600001</v>
      </c>
      <c r="AC41" s="1067">
        <v>36569.2517247</v>
      </c>
      <c r="AD41" s="1091">
        <v>361187.7688894</v>
      </c>
    </row>
    <row r="42" spans="3:30">
      <c r="C42" s="1076" t="s">
        <v>1247</v>
      </c>
      <c r="D42" s="1076" t="s">
        <v>1248</v>
      </c>
      <c r="E42" s="1067">
        <v>17057</v>
      </c>
      <c r="F42" s="1067">
        <v>40884</v>
      </c>
      <c r="G42" s="1067">
        <v>120637</v>
      </c>
      <c r="H42" s="1067">
        <v>35315</v>
      </c>
      <c r="I42" s="1067">
        <v>117135</v>
      </c>
      <c r="J42" s="1067">
        <v>-8049</v>
      </c>
      <c r="K42" s="1067">
        <v>-55083.300927700002</v>
      </c>
      <c r="L42" s="1067">
        <v>-53575.894282900001</v>
      </c>
      <c r="M42" s="1067">
        <v>-62635.858932299998</v>
      </c>
      <c r="N42" s="1067">
        <v>-53396.385510599997</v>
      </c>
      <c r="O42" s="1067">
        <v>-61768.133149599998</v>
      </c>
      <c r="P42" s="1067">
        <v>-93523.225476599997</v>
      </c>
      <c r="Q42" s="1068">
        <v>-57003.7982797</v>
      </c>
      <c r="R42" s="1067">
        <v>3158.3256129000001</v>
      </c>
      <c r="S42" s="1067">
        <v>-23509.694586099999</v>
      </c>
      <c r="T42" s="1067">
        <v>7626.9595756999997</v>
      </c>
      <c r="U42" s="1067">
        <v>-2818.9264324999999</v>
      </c>
      <c r="V42" s="1067">
        <v>7536.2317271000002</v>
      </c>
      <c r="W42" s="1067">
        <v>-1533.8995967000001</v>
      </c>
      <c r="X42" s="1067">
        <v>5380.2067533999998</v>
      </c>
      <c r="Y42" s="1067">
        <v>9932.4569496999993</v>
      </c>
      <c r="Z42" s="1067">
        <v>-1237.4494539</v>
      </c>
      <c r="AA42" s="1067">
        <v>8127.0291103</v>
      </c>
      <c r="AB42" s="1067">
        <v>-635.92312790000005</v>
      </c>
      <c r="AC42" s="1067">
        <v>-12025.316532000001</v>
      </c>
      <c r="AD42" s="1091"/>
    </row>
    <row r="43" spans="3:30">
      <c r="C43" s="1076" t="s">
        <v>1249</v>
      </c>
      <c r="D43" s="1076" t="s">
        <v>1250</v>
      </c>
      <c r="E43" s="1067">
        <v>51525</v>
      </c>
      <c r="F43" s="1067">
        <v>123501</v>
      </c>
      <c r="G43" s="1067">
        <v>364417</v>
      </c>
      <c r="H43" s="1067">
        <v>106677</v>
      </c>
      <c r="I43" s="1067">
        <v>353840</v>
      </c>
      <c r="J43" s="1067">
        <v>-24314</v>
      </c>
      <c r="K43" s="1067">
        <v>-166393.94057179999</v>
      </c>
      <c r="L43" s="1067">
        <v>-161840.41296079999</v>
      </c>
      <c r="M43" s="1067">
        <v>-189208.47540530001</v>
      </c>
      <c r="N43" s="1067">
        <v>-161298.15838460001</v>
      </c>
      <c r="O43" s="1067">
        <v>-186587.27606</v>
      </c>
      <c r="P43" s="1067">
        <v>-282512.08188200003</v>
      </c>
      <c r="Q43" s="1068">
        <v>-172194.34526450001</v>
      </c>
      <c r="R43" s="1067">
        <v>183900.4940179</v>
      </c>
      <c r="S43" s="1067">
        <v>103342.5591553</v>
      </c>
      <c r="T43" s="1067">
        <v>197399.20599620001</v>
      </c>
      <c r="U43" s="1067">
        <v>165844.59495470001</v>
      </c>
      <c r="V43" s="1067">
        <v>197125.1381029</v>
      </c>
      <c r="W43" s="1067">
        <v>169726.364481</v>
      </c>
      <c r="X43" s="1067">
        <v>190612.28420170001</v>
      </c>
      <c r="Y43" s="1067">
        <v>204363.58152529999</v>
      </c>
      <c r="Z43" s="1067">
        <v>170621.87195080001</v>
      </c>
      <c r="AA43" s="1067">
        <v>198909.80065970001</v>
      </c>
      <c r="AB43" s="1067">
        <v>172438.94416779999</v>
      </c>
      <c r="AC43" s="1067">
        <v>138034.2150155</v>
      </c>
      <c r="AD43" s="1091">
        <v>2092319.0542288001</v>
      </c>
    </row>
    <row r="44" spans="3:30">
      <c r="C44" s="1076" t="s">
        <v>1251</v>
      </c>
      <c r="D44" s="1076" t="s">
        <v>1252</v>
      </c>
      <c r="E44" s="1067">
        <v>-820</v>
      </c>
      <c r="F44" s="1067">
        <v>-11</v>
      </c>
      <c r="G44" s="1067">
        <v>-1196</v>
      </c>
      <c r="H44" s="1067">
        <v>-1852</v>
      </c>
      <c r="I44" s="1067">
        <v>-396</v>
      </c>
      <c r="J44" s="1067">
        <v>71704</v>
      </c>
      <c r="K44" s="1067"/>
      <c r="L44" s="1067"/>
      <c r="M44" s="1067"/>
      <c r="N44" s="1067"/>
      <c r="O44" s="1067"/>
      <c r="P44" s="1067"/>
      <c r="Q44" s="1068">
        <v>67429</v>
      </c>
      <c r="R44" s="1067"/>
      <c r="S44" s="1067"/>
      <c r="T44" s="1067"/>
      <c r="U44" s="1067"/>
      <c r="V44" s="1067"/>
      <c r="W44" s="1067"/>
      <c r="X44" s="1067"/>
      <c r="Y44" s="1067"/>
      <c r="Z44" s="1067"/>
      <c r="AA44" s="1067"/>
      <c r="AB44" s="1067"/>
      <c r="AC44" s="1067"/>
      <c r="AD44" s="1091"/>
    </row>
    <row r="45" spans="3:30">
      <c r="C45" s="1076" t="s">
        <v>1253</v>
      </c>
      <c r="D45" s="1076" t="s">
        <v>1254</v>
      </c>
      <c r="E45" s="1067">
        <v>-2477</v>
      </c>
      <c r="F45" s="1067">
        <v>-33</v>
      </c>
      <c r="G45" s="1067">
        <v>-3612</v>
      </c>
      <c r="H45" s="1067">
        <v>-5595</v>
      </c>
      <c r="I45" s="1067">
        <v>-1197</v>
      </c>
      <c r="J45" s="1067">
        <v>216600</v>
      </c>
      <c r="K45" s="1067"/>
      <c r="L45" s="1067"/>
      <c r="M45" s="1067"/>
      <c r="N45" s="1067"/>
      <c r="O45" s="1067"/>
      <c r="P45" s="1067"/>
      <c r="Q45" s="1068">
        <v>203686</v>
      </c>
      <c r="R45" s="1067"/>
      <c r="S45" s="1067"/>
      <c r="T45" s="1067"/>
      <c r="U45" s="1067"/>
      <c r="V45" s="1067"/>
      <c r="W45" s="1067"/>
      <c r="X45" s="1067"/>
      <c r="Y45" s="1067"/>
      <c r="Z45" s="1067"/>
      <c r="AA45" s="1067"/>
      <c r="AB45" s="1067"/>
      <c r="AC45" s="1067"/>
      <c r="AD45" s="1091"/>
    </row>
    <row r="46" spans="3:30">
      <c r="C46" s="1076" t="s">
        <v>1255</v>
      </c>
      <c r="D46" s="1076" t="s">
        <v>1256</v>
      </c>
      <c r="E46" s="1067">
        <v>-140262</v>
      </c>
      <c r="F46" s="1067">
        <v>-125966</v>
      </c>
      <c r="G46" s="1067">
        <v>-393725</v>
      </c>
      <c r="H46" s="1067">
        <v>-153981</v>
      </c>
      <c r="I46" s="1067">
        <v>-436069</v>
      </c>
      <c r="J46" s="1067">
        <v>-128880</v>
      </c>
      <c r="K46" s="1067"/>
      <c r="L46" s="1067"/>
      <c r="M46" s="1067"/>
      <c r="N46" s="1067"/>
      <c r="O46" s="1067"/>
      <c r="P46" s="1067"/>
      <c r="Q46" s="1068">
        <v>-1378883</v>
      </c>
      <c r="R46" s="1067"/>
      <c r="S46" s="1067"/>
      <c r="T46" s="1067"/>
      <c r="U46" s="1067"/>
      <c r="V46" s="1067"/>
      <c r="W46" s="1067"/>
      <c r="X46" s="1067"/>
      <c r="Y46" s="1067"/>
      <c r="Z46" s="1067"/>
      <c r="AA46" s="1067"/>
      <c r="AB46" s="1067"/>
      <c r="AC46" s="1067"/>
      <c r="AD46" s="1091"/>
    </row>
    <row r="47" spans="3:30">
      <c r="C47" s="1076" t="s">
        <v>1255</v>
      </c>
      <c r="D47" s="1076" t="s">
        <v>1257</v>
      </c>
      <c r="E47" s="1067">
        <v>-46432</v>
      </c>
      <c r="F47" s="1067">
        <v>-41701</v>
      </c>
      <c r="G47" s="1067">
        <v>-130339</v>
      </c>
      <c r="H47" s="1067">
        <v>-50975</v>
      </c>
      <c r="I47" s="1067">
        <v>-144355</v>
      </c>
      <c r="J47" s="1067">
        <v>-42667</v>
      </c>
      <c r="K47" s="1067"/>
      <c r="L47" s="1067"/>
      <c r="M47" s="1067"/>
      <c r="N47" s="1067"/>
      <c r="O47" s="1067"/>
      <c r="P47" s="1067"/>
      <c r="Q47" s="1068">
        <v>-456469</v>
      </c>
      <c r="R47" s="1067"/>
      <c r="S47" s="1067"/>
      <c r="T47" s="1067"/>
      <c r="U47" s="1067"/>
      <c r="V47" s="1067"/>
      <c r="W47" s="1067"/>
      <c r="X47" s="1067"/>
      <c r="Y47" s="1067"/>
      <c r="Z47" s="1067"/>
      <c r="AA47" s="1067"/>
      <c r="AB47" s="1067"/>
      <c r="AC47" s="1067"/>
      <c r="AD47" s="1091"/>
    </row>
    <row r="48" spans="3:30">
      <c r="C48" s="1076" t="s">
        <v>1258</v>
      </c>
      <c r="D48" s="1076" t="s">
        <v>1259</v>
      </c>
      <c r="E48" s="1067">
        <v>370336</v>
      </c>
      <c r="F48" s="1067">
        <v>306301</v>
      </c>
      <c r="G48" s="1067">
        <v>338320</v>
      </c>
      <c r="H48" s="1067">
        <v>338320</v>
      </c>
      <c r="I48" s="1067">
        <v>338324</v>
      </c>
      <c r="J48" s="1067">
        <v>338329</v>
      </c>
      <c r="K48" s="1067"/>
      <c r="L48" s="1067"/>
      <c r="M48" s="1067"/>
      <c r="N48" s="1067"/>
      <c r="O48" s="1067"/>
      <c r="P48" s="1067"/>
      <c r="Q48" s="1068">
        <v>2029930</v>
      </c>
      <c r="R48" s="1067">
        <v>-664044.09010340006</v>
      </c>
      <c r="S48" s="1067">
        <v>-664044.09010340006</v>
      </c>
      <c r="T48" s="1067">
        <v>-664044.09010340006</v>
      </c>
      <c r="U48" s="1067">
        <v>-664044.09010340006</v>
      </c>
      <c r="V48" s="1067">
        <v>-664044.09010340006</v>
      </c>
      <c r="W48" s="1067">
        <v>-664044.09010340006</v>
      </c>
      <c r="X48" s="1067">
        <v>-664044.09010340006</v>
      </c>
      <c r="Y48" s="1067">
        <v>-664044.09010340006</v>
      </c>
      <c r="Z48" s="1067">
        <v>-664044.09010340006</v>
      </c>
      <c r="AA48" s="1067">
        <v>-664044.09010340006</v>
      </c>
      <c r="AB48" s="1067">
        <v>-664044.09010340006</v>
      </c>
      <c r="AC48" s="1067">
        <v>-664044.09010340006</v>
      </c>
      <c r="AD48" s="1091">
        <v>-7968529.0812408002</v>
      </c>
    </row>
    <row r="49" spans="3:30">
      <c r="C49" s="1076" t="s">
        <v>1258</v>
      </c>
      <c r="D49" s="1076" t="s">
        <v>1260</v>
      </c>
      <c r="E49" s="1067">
        <v>122596</v>
      </c>
      <c r="F49" s="1067">
        <v>101399</v>
      </c>
      <c r="G49" s="1067">
        <v>111998</v>
      </c>
      <c r="H49" s="1067">
        <v>111998</v>
      </c>
      <c r="I49" s="1067">
        <v>111999</v>
      </c>
      <c r="J49" s="1067">
        <v>112002</v>
      </c>
      <c r="K49" s="1067"/>
      <c r="L49" s="1067"/>
      <c r="M49" s="1067"/>
      <c r="N49" s="1067"/>
      <c r="O49" s="1067"/>
      <c r="P49" s="1067"/>
      <c r="Q49" s="1068">
        <v>671992</v>
      </c>
      <c r="R49" s="1067"/>
      <c r="S49" s="1067"/>
      <c r="T49" s="1067"/>
      <c r="U49" s="1067"/>
      <c r="V49" s="1067"/>
      <c r="W49" s="1067"/>
      <c r="X49" s="1067"/>
      <c r="Y49" s="1067"/>
      <c r="Z49" s="1067"/>
      <c r="AA49" s="1067"/>
      <c r="AB49" s="1067"/>
      <c r="AC49" s="1067"/>
      <c r="AD49" s="1091"/>
    </row>
    <row r="50" spans="3:30">
      <c r="C50" s="1076" t="s">
        <v>1261</v>
      </c>
      <c r="D50" s="1076" t="s">
        <v>1262</v>
      </c>
      <c r="E50" s="1067"/>
      <c r="F50" s="1067"/>
      <c r="G50" s="1067"/>
      <c r="H50" s="1067"/>
      <c r="I50" s="1067"/>
      <c r="J50" s="1067"/>
      <c r="K50" s="1067">
        <v>475602.10164279997</v>
      </c>
      <c r="L50" s="1067">
        <v>475580.87424430001</v>
      </c>
      <c r="M50" s="1067">
        <v>475537.13924529997</v>
      </c>
      <c r="N50" s="1067">
        <v>475493.40424629999</v>
      </c>
      <c r="O50" s="1067">
        <v>475474.66656580003</v>
      </c>
      <c r="P50" s="1067">
        <v>475435.76177679998</v>
      </c>
      <c r="Q50" s="1068">
        <v>2853123.9477213002</v>
      </c>
      <c r="R50" s="1067">
        <v>-46384.893782699997</v>
      </c>
      <c r="S50" s="1067">
        <v>-46384.893782699997</v>
      </c>
      <c r="T50" s="1067">
        <v>-46384.893782699997</v>
      </c>
      <c r="U50" s="1067">
        <v>-46384.893782699997</v>
      </c>
      <c r="V50" s="1067">
        <v>-46384.893782699997</v>
      </c>
      <c r="W50" s="1067">
        <v>-46384.893782699997</v>
      </c>
      <c r="X50" s="1067">
        <v>-46384.893782699997</v>
      </c>
      <c r="Y50" s="1067">
        <v>-46384.893782699997</v>
      </c>
      <c r="Z50" s="1067">
        <v>-46384.893782699997</v>
      </c>
      <c r="AA50" s="1067">
        <v>-46384.893782699997</v>
      </c>
      <c r="AB50" s="1067">
        <v>-46384.893782699997</v>
      </c>
      <c r="AC50" s="1067">
        <v>-47917.493890199999</v>
      </c>
      <c r="AD50" s="1091">
        <v>-558151.32549990003</v>
      </c>
    </row>
    <row r="51" spans="3:30">
      <c r="C51" s="1076" t="s">
        <v>1261</v>
      </c>
      <c r="D51" s="1076" t="s">
        <v>1263</v>
      </c>
      <c r="E51" s="1067"/>
      <c r="F51" s="1067"/>
      <c r="G51" s="1067"/>
      <c r="H51" s="1067"/>
      <c r="I51" s="1067"/>
      <c r="J51" s="1067"/>
      <c r="K51" s="1067">
        <v>157444.0367038</v>
      </c>
      <c r="L51" s="1067">
        <v>157437.00955379999</v>
      </c>
      <c r="M51" s="1067">
        <v>157422.53145380001</v>
      </c>
      <c r="N51" s="1067">
        <v>157408.0533538</v>
      </c>
      <c r="O51" s="1067">
        <v>157401.8504038</v>
      </c>
      <c r="P51" s="1067">
        <v>157388.9713038</v>
      </c>
      <c r="Q51" s="1068">
        <v>944502.4527728</v>
      </c>
      <c r="R51" s="1067">
        <v>941361.9864996</v>
      </c>
      <c r="S51" s="1067">
        <v>941361.9864996</v>
      </c>
      <c r="T51" s="1067">
        <v>941361.9864996</v>
      </c>
      <c r="U51" s="1067">
        <v>941361.9864996</v>
      </c>
      <c r="V51" s="1067">
        <v>941361.9864996</v>
      </c>
      <c r="W51" s="1067">
        <v>941361.9864996</v>
      </c>
      <c r="X51" s="1067">
        <v>941361.9864996</v>
      </c>
      <c r="Y51" s="1067">
        <v>941361.9864996</v>
      </c>
      <c r="Z51" s="1067">
        <v>941361.9864996</v>
      </c>
      <c r="AA51" s="1067">
        <v>941361.9864996</v>
      </c>
      <c r="AB51" s="1067">
        <v>941361.9864996</v>
      </c>
      <c r="AC51" s="1067">
        <v>940854.63224960002</v>
      </c>
      <c r="AD51" s="1091">
        <v>11295836.483745201</v>
      </c>
    </row>
    <row r="52" spans="3:30">
      <c r="C52" s="1076" t="s">
        <v>1264</v>
      </c>
      <c r="D52" s="1076" t="s">
        <v>1265</v>
      </c>
      <c r="E52" s="1067">
        <v>816252.22</v>
      </c>
      <c r="F52" s="1067">
        <v>704287.35</v>
      </c>
      <c r="G52" s="1067">
        <v>774033.37</v>
      </c>
      <c r="H52" s="1067">
        <v>749710.41</v>
      </c>
      <c r="I52" s="1067">
        <v>733664.78</v>
      </c>
      <c r="J52" s="1067">
        <v>750529.38</v>
      </c>
      <c r="K52" s="1067"/>
      <c r="L52" s="1067"/>
      <c r="M52" s="1067"/>
      <c r="N52" s="1067"/>
      <c r="O52" s="1067"/>
      <c r="P52" s="1067"/>
      <c r="Q52" s="1068">
        <v>4528477.51</v>
      </c>
      <c r="R52" s="1067"/>
      <c r="S52" s="1067"/>
      <c r="T52" s="1067"/>
      <c r="U52" s="1067"/>
      <c r="V52" s="1067"/>
      <c r="W52" s="1067"/>
      <c r="X52" s="1067"/>
      <c r="Y52" s="1067"/>
      <c r="Z52" s="1067"/>
      <c r="AA52" s="1067"/>
      <c r="AB52" s="1067"/>
      <c r="AC52" s="1067"/>
      <c r="AD52" s="1091"/>
    </row>
    <row r="53" spans="3:30">
      <c r="C53" s="1076" t="s">
        <v>1266</v>
      </c>
      <c r="D53" s="1076" t="s">
        <v>1267</v>
      </c>
      <c r="E53" s="1067">
        <v>448615.23</v>
      </c>
      <c r="F53" s="1067">
        <v>283697.71000000002</v>
      </c>
      <c r="G53" s="1067">
        <v>456069.13</v>
      </c>
      <c r="H53" s="1067">
        <v>547147.97</v>
      </c>
      <c r="I53" s="1067">
        <v>406125.11</v>
      </c>
      <c r="J53" s="1067">
        <v>434261.64</v>
      </c>
      <c r="K53" s="1067">
        <v>428331</v>
      </c>
      <c r="L53" s="1067">
        <v>428331</v>
      </c>
      <c r="M53" s="1067">
        <v>428331</v>
      </c>
      <c r="N53" s="1067">
        <v>428331</v>
      </c>
      <c r="O53" s="1067">
        <v>428331</v>
      </c>
      <c r="P53" s="1067">
        <v>428331</v>
      </c>
      <c r="Q53" s="1068">
        <v>5145902.79</v>
      </c>
      <c r="R53" s="1067">
        <v>441181</v>
      </c>
      <c r="S53" s="1067">
        <v>441181</v>
      </c>
      <c r="T53" s="1067">
        <v>441181</v>
      </c>
      <c r="U53" s="1067">
        <v>441181</v>
      </c>
      <c r="V53" s="1067">
        <v>441181</v>
      </c>
      <c r="W53" s="1067">
        <v>441181</v>
      </c>
      <c r="X53" s="1067">
        <v>441181</v>
      </c>
      <c r="Y53" s="1067">
        <v>441181</v>
      </c>
      <c r="Z53" s="1067">
        <v>441181</v>
      </c>
      <c r="AA53" s="1067">
        <v>441181</v>
      </c>
      <c r="AB53" s="1067">
        <v>441181</v>
      </c>
      <c r="AC53" s="1067">
        <v>441181</v>
      </c>
      <c r="AD53" s="1091">
        <v>5294172</v>
      </c>
    </row>
    <row r="54" spans="3:30">
      <c r="C54" s="1076" t="s">
        <v>1268</v>
      </c>
      <c r="D54" s="1076" t="s">
        <v>1269</v>
      </c>
      <c r="E54" s="1067">
        <v>288196.28000000003</v>
      </c>
      <c r="F54" s="1067">
        <v>561223.03</v>
      </c>
      <c r="G54" s="1067">
        <v>-515816.74</v>
      </c>
      <c r="H54" s="1067">
        <v>120026.98</v>
      </c>
      <c r="I54" s="1067">
        <v>135472.70000000001</v>
      </c>
      <c r="J54" s="1067">
        <v>117820.45</v>
      </c>
      <c r="K54" s="1067">
        <v>319210</v>
      </c>
      <c r="L54" s="1067">
        <v>319210</v>
      </c>
      <c r="M54" s="1067">
        <v>319210</v>
      </c>
      <c r="N54" s="1067">
        <v>319210</v>
      </c>
      <c r="O54" s="1067">
        <v>319210</v>
      </c>
      <c r="P54" s="1067">
        <v>333146.52</v>
      </c>
      <c r="Q54" s="1068">
        <v>2636119.2200000002</v>
      </c>
      <c r="R54" s="1067">
        <v>319210</v>
      </c>
      <c r="S54" s="1067">
        <v>319210</v>
      </c>
      <c r="T54" s="1067">
        <v>319210</v>
      </c>
      <c r="U54" s="1067">
        <v>319210</v>
      </c>
      <c r="V54" s="1067">
        <v>319210</v>
      </c>
      <c r="W54" s="1067">
        <v>319210</v>
      </c>
      <c r="X54" s="1067">
        <v>319210</v>
      </c>
      <c r="Y54" s="1067">
        <v>319210</v>
      </c>
      <c r="Z54" s="1067">
        <v>319210</v>
      </c>
      <c r="AA54" s="1067">
        <v>319210</v>
      </c>
      <c r="AB54" s="1067">
        <v>319210</v>
      </c>
      <c r="AC54" s="1067">
        <v>319210</v>
      </c>
      <c r="AD54" s="1091">
        <v>3830520</v>
      </c>
    </row>
    <row r="55" spans="3:30">
      <c r="C55" s="1076" t="s">
        <v>1270</v>
      </c>
      <c r="D55" s="1076" t="s">
        <v>1271</v>
      </c>
      <c r="E55" s="1067">
        <v>-5443125.2000000002</v>
      </c>
      <c r="F55" s="1067">
        <v>-5091955.83</v>
      </c>
      <c r="G55" s="1067">
        <v>-5443125.2000000002</v>
      </c>
      <c r="H55" s="1067">
        <v>-5267540.51</v>
      </c>
      <c r="I55" s="1067">
        <v>-5443125.2000000002</v>
      </c>
      <c r="J55" s="1067">
        <v>-5267540.51</v>
      </c>
      <c r="K55" s="1067">
        <v>-5713177.7260020003</v>
      </c>
      <c r="L55" s="1067">
        <v>-5713177.7260020003</v>
      </c>
      <c r="M55" s="1067">
        <v>-5568378.0303245001</v>
      </c>
      <c r="N55" s="1067">
        <v>-5713177.7260020003</v>
      </c>
      <c r="O55" s="1067">
        <v>-5568378.0303245001</v>
      </c>
      <c r="P55" s="1067">
        <v>-5713177.7260020003</v>
      </c>
      <c r="Q55" s="1068">
        <v>-65945879.414656997</v>
      </c>
      <c r="R55" s="1067">
        <v>-5888792.0188867003</v>
      </c>
      <c r="S55" s="1067">
        <v>-5405381.3329461003</v>
      </c>
      <c r="T55" s="1067">
        <v>-5888792.0188867003</v>
      </c>
      <c r="U55" s="1067">
        <v>-5727655.1235731998</v>
      </c>
      <c r="V55" s="1067">
        <v>-5888792.0188867003</v>
      </c>
      <c r="W55" s="1067">
        <v>-5727655.1235731998</v>
      </c>
      <c r="X55" s="1067">
        <v>-5888792.0188867003</v>
      </c>
      <c r="Y55" s="1067">
        <v>-5888792.0188867003</v>
      </c>
      <c r="Z55" s="1067">
        <v>-5727655.1235731998</v>
      </c>
      <c r="AA55" s="1067">
        <v>-5888792.0188867003</v>
      </c>
      <c r="AB55" s="1067">
        <v>-5727655.1235731998</v>
      </c>
      <c r="AC55" s="1067">
        <v>-5888792.0188867003</v>
      </c>
      <c r="AD55" s="1091">
        <v>-69537545.959445804</v>
      </c>
    </row>
    <row r="56" spans="3:30">
      <c r="C56" s="1076" t="s">
        <v>1272</v>
      </c>
      <c r="D56" s="1076" t="s">
        <v>1273</v>
      </c>
      <c r="E56" s="1067">
        <v>3824.41</v>
      </c>
      <c r="F56" s="1067">
        <v>3824.41</v>
      </c>
      <c r="G56" s="1067">
        <v>3824.41</v>
      </c>
      <c r="H56" s="1067">
        <v>3622.64</v>
      </c>
      <c r="I56" s="1067">
        <v>3824.41</v>
      </c>
      <c r="J56" s="1067">
        <v>3824.41</v>
      </c>
      <c r="K56" s="1067">
        <v>3824</v>
      </c>
      <c r="L56" s="1067">
        <v>3824</v>
      </c>
      <c r="M56" s="1067">
        <v>3824</v>
      </c>
      <c r="N56" s="1067">
        <v>3824</v>
      </c>
      <c r="O56" s="1067">
        <v>3824</v>
      </c>
      <c r="P56" s="1067">
        <v>3824</v>
      </c>
      <c r="Q56" s="1068">
        <v>45688.69</v>
      </c>
      <c r="R56" s="1067">
        <v>3922</v>
      </c>
      <c r="S56" s="1067">
        <v>3922</v>
      </c>
      <c r="T56" s="1067">
        <v>3922</v>
      </c>
      <c r="U56" s="1067">
        <v>3922</v>
      </c>
      <c r="V56" s="1067">
        <v>3922</v>
      </c>
      <c r="W56" s="1067">
        <v>3922</v>
      </c>
      <c r="X56" s="1067">
        <v>3922</v>
      </c>
      <c r="Y56" s="1067">
        <v>3922</v>
      </c>
      <c r="Z56" s="1067">
        <v>3922</v>
      </c>
      <c r="AA56" s="1067">
        <v>3922</v>
      </c>
      <c r="AB56" s="1067">
        <v>3922</v>
      </c>
      <c r="AC56" s="1067">
        <v>3922</v>
      </c>
      <c r="AD56" s="1091">
        <v>47064</v>
      </c>
    </row>
    <row r="57" spans="3:30">
      <c r="C57" s="1076" t="s">
        <v>1274</v>
      </c>
      <c r="D57" s="1076" t="s">
        <v>1275</v>
      </c>
      <c r="E57" s="1067">
        <v>170.91</v>
      </c>
      <c r="F57" s="1067">
        <v>170.91</v>
      </c>
      <c r="G57" s="1067">
        <v>170.91</v>
      </c>
      <c r="H57" s="1067">
        <v>170.91</v>
      </c>
      <c r="I57" s="1067">
        <v>170.91</v>
      </c>
      <c r="J57" s="1067">
        <v>170.91</v>
      </c>
      <c r="K57" s="1067">
        <v>171</v>
      </c>
      <c r="L57" s="1067">
        <v>171</v>
      </c>
      <c r="M57" s="1067">
        <v>171</v>
      </c>
      <c r="N57" s="1067">
        <v>171</v>
      </c>
      <c r="O57" s="1067">
        <v>171</v>
      </c>
      <c r="P57" s="1067">
        <v>171</v>
      </c>
      <c r="Q57" s="1068">
        <v>2051.46</v>
      </c>
      <c r="R57" s="1067">
        <v>176</v>
      </c>
      <c r="S57" s="1067">
        <v>176</v>
      </c>
      <c r="T57" s="1067">
        <v>176</v>
      </c>
      <c r="U57" s="1067">
        <v>176</v>
      </c>
      <c r="V57" s="1067">
        <v>176</v>
      </c>
      <c r="W57" s="1067">
        <v>176</v>
      </c>
      <c r="X57" s="1067">
        <v>176</v>
      </c>
      <c r="Y57" s="1067">
        <v>176</v>
      </c>
      <c r="Z57" s="1067">
        <v>176</v>
      </c>
      <c r="AA57" s="1067">
        <v>176</v>
      </c>
      <c r="AB57" s="1067">
        <v>176</v>
      </c>
      <c r="AC57" s="1067">
        <v>176</v>
      </c>
      <c r="AD57" s="1091">
        <v>2112</v>
      </c>
    </row>
    <row r="58" spans="3:30">
      <c r="C58" s="1076" t="s">
        <v>1276</v>
      </c>
      <c r="D58" s="1076" t="s">
        <v>1277</v>
      </c>
      <c r="E58" s="1067">
        <v>7382.14</v>
      </c>
      <c r="F58" s="1067">
        <v>7382.14</v>
      </c>
      <c r="G58" s="1067">
        <v>7382.14</v>
      </c>
      <c r="H58" s="1067">
        <v>7382.14</v>
      </c>
      <c r="I58" s="1067">
        <v>7382.14</v>
      </c>
      <c r="J58" s="1067">
        <v>7382.14</v>
      </c>
      <c r="K58" s="1067">
        <v>7382</v>
      </c>
      <c r="L58" s="1067">
        <v>7382</v>
      </c>
      <c r="M58" s="1067">
        <v>7382</v>
      </c>
      <c r="N58" s="1067">
        <v>7382</v>
      </c>
      <c r="O58" s="1067">
        <v>7382</v>
      </c>
      <c r="P58" s="1067">
        <v>7382</v>
      </c>
      <c r="Q58" s="1068">
        <v>88584.84</v>
      </c>
      <c r="R58" s="1067">
        <v>7604</v>
      </c>
      <c r="S58" s="1067">
        <v>7604</v>
      </c>
      <c r="T58" s="1067">
        <v>7604</v>
      </c>
      <c r="U58" s="1067">
        <v>7604</v>
      </c>
      <c r="V58" s="1067">
        <v>7604</v>
      </c>
      <c r="W58" s="1067">
        <v>7604</v>
      </c>
      <c r="X58" s="1067">
        <v>7604</v>
      </c>
      <c r="Y58" s="1067">
        <v>7604</v>
      </c>
      <c r="Z58" s="1067">
        <v>7604</v>
      </c>
      <c r="AA58" s="1067">
        <v>7604</v>
      </c>
      <c r="AB58" s="1067">
        <v>7604</v>
      </c>
      <c r="AC58" s="1067">
        <v>7604</v>
      </c>
      <c r="AD58" s="1091">
        <v>91248</v>
      </c>
    </row>
    <row r="59" spans="3:30">
      <c r="C59" s="1076" t="s">
        <v>1278</v>
      </c>
      <c r="D59" s="1076" t="s">
        <v>1279</v>
      </c>
      <c r="E59" s="1089">
        <v>220.37</v>
      </c>
      <c r="F59" s="1089">
        <v>220.37</v>
      </c>
      <c r="G59" s="1089">
        <v>220.37</v>
      </c>
      <c r="H59" s="1089">
        <v>116.25</v>
      </c>
      <c r="I59" s="1089">
        <v>220.37</v>
      </c>
      <c r="J59" s="1089">
        <v>220.37</v>
      </c>
      <c r="K59" s="1089">
        <v>220</v>
      </c>
      <c r="L59" s="1089">
        <v>220</v>
      </c>
      <c r="M59" s="1089">
        <v>220</v>
      </c>
      <c r="N59" s="1089">
        <v>220</v>
      </c>
      <c r="O59" s="1089">
        <v>220</v>
      </c>
      <c r="P59" s="1089">
        <v>220</v>
      </c>
      <c r="Q59" s="1071">
        <v>2538.1</v>
      </c>
      <c r="R59" s="1089">
        <v>218</v>
      </c>
      <c r="S59" s="1089">
        <v>218</v>
      </c>
      <c r="T59" s="1089">
        <v>218</v>
      </c>
      <c r="U59" s="1089">
        <v>218</v>
      </c>
      <c r="V59" s="1089">
        <v>218</v>
      </c>
      <c r="W59" s="1089">
        <v>218</v>
      </c>
      <c r="X59" s="1089">
        <v>218</v>
      </c>
      <c r="Y59" s="1089">
        <v>218</v>
      </c>
      <c r="Z59" s="1089">
        <v>218</v>
      </c>
      <c r="AA59" s="1089">
        <v>218</v>
      </c>
      <c r="AB59" s="1089">
        <v>218</v>
      </c>
      <c r="AC59" s="1089">
        <v>218</v>
      </c>
      <c r="AD59" s="1073">
        <v>2616</v>
      </c>
    </row>
  </sheetData>
  <pageMargins left="0.7" right="0.7" top="0.75" bottom="0.75" header="0.3" footer="0.3"/>
  <customProperties>
    <customPr name="_pios_id" r:id="rId1"/>
    <customPr name="CofWorksheetType"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FB5BBB-7455-46AF-A564-6BA3695EA5FC}">
  <sheetPr>
    <tabColor theme="9" tint="0.79998168889431442"/>
  </sheetPr>
  <dimension ref="A1:IQ533"/>
  <sheetViews>
    <sheetView zoomScale="80" zoomScaleNormal="80" zoomScaleSheetLayoutView="100" workbookViewId="0">
      <selection activeCell="H29" sqref="H29"/>
    </sheetView>
  </sheetViews>
  <sheetFormatPr defaultColWidth="8.81640625" defaultRowHeight="15"/>
  <cols>
    <col min="1" max="1" width="6" style="5" customWidth="1"/>
    <col min="2" max="2" width="1.453125" style="5" customWidth="1"/>
    <col min="3" max="3" width="48.1796875" style="5" customWidth="1"/>
    <col min="4" max="4" width="38.81640625" style="5" customWidth="1"/>
    <col min="5" max="5" width="18.1796875" style="5" customWidth="1"/>
    <col min="6" max="6" width="15.54296875" style="5" customWidth="1"/>
    <col min="7" max="7" width="8.08984375" style="5" customWidth="1"/>
    <col min="8" max="8" width="15.1796875" style="5" bestFit="1" customWidth="1"/>
    <col min="9" max="9" width="7.6328125" style="5" bestFit="1" customWidth="1"/>
    <col min="10" max="10" width="15.81640625" style="5" customWidth="1"/>
    <col min="11" max="11" width="8.81640625" style="5" customWidth="1"/>
    <col min="12" max="12" width="10.1796875" style="5" customWidth="1"/>
    <col min="13" max="13" width="14.453125" style="5" customWidth="1"/>
    <col min="14" max="14" width="10.1796875" style="5" customWidth="1"/>
    <col min="15" max="16384" width="8.81640625" style="5"/>
  </cols>
  <sheetData>
    <row r="1" spans="1:13">
      <c r="C1" s="2"/>
      <c r="D1" s="2"/>
      <c r="E1" s="3"/>
      <c r="F1" s="2"/>
      <c r="G1" s="2"/>
      <c r="H1" s="2"/>
      <c r="I1" s="2"/>
      <c r="J1" s="4"/>
      <c r="K1" s="4"/>
      <c r="L1" s="4"/>
      <c r="M1" s="4"/>
    </row>
    <row r="2" spans="1:13">
      <c r="C2" s="2"/>
      <c r="D2" s="2"/>
      <c r="E2" s="3"/>
      <c r="F2" s="2"/>
      <c r="G2" s="2"/>
      <c r="H2" s="2"/>
      <c r="I2" s="2"/>
      <c r="K2" s="4"/>
      <c r="L2" s="4"/>
      <c r="M2" s="4" t="s">
        <v>3</v>
      </c>
    </row>
    <row r="3" spans="1:13">
      <c r="C3" s="2"/>
      <c r="D3" s="2"/>
      <c r="E3" s="3"/>
      <c r="F3" s="2"/>
      <c r="G3" s="2"/>
      <c r="H3" s="2"/>
      <c r="I3" s="2"/>
      <c r="J3" s="4"/>
      <c r="K3" s="6"/>
      <c r="L3" s="7"/>
      <c r="M3" s="7" t="s">
        <v>21</v>
      </c>
    </row>
    <row r="4" spans="1:13">
      <c r="C4" s="2"/>
      <c r="D4" s="2"/>
      <c r="E4" s="3"/>
      <c r="F4" s="2"/>
      <c r="G4" s="2"/>
      <c r="H4" s="2"/>
      <c r="I4" s="2"/>
      <c r="J4" s="4"/>
      <c r="K4" s="7"/>
      <c r="L4" s="1161"/>
      <c r="M4" s="1161"/>
    </row>
    <row r="5" spans="1:13">
      <c r="C5" s="2"/>
      <c r="D5" s="2"/>
      <c r="E5" s="3"/>
      <c r="F5" s="2"/>
      <c r="G5" s="2"/>
      <c r="H5" s="2"/>
      <c r="I5" s="2"/>
      <c r="J5" s="2"/>
      <c r="K5" s="15"/>
      <c r="L5" s="15"/>
    </row>
    <row r="6" spans="1:13">
      <c r="C6" s="2" t="s">
        <v>22</v>
      </c>
      <c r="D6" s="1"/>
      <c r="E6" s="1" t="s">
        <v>23</v>
      </c>
      <c r="F6" s="2"/>
      <c r="G6" s="2"/>
      <c r="H6" s="2"/>
      <c r="I6" s="2"/>
    </row>
    <row r="7" spans="1:13">
      <c r="C7" s="2"/>
      <c r="D7" s="9" t="s">
        <v>24</v>
      </c>
      <c r="E7" s="9" t="s">
        <v>25</v>
      </c>
      <c r="F7" s="9"/>
      <c r="G7" s="9"/>
      <c r="H7" s="9"/>
      <c r="I7" s="2"/>
      <c r="J7" s="11"/>
      <c r="K7" s="12"/>
      <c r="L7" s="13"/>
      <c r="M7" s="14" t="s">
        <v>26</v>
      </c>
    </row>
    <row r="8" spans="1:13">
      <c r="C8" s="15"/>
      <c r="D8" s="15"/>
      <c r="E8" s="15"/>
      <c r="F8" s="15"/>
      <c r="G8" s="15"/>
      <c r="H8" s="15"/>
      <c r="I8" s="15"/>
      <c r="J8" s="15"/>
      <c r="K8" s="16"/>
      <c r="L8" s="17"/>
      <c r="M8" s="18" t="s">
        <v>1003</v>
      </c>
    </row>
    <row r="9" spans="1:13" ht="15.6">
      <c r="A9" s="20"/>
      <c r="C9" s="15"/>
      <c r="D9" s="15"/>
      <c r="E9" s="21" t="str">
        <f>+Index!C7</f>
        <v>NextEra Energy Transmission New York, Inc.</v>
      </c>
      <c r="F9" s="15"/>
      <c r="G9" s="15"/>
      <c r="H9" s="15"/>
      <c r="I9" s="15"/>
      <c r="J9" s="15"/>
      <c r="L9" s="15"/>
      <c r="M9" s="7"/>
    </row>
    <row r="10" spans="1:13">
      <c r="A10" s="20"/>
      <c r="C10" s="15"/>
      <c r="D10" s="15"/>
      <c r="E10" s="22"/>
      <c r="F10" s="15"/>
      <c r="G10" s="15"/>
      <c r="H10" s="15"/>
      <c r="I10" s="15"/>
      <c r="J10" s="15"/>
      <c r="K10" s="15"/>
      <c r="L10" s="15"/>
    </row>
    <row r="11" spans="1:13">
      <c r="A11" s="20"/>
      <c r="C11" s="15"/>
      <c r="D11" s="15"/>
      <c r="E11" s="23" t="s">
        <v>27</v>
      </c>
      <c r="F11" s="15"/>
      <c r="G11" s="15"/>
      <c r="H11" s="23" t="s">
        <v>28</v>
      </c>
      <c r="I11" s="15"/>
      <c r="J11" s="23" t="s">
        <v>29</v>
      </c>
      <c r="K11" s="15"/>
      <c r="L11" s="23"/>
      <c r="M11" s="23"/>
    </row>
    <row r="12" spans="1:13">
      <c r="A12" s="20"/>
      <c r="C12" s="15"/>
      <c r="D12" s="15"/>
      <c r="M12" s="24"/>
    </row>
    <row r="13" spans="1:13">
      <c r="A13" s="20" t="s">
        <v>30</v>
      </c>
      <c r="C13" s="15"/>
      <c r="D13" s="15"/>
      <c r="E13" s="22"/>
      <c r="F13" s="15"/>
      <c r="G13" s="15"/>
      <c r="H13" s="15"/>
      <c r="I13" s="15"/>
      <c r="J13" s="24" t="s">
        <v>31</v>
      </c>
      <c r="K13" s="15"/>
      <c r="L13" s="15"/>
      <c r="M13" s="24"/>
    </row>
    <row r="14" spans="1:13" ht="15.6" thickBot="1">
      <c r="A14" s="25" t="s">
        <v>32</v>
      </c>
      <c r="C14" s="15"/>
      <c r="D14" s="15"/>
      <c r="E14" s="15"/>
      <c r="F14" s="15"/>
      <c r="G14" s="15"/>
      <c r="H14" s="15"/>
      <c r="I14" s="15"/>
      <c r="J14" s="26" t="s">
        <v>33</v>
      </c>
      <c r="K14" s="15"/>
      <c r="L14" s="24"/>
      <c r="M14" s="24"/>
    </row>
    <row r="15" spans="1:13">
      <c r="A15" s="20">
        <v>1</v>
      </c>
      <c r="C15" s="15" t="s">
        <v>34</v>
      </c>
      <c r="D15" s="15" t="str">
        <f>"(page 3, line "&amp;A191&amp;")"</f>
        <v>(page 3, line 75)</v>
      </c>
      <c r="E15" s="9"/>
      <c r="F15" s="15"/>
      <c r="G15" s="15"/>
      <c r="H15" s="15" t="s">
        <v>35</v>
      </c>
      <c r="I15" s="15"/>
      <c r="J15" s="27">
        <f>+J191</f>
        <v>53310101.12268465</v>
      </c>
      <c r="K15" s="15"/>
      <c r="L15" s="15"/>
      <c r="M15" s="27"/>
    </row>
    <row r="16" spans="1:13">
      <c r="A16" s="20"/>
      <c r="C16" s="15"/>
      <c r="D16" s="15"/>
      <c r="E16" s="15"/>
      <c r="F16" s="15"/>
      <c r="G16" s="15"/>
      <c r="H16" s="15"/>
      <c r="I16" s="15"/>
      <c r="J16" s="28"/>
      <c r="K16" s="15"/>
      <c r="L16" s="15"/>
    </row>
    <row r="17" spans="1:13">
      <c r="A17" s="20"/>
      <c r="C17" s="15"/>
      <c r="D17" s="15"/>
      <c r="E17" s="15"/>
      <c r="F17" s="15"/>
      <c r="G17" s="15"/>
      <c r="H17" s="15"/>
      <c r="I17" s="15"/>
      <c r="J17" s="29"/>
      <c r="K17" s="15"/>
      <c r="L17" s="15"/>
    </row>
    <row r="18" spans="1:13" ht="15.6" thickBot="1">
      <c r="A18" s="20" t="s">
        <v>24</v>
      </c>
      <c r="C18" s="15" t="s">
        <v>36</v>
      </c>
      <c r="D18" s="9"/>
      <c r="E18" s="26" t="s">
        <v>37</v>
      </c>
      <c r="F18" s="9"/>
      <c r="G18" s="30" t="s">
        <v>38</v>
      </c>
      <c r="H18" s="30"/>
      <c r="I18" s="15"/>
      <c r="J18" s="29"/>
      <c r="K18" s="15"/>
      <c r="L18" s="15"/>
    </row>
    <row r="19" spans="1:13">
      <c r="A19" s="20">
        <f>+A15+1</f>
        <v>2</v>
      </c>
      <c r="C19" s="15" t="str">
        <f>+'1 - Revenue Credits'!B14</f>
        <v>Total Revenue Credits</v>
      </c>
      <c r="D19" s="9" t="str">
        <f>"Attachment 1, line "&amp;'1 - Revenue Credits'!A14&amp;""</f>
        <v>Attachment 1, line 6</v>
      </c>
      <c r="E19" s="31">
        <f>+'1 - Revenue Credits'!D14</f>
        <v>0</v>
      </c>
      <c r="F19" s="9"/>
      <c r="G19" s="9" t="str">
        <f>+G80</f>
        <v>TP</v>
      </c>
      <c r="H19" s="32">
        <f>+H80</f>
        <v>1</v>
      </c>
      <c r="I19" s="9"/>
      <c r="J19" s="33">
        <f>+H19*E19</f>
        <v>0</v>
      </c>
      <c r="K19" s="15"/>
      <c r="L19" s="34"/>
      <c r="M19" s="35"/>
    </row>
    <row r="20" spans="1:13">
      <c r="A20" s="20"/>
      <c r="C20" s="15"/>
      <c r="D20" s="9"/>
      <c r="E20" s="31"/>
      <c r="F20" s="9"/>
      <c r="G20" s="9"/>
      <c r="H20" s="32"/>
      <c r="I20" s="9"/>
      <c r="J20" s="33"/>
      <c r="K20" s="15"/>
      <c r="L20" s="34"/>
      <c r="M20" s="35"/>
    </row>
    <row r="21" spans="1:13">
      <c r="A21" s="20">
        <v>3</v>
      </c>
      <c r="C21" s="15" t="s">
        <v>39</v>
      </c>
      <c r="D21" s="15" t="str">
        <f>"(line "&amp;A15&amp;" minus line "&amp;A19&amp;")"</f>
        <v>(line 1 minus line 2)</v>
      </c>
      <c r="E21" s="31"/>
      <c r="F21" s="9"/>
      <c r="G21" s="9"/>
      <c r="H21" s="32"/>
      <c r="I21" s="9"/>
      <c r="J21" s="33">
        <f>+J15-J19</f>
        <v>53310101.12268465</v>
      </c>
      <c r="K21" s="15"/>
      <c r="L21" s="34"/>
      <c r="M21" s="35"/>
    </row>
    <row r="22" spans="1:13">
      <c r="A22" s="20"/>
      <c r="C22" s="15"/>
      <c r="D22" s="9"/>
      <c r="E22" s="31"/>
      <c r="F22" s="9"/>
      <c r="G22" s="9"/>
      <c r="H22" s="32"/>
      <c r="I22" s="9"/>
      <c r="J22" s="33"/>
      <c r="K22" s="15"/>
      <c r="L22" s="34"/>
      <c r="M22" s="35"/>
    </row>
    <row r="23" spans="1:13">
      <c r="A23" s="20">
        <v>4</v>
      </c>
      <c r="C23" s="15" t="s">
        <v>40</v>
      </c>
      <c r="D23" s="37" t="s">
        <v>41</v>
      </c>
      <c r="E23" s="38">
        <f>+'5 - True-Up'!H21</f>
        <v>10986562.942519557</v>
      </c>
      <c r="F23" s="15"/>
      <c r="G23" s="15" t="s">
        <v>42</v>
      </c>
      <c r="H23" s="39">
        <v>1</v>
      </c>
      <c r="I23" s="15"/>
      <c r="J23" s="40">
        <f>+H23*E23</f>
        <v>10986562.942519557</v>
      </c>
      <c r="K23" s="15"/>
    </row>
    <row r="24" spans="1:13">
      <c r="A24" s="20"/>
      <c r="C24" s="15"/>
      <c r="D24" s="15"/>
      <c r="E24" s="15"/>
      <c r="F24" s="15"/>
      <c r="G24" s="15"/>
      <c r="H24" s="15"/>
      <c r="I24" s="15"/>
      <c r="J24" s="9"/>
      <c r="K24" s="15"/>
      <c r="L24" s="15"/>
    </row>
    <row r="25" spans="1:13" ht="15.6" thickBot="1">
      <c r="A25" s="20">
        <v>5</v>
      </c>
      <c r="C25" s="15" t="s">
        <v>43</v>
      </c>
      <c r="D25" s="15" t="str">
        <f>"(line "&amp;A21&amp;" plus line "&amp;A23&amp;")"</f>
        <v>(line 3 plus line 4)</v>
      </c>
      <c r="F25" s="9"/>
      <c r="G25" s="9"/>
      <c r="H25" s="9"/>
      <c r="I25" s="9"/>
      <c r="J25" s="41">
        <f>+J21+J23</f>
        <v>64296664.065204203</v>
      </c>
      <c r="K25" s="15"/>
      <c r="M25" s="42"/>
    </row>
    <row r="26" spans="1:13" ht="15.6" thickTop="1">
      <c r="A26" s="20"/>
      <c r="D26" s="15"/>
      <c r="E26" s="43"/>
      <c r="F26" s="9"/>
      <c r="G26" s="9"/>
      <c r="H26" s="9"/>
      <c r="I26" s="9"/>
      <c r="K26" s="15"/>
      <c r="L26" s="15"/>
    </row>
    <row r="27" spans="1:13">
      <c r="A27" s="20"/>
      <c r="D27" s="9"/>
      <c r="E27" s="15"/>
      <c r="F27" s="15"/>
      <c r="G27" s="15"/>
      <c r="H27" s="15"/>
      <c r="I27" s="15"/>
      <c r="J27" s="9"/>
      <c r="K27" s="15"/>
      <c r="L27" s="15"/>
    </row>
    <row r="28" spans="1:13">
      <c r="A28" s="20"/>
      <c r="C28" s="15"/>
      <c r="D28" s="15"/>
      <c r="E28" s="9"/>
      <c r="F28" s="15"/>
      <c r="G28" s="15"/>
      <c r="H28" s="15"/>
      <c r="I28" s="15"/>
      <c r="J28" s="9"/>
      <c r="K28" s="15"/>
      <c r="L28" s="15"/>
    </row>
    <row r="29" spans="1:13">
      <c r="A29" s="20"/>
      <c r="C29" s="15"/>
      <c r="D29" s="15"/>
      <c r="E29" s="9"/>
      <c r="F29" s="15"/>
      <c r="G29" s="15"/>
      <c r="H29" s="15"/>
      <c r="I29" s="15"/>
      <c r="J29" s="9"/>
      <c r="K29" s="15"/>
      <c r="L29" s="15"/>
    </row>
    <row r="30" spans="1:13">
      <c r="A30" s="20"/>
      <c r="C30" s="44"/>
      <c r="D30" s="44"/>
      <c r="E30" s="44"/>
      <c r="F30" s="10"/>
      <c r="G30" s="10"/>
      <c r="H30" s="45"/>
      <c r="I30" s="10"/>
      <c r="K30" s="15"/>
      <c r="L30" s="15"/>
      <c r="M30" s="46"/>
    </row>
    <row r="31" spans="1:13">
      <c r="A31" s="20"/>
      <c r="C31" s="15"/>
      <c r="D31" s="47"/>
      <c r="E31" s="10"/>
      <c r="F31" s="10"/>
      <c r="G31" s="10"/>
      <c r="H31" s="47"/>
      <c r="I31" s="10"/>
      <c r="K31" s="15"/>
      <c r="L31" s="15"/>
      <c r="M31" s="46"/>
    </row>
    <row r="32" spans="1:13">
      <c r="A32" s="20"/>
      <c r="C32" s="9"/>
      <c r="D32" s="15"/>
      <c r="E32" s="48"/>
      <c r="F32" s="44"/>
      <c r="G32" s="49"/>
      <c r="H32" s="9"/>
      <c r="I32" s="15"/>
      <c r="K32" s="15"/>
      <c r="L32" s="15"/>
      <c r="M32" s="46"/>
    </row>
    <row r="33" spans="1:13">
      <c r="A33" s="20"/>
      <c r="C33" s="9"/>
      <c r="D33" s="15"/>
      <c r="E33" s="50"/>
      <c r="F33" s="15"/>
      <c r="H33" s="9"/>
      <c r="I33" s="15"/>
      <c r="K33" s="15"/>
      <c r="L33" s="15"/>
      <c r="M33" s="46"/>
    </row>
    <row r="34" spans="1:13">
      <c r="A34" s="20"/>
      <c r="B34" s="50"/>
      <c r="C34" s="50"/>
      <c r="D34" s="51"/>
      <c r="E34" s="52"/>
      <c r="F34" s="15"/>
      <c r="H34" s="53"/>
      <c r="I34" s="15"/>
      <c r="K34" s="53"/>
      <c r="L34" s="15"/>
      <c r="M34" s="46"/>
    </row>
    <row r="35" spans="1:13">
      <c r="A35" s="20"/>
      <c r="C35" s="9"/>
      <c r="D35" s="51"/>
      <c r="E35" s="52"/>
      <c r="F35" s="15"/>
      <c r="G35" s="15"/>
      <c r="H35" s="53"/>
      <c r="I35" s="15"/>
      <c r="K35" s="9"/>
      <c r="L35" s="54"/>
      <c r="M35" s="35"/>
    </row>
    <row r="36" spans="1:13">
      <c r="A36" s="20"/>
      <c r="C36" s="9"/>
      <c r="D36" s="51"/>
      <c r="E36" s="52"/>
      <c r="F36" s="15"/>
      <c r="G36" s="15"/>
      <c r="H36" s="53"/>
      <c r="I36" s="15"/>
      <c r="K36" s="15"/>
      <c r="L36" s="54"/>
      <c r="M36" s="35"/>
    </row>
    <row r="37" spans="1:13">
      <c r="A37" s="20"/>
      <c r="C37" s="15"/>
      <c r="D37" s="51"/>
      <c r="E37" s="55"/>
      <c r="F37" s="15"/>
      <c r="G37" s="15"/>
      <c r="H37" s="53"/>
      <c r="I37" s="15"/>
      <c r="K37" s="15"/>
      <c r="L37" s="15"/>
      <c r="M37" s="46"/>
    </row>
    <row r="38" spans="1:13">
      <c r="A38" s="20"/>
      <c r="C38" s="9"/>
      <c r="D38" s="27"/>
      <c r="E38" s="27"/>
      <c r="F38" s="15"/>
      <c r="G38" s="15"/>
      <c r="H38" s="56"/>
      <c r="I38" s="15"/>
      <c r="J38" s="9"/>
      <c r="K38" s="15"/>
      <c r="L38" s="9"/>
      <c r="M38" s="9"/>
    </row>
    <row r="39" spans="1:13">
      <c r="A39" s="20"/>
      <c r="C39" s="2"/>
      <c r="D39" s="27"/>
      <c r="E39" s="27"/>
      <c r="F39" s="15"/>
      <c r="G39" s="15"/>
      <c r="H39" s="27"/>
      <c r="I39" s="15"/>
      <c r="J39" s="9"/>
      <c r="K39" s="15"/>
      <c r="L39" s="9"/>
      <c r="M39" s="9"/>
    </row>
    <row r="40" spans="1:13">
      <c r="A40" s="20"/>
      <c r="C40" s="15"/>
      <c r="D40" s="15"/>
      <c r="E40" s="15"/>
      <c r="F40" s="15"/>
      <c r="G40" s="15"/>
      <c r="H40" s="15"/>
      <c r="I40" s="15"/>
      <c r="J40" s="9"/>
      <c r="K40" s="15"/>
      <c r="L40" s="15"/>
    </row>
    <row r="41" spans="1:13">
      <c r="A41" s="20"/>
      <c r="C41" s="15"/>
      <c r="D41" s="27"/>
      <c r="E41" s="57"/>
      <c r="F41" s="15"/>
      <c r="G41" s="15"/>
      <c r="H41" s="57"/>
      <c r="I41" s="15"/>
      <c r="J41" s="58"/>
      <c r="K41" s="15"/>
      <c r="L41" s="15"/>
      <c r="M41" s="58"/>
    </row>
    <row r="42" spans="1:13">
      <c r="A42" s="20"/>
      <c r="C42" s="15"/>
      <c r="D42" s="15"/>
      <c r="F42" s="15"/>
      <c r="G42" s="15"/>
      <c r="H42" s="15"/>
      <c r="I42" s="15"/>
      <c r="J42" s="58"/>
      <c r="K42" s="15"/>
      <c r="L42" s="15"/>
      <c r="M42" s="58"/>
    </row>
    <row r="43" spans="1:13">
      <c r="A43" s="20"/>
      <c r="C43" s="15"/>
      <c r="D43" s="15"/>
      <c r="E43" s="58"/>
      <c r="F43" s="15"/>
      <c r="G43" s="15"/>
      <c r="H43" s="15"/>
      <c r="I43" s="15"/>
      <c r="J43" s="15"/>
      <c r="K43" s="15"/>
      <c r="L43" s="15"/>
    </row>
    <row r="44" spans="1:13">
      <c r="A44" s="20"/>
      <c r="C44" s="15"/>
      <c r="D44" s="15"/>
      <c r="E44" s="59"/>
      <c r="F44" s="15"/>
      <c r="G44" s="15"/>
      <c r="H44" s="15"/>
      <c r="I44" s="15"/>
      <c r="J44" s="44"/>
      <c r="K44" s="15"/>
      <c r="L44" s="15"/>
    </row>
    <row r="45" spans="1:13">
      <c r="A45" s="20"/>
      <c r="C45" s="15"/>
      <c r="D45" s="15"/>
      <c r="E45" s="58"/>
      <c r="F45" s="15"/>
      <c r="G45" s="15"/>
      <c r="H45" s="15"/>
      <c r="I45" s="15"/>
      <c r="J45" s="15"/>
      <c r="K45" s="15"/>
      <c r="L45" s="15"/>
    </row>
    <row r="46" spans="1:13">
      <c r="A46" s="20"/>
      <c r="C46" s="15"/>
      <c r="E46" s="37"/>
      <c r="F46" s="37"/>
      <c r="J46" s="60"/>
      <c r="K46" s="15"/>
      <c r="L46" s="15"/>
    </row>
    <row r="47" spans="1:13">
      <c r="A47" s="20"/>
      <c r="C47" s="9"/>
      <c r="E47" s="37"/>
      <c r="F47" s="37"/>
      <c r="J47" s="60"/>
      <c r="K47" s="15"/>
      <c r="L47" s="15"/>
    </row>
    <row r="48" spans="1:13">
      <c r="A48" s="20"/>
      <c r="C48" s="15"/>
      <c r="D48" s="37"/>
      <c r="E48" s="61"/>
      <c r="G48" s="58"/>
      <c r="H48" s="58"/>
      <c r="I48" s="15"/>
      <c r="J48" s="60"/>
      <c r="K48" s="15"/>
      <c r="L48" s="15"/>
    </row>
    <row r="49" spans="1:13">
      <c r="A49" s="20"/>
      <c r="C49" s="9"/>
      <c r="D49" s="15"/>
      <c r="E49" s="61"/>
      <c r="F49" s="15"/>
      <c r="G49" s="15"/>
      <c r="H49" s="15"/>
      <c r="I49" s="15"/>
      <c r="J49" s="15"/>
      <c r="K49" s="15"/>
      <c r="L49" s="15"/>
    </row>
    <row r="50" spans="1:13">
      <c r="A50" s="20"/>
      <c r="C50" s="9"/>
      <c r="D50" s="15"/>
      <c r="E50" s="62"/>
      <c r="F50" s="15"/>
      <c r="G50" s="15"/>
      <c r="H50" s="15"/>
      <c r="I50" s="15"/>
      <c r="J50" s="15"/>
      <c r="K50" s="15"/>
      <c r="L50" s="15"/>
    </row>
    <row r="51" spans="1:13">
      <c r="A51" s="20"/>
      <c r="C51" s="9"/>
      <c r="D51" s="15"/>
      <c r="E51" s="63"/>
      <c r="F51" s="64"/>
      <c r="G51" s="64"/>
      <c r="H51" s="64"/>
      <c r="I51" s="64"/>
      <c r="J51" s="64"/>
      <c r="K51" s="64"/>
      <c r="L51" s="15"/>
    </row>
    <row r="52" spans="1:13">
      <c r="A52" s="20"/>
      <c r="C52" s="9"/>
      <c r="D52" s="15"/>
      <c r="E52" s="65"/>
      <c r="F52" s="64"/>
      <c r="G52" s="64"/>
      <c r="H52" s="64"/>
      <c r="I52" s="64"/>
      <c r="J52" s="64"/>
      <c r="K52" s="64"/>
      <c r="L52" s="15"/>
    </row>
    <row r="53" spans="1:13">
      <c r="C53" s="46"/>
      <c r="E53" s="66"/>
      <c r="F53" s="67"/>
      <c r="I53" s="67"/>
      <c r="K53" s="2"/>
      <c r="L53" s="15"/>
    </row>
    <row r="54" spans="1:13">
      <c r="C54" s="9"/>
      <c r="D54" s="15"/>
      <c r="E54" s="65"/>
      <c r="F54" s="64"/>
      <c r="G54" s="64"/>
      <c r="H54" s="64"/>
      <c r="I54" s="64"/>
      <c r="K54" s="2"/>
      <c r="L54" s="15"/>
    </row>
    <row r="55" spans="1:13">
      <c r="C55" s="46"/>
      <c r="E55" s="66"/>
      <c r="F55" s="67"/>
      <c r="I55" s="67"/>
      <c r="K55" s="2"/>
      <c r="L55" s="15"/>
    </row>
    <row r="56" spans="1:13">
      <c r="C56" s="37"/>
      <c r="F56" s="67"/>
      <c r="K56" s="2"/>
      <c r="L56" s="15"/>
    </row>
    <row r="57" spans="1:13">
      <c r="C57" s="9"/>
      <c r="D57" s="15"/>
      <c r="E57" s="65"/>
      <c r="F57" s="64"/>
      <c r="G57" s="64"/>
      <c r="H57" s="64"/>
      <c r="I57" s="64"/>
      <c r="K57" s="2"/>
      <c r="L57" s="15"/>
    </row>
    <row r="58" spans="1:13">
      <c r="C58" s="46"/>
      <c r="E58" s="66"/>
      <c r="F58" s="67"/>
      <c r="I58" s="67"/>
      <c r="K58" s="2"/>
      <c r="L58" s="15"/>
    </row>
    <row r="59" spans="1:13">
      <c r="C59" s="15"/>
      <c r="D59" s="50"/>
      <c r="K59" s="2"/>
      <c r="L59" s="15"/>
    </row>
    <row r="60" spans="1:13">
      <c r="C60" s="68"/>
      <c r="K60" s="2"/>
      <c r="L60" s="15"/>
    </row>
    <row r="61" spans="1:13">
      <c r="C61" s="69"/>
      <c r="K61" s="2"/>
      <c r="L61" s="15"/>
    </row>
    <row r="62" spans="1:13">
      <c r="K62" s="2"/>
      <c r="L62" s="15"/>
    </row>
    <row r="63" spans="1:13">
      <c r="C63" s="15"/>
      <c r="D63" s="15"/>
      <c r="E63" s="15"/>
      <c r="F63" s="15"/>
      <c r="G63" s="15"/>
      <c r="H63" s="15"/>
      <c r="I63" s="15"/>
      <c r="J63" s="70"/>
      <c r="K63" s="15"/>
      <c r="L63" s="15"/>
    </row>
    <row r="64" spans="1:13">
      <c r="C64" s="2"/>
      <c r="D64" s="2"/>
      <c r="E64" s="3"/>
      <c r="F64" s="2"/>
      <c r="G64" s="2"/>
      <c r="H64" s="2"/>
      <c r="I64" s="2"/>
      <c r="J64" s="2"/>
      <c r="K64" s="24"/>
      <c r="L64" s="24"/>
      <c r="M64" s="4"/>
    </row>
    <row r="65" spans="1:13">
      <c r="C65" s="2"/>
      <c r="D65" s="2"/>
      <c r="E65" s="3"/>
      <c r="F65" s="2"/>
      <c r="G65" s="2"/>
      <c r="H65" s="2"/>
      <c r="I65" s="2"/>
      <c r="J65" s="4"/>
      <c r="K65" s="4"/>
      <c r="L65" s="4"/>
      <c r="M65" s="4" t="s">
        <v>3</v>
      </c>
    </row>
    <row r="66" spans="1:13">
      <c r="C66" s="2"/>
      <c r="D66" s="2"/>
      <c r="E66" s="3"/>
      <c r="F66" s="2"/>
      <c r="G66" s="2"/>
      <c r="H66" s="2"/>
      <c r="I66" s="2"/>
      <c r="J66" s="7"/>
      <c r="K66" s="7"/>
      <c r="L66" s="7"/>
      <c r="M66" s="7" t="s">
        <v>44</v>
      </c>
    </row>
    <row r="67" spans="1:13">
      <c r="C67" s="2"/>
      <c r="D67" s="2"/>
      <c r="E67" s="3"/>
      <c r="F67" s="2"/>
      <c r="G67" s="2"/>
      <c r="H67" s="2"/>
      <c r="I67" s="2"/>
      <c r="J67" s="2"/>
      <c r="K67" s="15"/>
      <c r="L67" s="7"/>
      <c r="M67" s="7"/>
    </row>
    <row r="68" spans="1:13">
      <c r="C68" s="2"/>
      <c r="D68" s="2"/>
      <c r="E68" s="3"/>
      <c r="F68" s="2"/>
      <c r="G68" s="2"/>
      <c r="H68" s="2"/>
      <c r="I68" s="2"/>
      <c r="J68" s="2"/>
      <c r="K68" s="15"/>
      <c r="L68" s="7"/>
    </row>
    <row r="69" spans="1:13">
      <c r="C69" s="2" t="s">
        <v>22</v>
      </c>
      <c r="D69" s="1"/>
      <c r="E69" s="1" t="s">
        <v>23</v>
      </c>
      <c r="F69" s="2"/>
      <c r="G69" s="2"/>
      <c r="H69" s="2"/>
      <c r="I69" s="2"/>
      <c r="K69" s="15"/>
      <c r="L69" s="15"/>
    </row>
    <row r="70" spans="1:13">
      <c r="C70" s="2"/>
      <c r="D70" s="9" t="s">
        <v>24</v>
      </c>
      <c r="E70" s="9" t="s">
        <v>25</v>
      </c>
      <c r="F70" s="9"/>
      <c r="G70" s="9"/>
      <c r="H70" s="9"/>
      <c r="I70" s="2"/>
      <c r="J70" s="2"/>
      <c r="K70" s="15"/>
      <c r="L70" s="15"/>
    </row>
    <row r="71" spans="1:13">
      <c r="C71" s="2"/>
      <c r="D71" s="9"/>
      <c r="E71" s="9"/>
      <c r="F71" s="9"/>
      <c r="G71" s="9"/>
      <c r="H71" s="9"/>
      <c r="I71" s="2"/>
      <c r="J71" s="2"/>
      <c r="K71" s="71"/>
      <c r="L71" s="17"/>
      <c r="M71" s="18" t="str">
        <f>+M8</f>
        <v>For the 12 months ended 12/31/2025</v>
      </c>
    </row>
    <row r="72" spans="1:13" ht="15.6">
      <c r="C72" s="15"/>
      <c r="D72" s="15"/>
      <c r="E72" s="72" t="str">
        <f>+E9</f>
        <v>NextEra Energy Transmission New York, Inc.</v>
      </c>
      <c r="F72" s="9"/>
      <c r="G72" s="9"/>
      <c r="H72" s="9"/>
      <c r="I72" s="9"/>
      <c r="J72" s="9"/>
      <c r="K72" s="9"/>
      <c r="L72" s="9"/>
      <c r="M72" s="73"/>
    </row>
    <row r="73" spans="1:13">
      <c r="C73" s="44" t="s">
        <v>27</v>
      </c>
      <c r="D73" s="44" t="s">
        <v>28</v>
      </c>
      <c r="E73" s="44" t="s">
        <v>29</v>
      </c>
      <c r="F73" s="9" t="s">
        <v>24</v>
      </c>
      <c r="G73" s="9"/>
      <c r="H73" s="74" t="s">
        <v>45</v>
      </c>
      <c r="I73" s="9"/>
      <c r="J73" s="45" t="s">
        <v>46</v>
      </c>
      <c r="K73" s="9"/>
      <c r="L73" s="23"/>
      <c r="M73" s="23"/>
    </row>
    <row r="74" spans="1:13" ht="15.6">
      <c r="C74" s="15"/>
      <c r="D74" s="75"/>
      <c r="E74" s="9"/>
      <c r="F74" s="9"/>
      <c r="G74" s="9"/>
      <c r="H74" s="24"/>
      <c r="I74" s="9"/>
      <c r="J74" s="76" t="s">
        <v>47</v>
      </c>
      <c r="K74" s="9"/>
      <c r="L74" s="44"/>
      <c r="M74" s="49"/>
    </row>
    <row r="75" spans="1:13" ht="15.6">
      <c r="A75" s="20" t="s">
        <v>30</v>
      </c>
      <c r="C75" s="15"/>
      <c r="D75" s="77" t="s">
        <v>48</v>
      </c>
      <c r="E75" s="76" t="s">
        <v>49</v>
      </c>
      <c r="F75" s="78"/>
      <c r="G75" s="76" t="s">
        <v>50</v>
      </c>
      <c r="H75" s="15"/>
      <c r="I75" s="78"/>
      <c r="J75" s="79" t="s">
        <v>51</v>
      </c>
      <c r="K75" s="9"/>
      <c r="L75" s="24"/>
      <c r="M75" s="6"/>
    </row>
    <row r="76" spans="1:13" ht="16.2" thickBot="1">
      <c r="A76" s="25" t="s">
        <v>32</v>
      </c>
      <c r="C76" s="80" t="s">
        <v>52</v>
      </c>
      <c r="D76" s="9"/>
      <c r="E76" s="9"/>
      <c r="F76" s="9"/>
      <c r="G76" s="9"/>
      <c r="H76" s="9"/>
      <c r="I76" s="9"/>
      <c r="J76" s="9"/>
      <c r="K76" s="9"/>
      <c r="L76" s="9"/>
      <c r="M76" s="6"/>
    </row>
    <row r="77" spans="1:13">
      <c r="A77" s="20"/>
      <c r="C77" s="15"/>
      <c r="D77" s="9"/>
      <c r="E77" s="9"/>
      <c r="F77" s="9"/>
      <c r="G77" s="9"/>
      <c r="H77" s="9"/>
      <c r="I77" s="9"/>
      <c r="J77" s="9"/>
      <c r="K77" s="9"/>
      <c r="L77" s="9"/>
      <c r="M77" s="6"/>
    </row>
    <row r="78" spans="1:13">
      <c r="A78" s="20"/>
      <c r="C78" s="15" t="s">
        <v>53</v>
      </c>
      <c r="D78" s="9"/>
      <c r="E78" s="9"/>
      <c r="F78" s="9"/>
      <c r="G78" s="9"/>
      <c r="H78" s="9"/>
      <c r="I78" s="9"/>
      <c r="J78" s="9"/>
      <c r="K78" s="9"/>
      <c r="L78" s="9"/>
      <c r="M78" s="6"/>
    </row>
    <row r="79" spans="1:13" ht="15.6">
      <c r="A79" s="20">
        <f>+A25+1</f>
        <v>6</v>
      </c>
      <c r="C79" s="15" t="s">
        <v>54</v>
      </c>
      <c r="D79" s="9" t="s">
        <v>55</v>
      </c>
      <c r="E79" s="38">
        <f>+'2 - Cost Support '!F84</f>
        <v>0</v>
      </c>
      <c r="F79" s="9"/>
      <c r="G79" s="9" t="s">
        <v>56</v>
      </c>
      <c r="H79" s="32">
        <v>0</v>
      </c>
      <c r="I79" s="9"/>
      <c r="J79" s="33">
        <f>+H79*E79</f>
        <v>0</v>
      </c>
      <c r="K79" s="81"/>
      <c r="L79" s="82"/>
      <c r="M79" s="6"/>
    </row>
    <row r="80" spans="1:13">
      <c r="A80" s="20">
        <f>+A79+1</f>
        <v>7</v>
      </c>
      <c r="C80" s="15" t="s">
        <v>57</v>
      </c>
      <c r="D80" s="9" t="s">
        <v>58</v>
      </c>
      <c r="E80" s="38">
        <f>+'2 - Cost Support '!F20</f>
        <v>214958828.05986643</v>
      </c>
      <c r="F80" s="9"/>
      <c r="G80" s="9" t="s">
        <v>59</v>
      </c>
      <c r="H80" s="32">
        <f>+J$216</f>
        <v>1</v>
      </c>
      <c r="I80" s="9"/>
      <c r="J80" s="33">
        <f>+H80*E80</f>
        <v>214958828.05986643</v>
      </c>
      <c r="K80" s="9"/>
      <c r="L80" s="82"/>
    </row>
    <row r="81" spans="1:13">
      <c r="A81" s="20">
        <f>+A80+1</f>
        <v>8</v>
      </c>
      <c r="C81" s="15" t="s">
        <v>60</v>
      </c>
      <c r="D81" s="9" t="s">
        <v>61</v>
      </c>
      <c r="E81" s="38">
        <f>+'2 - Cost Support '!F36</f>
        <v>0</v>
      </c>
      <c r="F81" s="9"/>
      <c r="G81" s="9" t="s">
        <v>56</v>
      </c>
      <c r="H81" s="32">
        <v>0</v>
      </c>
      <c r="I81" s="9"/>
      <c r="J81" s="33">
        <f>+H81*E81</f>
        <v>0</v>
      </c>
      <c r="K81" s="9"/>
      <c r="L81" s="82"/>
    </row>
    <row r="82" spans="1:13">
      <c r="A82" s="20">
        <f>+A81+1</f>
        <v>9</v>
      </c>
      <c r="C82" s="15" t="s">
        <v>62</v>
      </c>
      <c r="D82" s="9" t="s">
        <v>63</v>
      </c>
      <c r="E82" s="38">
        <f>+'2 - Cost Support '!F52+'2 - Cost Support '!F68</f>
        <v>50335648.46392294</v>
      </c>
      <c r="F82" s="9"/>
      <c r="G82" s="9" t="s">
        <v>64</v>
      </c>
      <c r="H82" s="32">
        <f>+$J$224</f>
        <v>1</v>
      </c>
      <c r="I82" s="9"/>
      <c r="J82" s="33">
        <f>+H82*E82</f>
        <v>50335648.46392294</v>
      </c>
      <c r="K82" s="9"/>
      <c r="L82" s="82"/>
    </row>
    <row r="83" spans="1:13">
      <c r="A83" s="20">
        <f>+A82+1</f>
        <v>10</v>
      </c>
      <c r="C83" s="2" t="str">
        <f>"TOTAL GROSS PLANT (sum lines "&amp;A79&amp;"-"&amp;A82&amp;")"</f>
        <v>TOTAL GROSS PLANT (sum lines 6-9)</v>
      </c>
      <c r="D83" s="1162" t="s">
        <v>65</v>
      </c>
      <c r="E83" s="38">
        <f>SUM(E79:E82)</f>
        <v>265294476.52378938</v>
      </c>
      <c r="F83" s="9"/>
      <c r="G83" s="9" t="s">
        <v>66</v>
      </c>
      <c r="H83" s="83">
        <f>IF(J83=0,0,J83/E83)</f>
        <v>1</v>
      </c>
      <c r="I83" s="9"/>
      <c r="J83" s="33">
        <f>SUM(J79:J82)</f>
        <v>265294476.52378938</v>
      </c>
      <c r="K83" s="9"/>
      <c r="L83" s="84"/>
      <c r="M83" s="66"/>
    </row>
    <row r="84" spans="1:13" ht="15.75" customHeight="1">
      <c r="A84" s="20"/>
      <c r="C84" s="15"/>
      <c r="D84" s="1162"/>
      <c r="E84" s="38"/>
      <c r="F84" s="9"/>
      <c r="G84" s="9"/>
      <c r="H84" s="85"/>
      <c r="I84" s="9"/>
      <c r="J84" s="33"/>
      <c r="K84" s="9"/>
      <c r="L84" s="86"/>
    </row>
    <row r="85" spans="1:13">
      <c r="A85" s="20">
        <f>+A83+1</f>
        <v>11</v>
      </c>
      <c r="C85" s="15" t="s">
        <v>67</v>
      </c>
      <c r="D85" s="9"/>
      <c r="E85" s="38"/>
      <c r="F85" s="9"/>
      <c r="G85" s="9"/>
      <c r="H85" s="32"/>
      <c r="I85" s="9"/>
      <c r="J85" s="33"/>
      <c r="K85" s="9"/>
      <c r="L85" s="9"/>
    </row>
    <row r="86" spans="1:13">
      <c r="A86" s="20">
        <f>+A85+1</f>
        <v>12</v>
      </c>
      <c r="C86" s="15" t="str">
        <f>+C79</f>
        <v xml:space="preserve">  Production</v>
      </c>
      <c r="D86" s="9" t="s">
        <v>68</v>
      </c>
      <c r="E86" s="38">
        <f>+'2 - Cost Support '!F170</f>
        <v>0</v>
      </c>
      <c r="F86" s="9"/>
      <c r="G86" s="9" t="str">
        <f>+G79</f>
        <v>NA</v>
      </c>
      <c r="H86" s="32">
        <v>0</v>
      </c>
      <c r="I86" s="9"/>
      <c r="J86" s="33">
        <f>+H86*E86</f>
        <v>0</v>
      </c>
      <c r="K86" s="9"/>
      <c r="L86" s="82"/>
    </row>
    <row r="87" spans="1:13">
      <c r="A87" s="20">
        <f>+A86+1</f>
        <v>13</v>
      </c>
      <c r="C87" s="15" t="s">
        <v>57</v>
      </c>
      <c r="D87" s="9" t="s">
        <v>69</v>
      </c>
      <c r="E87" s="38">
        <f>+'2 - Cost Support '!F106</f>
        <v>17789002.405800242</v>
      </c>
      <c r="F87" s="9"/>
      <c r="G87" s="9" t="str">
        <f>+G80</f>
        <v>TP</v>
      </c>
      <c r="H87" s="32">
        <f>+J$216</f>
        <v>1</v>
      </c>
      <c r="I87" s="9"/>
      <c r="J87" s="33">
        <f>+H87*E87</f>
        <v>17789002.405800242</v>
      </c>
      <c r="K87" s="9"/>
      <c r="L87" s="34"/>
    </row>
    <row r="88" spans="1:13">
      <c r="A88" s="20">
        <f>+A87+1</f>
        <v>14</v>
      </c>
      <c r="C88" s="15" t="str">
        <f>+C81</f>
        <v xml:space="preserve">  Distribution</v>
      </c>
      <c r="D88" s="9" t="s">
        <v>70</v>
      </c>
      <c r="E88" s="38">
        <f>+'2 - Cost Support '!F122</f>
        <v>0</v>
      </c>
      <c r="F88" s="9"/>
      <c r="G88" s="9" t="str">
        <f>+G81</f>
        <v>NA</v>
      </c>
      <c r="H88" s="32">
        <v>0</v>
      </c>
      <c r="I88" s="9"/>
      <c r="J88" s="33">
        <f>+H88*E88</f>
        <v>0</v>
      </c>
      <c r="K88" s="9"/>
      <c r="L88" s="34"/>
    </row>
    <row r="89" spans="1:13">
      <c r="A89" s="20">
        <f>+A88+1</f>
        <v>15</v>
      </c>
      <c r="C89" s="15" t="s">
        <v>62</v>
      </c>
      <c r="D89" s="9" t="s">
        <v>71</v>
      </c>
      <c r="E89" s="38">
        <f>+'2 - Cost Support '!F138+'2 - Cost Support '!F154</f>
        <v>4165546.3965074467</v>
      </c>
      <c r="F89" s="9"/>
      <c r="G89" s="9" t="str">
        <f>+G82</f>
        <v>W/S</v>
      </c>
      <c r="H89" s="32">
        <f>+J$224</f>
        <v>1</v>
      </c>
      <c r="I89" s="9"/>
      <c r="J89" s="33">
        <f>+H89*E89</f>
        <v>4165546.3965074467</v>
      </c>
      <c r="K89" s="9"/>
      <c r="L89" s="34"/>
    </row>
    <row r="90" spans="1:13">
      <c r="A90" s="20">
        <f>+A89+1</f>
        <v>16</v>
      </c>
      <c r="C90" s="15" t="str">
        <f>"TOTAL ACCUM. DEPRECIATION (sum lines "&amp;A86&amp;"-"&amp;A89&amp;")"</f>
        <v>TOTAL ACCUM. DEPRECIATION (sum lines 12-15)</v>
      </c>
      <c r="D90" s="1162"/>
      <c r="E90" s="38">
        <f>SUM(E86:E89)</f>
        <v>21954548.802307688</v>
      </c>
      <c r="F90" s="9"/>
      <c r="G90" s="9"/>
      <c r="H90" s="32"/>
      <c r="I90" s="9"/>
      <c r="J90" s="33">
        <f>SUM(J86:J89)</f>
        <v>21954548.802307688</v>
      </c>
      <c r="K90" s="9"/>
      <c r="L90" s="9"/>
    </row>
    <row r="91" spans="1:13">
      <c r="A91" s="20"/>
      <c r="D91" s="1162"/>
      <c r="E91" s="87"/>
      <c r="F91" s="9"/>
      <c r="G91" s="9"/>
      <c r="H91" s="85"/>
      <c r="I91" s="9"/>
      <c r="J91" s="40"/>
      <c r="K91" s="9"/>
      <c r="L91" s="86"/>
    </row>
    <row r="92" spans="1:13">
      <c r="A92" s="20">
        <f>+A90+1</f>
        <v>17</v>
      </c>
      <c r="C92" s="15" t="s">
        <v>72</v>
      </c>
      <c r="D92" s="9"/>
      <c r="E92" s="38"/>
      <c r="F92" s="9"/>
      <c r="G92" s="9"/>
      <c r="H92" s="32"/>
      <c r="I92" s="9"/>
      <c r="J92" s="33"/>
      <c r="K92" s="9"/>
      <c r="L92" s="9"/>
    </row>
    <row r="93" spans="1:13">
      <c r="A93" s="20">
        <f>+A92+1</f>
        <v>18</v>
      </c>
      <c r="C93" s="15" t="str">
        <f>+C86</f>
        <v xml:space="preserve">  Production</v>
      </c>
      <c r="D93" s="9" t="str">
        <f>" (line "&amp;A79&amp;"- line "&amp;A86&amp;")"</f>
        <v xml:space="preserve"> (line 6- line 12)</v>
      </c>
      <c r="E93" s="38">
        <f>+E79-E86</f>
        <v>0</v>
      </c>
      <c r="F93" s="9"/>
      <c r="G93" s="9"/>
      <c r="H93" s="85"/>
      <c r="I93" s="9"/>
      <c r="J93" s="33">
        <f>+J79-J86</f>
        <v>0</v>
      </c>
      <c r="K93" s="9"/>
      <c r="L93" s="86"/>
    </row>
    <row r="94" spans="1:13">
      <c r="A94" s="20">
        <f>+A93+1</f>
        <v>19</v>
      </c>
      <c r="C94" s="15" t="s">
        <v>73</v>
      </c>
      <c r="D94" s="9" t="str">
        <f>" (line "&amp;A80&amp;"- line "&amp;A87&amp;")"</f>
        <v xml:space="preserve"> (line 7- line 13)</v>
      </c>
      <c r="E94" s="38">
        <f>+E80-E87</f>
        <v>197169825.65406618</v>
      </c>
      <c r="F94" s="9"/>
      <c r="G94" s="9"/>
      <c r="H94" s="32"/>
      <c r="I94" s="9"/>
      <c r="J94" s="33">
        <f>+J80-J87</f>
        <v>197169825.65406618</v>
      </c>
      <c r="K94" s="9"/>
      <c r="L94" s="86"/>
    </row>
    <row r="95" spans="1:13">
      <c r="A95" s="20">
        <f>+A94+1</f>
        <v>20</v>
      </c>
      <c r="C95" s="15" t="str">
        <f>+C88</f>
        <v xml:space="preserve">  Distribution</v>
      </c>
      <c r="D95" s="9" t="str">
        <f>" (line "&amp;A81&amp;"- line "&amp;A88&amp;")"</f>
        <v xml:space="preserve"> (line 8- line 14)</v>
      </c>
      <c r="E95" s="38">
        <f>+E81-E88</f>
        <v>0</v>
      </c>
      <c r="F95" s="9"/>
      <c r="G95" s="9"/>
      <c r="H95" s="85"/>
      <c r="I95" s="9"/>
      <c r="J95" s="33">
        <f>+J81-J88</f>
        <v>0</v>
      </c>
      <c r="K95" s="9"/>
      <c r="L95" s="86"/>
    </row>
    <row r="96" spans="1:13">
      <c r="A96" s="20">
        <f>+A95+1</f>
        <v>21</v>
      </c>
      <c r="C96" s="15" t="s">
        <v>74</v>
      </c>
      <c r="D96" s="9" t="str">
        <f>" (line "&amp;A82&amp;"- line "&amp;A89&amp;")"</f>
        <v xml:space="preserve"> (line 9- line 15)</v>
      </c>
      <c r="E96" s="38">
        <f>+E82-E89</f>
        <v>46170102.067415491</v>
      </c>
      <c r="F96" s="9"/>
      <c r="G96" s="9"/>
      <c r="H96" s="85"/>
      <c r="I96" s="9"/>
      <c r="J96" s="33">
        <f>+J82-J89</f>
        <v>46170102.067415491</v>
      </c>
      <c r="K96" s="9"/>
      <c r="L96" s="86"/>
    </row>
    <row r="97" spans="1:13">
      <c r="A97" s="20">
        <f>+A96+1</f>
        <v>22</v>
      </c>
      <c r="C97" s="15" t="str">
        <f>"TOTAL NET PLANT (sum lines "&amp;A93&amp;"-"&amp;A96&amp;")"</f>
        <v>TOTAL NET PLANT (sum lines 18-21)</v>
      </c>
      <c r="D97" s="1162" t="s">
        <v>75</v>
      </c>
      <c r="E97" s="38">
        <f>SUM(E93:E96)</f>
        <v>243339927.72148168</v>
      </c>
      <c r="F97" s="9"/>
      <c r="G97" s="9" t="s">
        <v>76</v>
      </c>
      <c r="H97" s="83">
        <f>IF(J97=0,0,J97/E97)</f>
        <v>1</v>
      </c>
      <c r="I97" s="9"/>
      <c r="J97" s="33">
        <f>SUM(J93:J96)</f>
        <v>243339927.72148168</v>
      </c>
      <c r="K97" s="9"/>
      <c r="L97" s="9"/>
    </row>
    <row r="98" spans="1:13" ht="20.25" customHeight="1">
      <c r="A98" s="20"/>
      <c r="D98" s="1162"/>
      <c r="E98" s="87"/>
      <c r="F98" s="9"/>
      <c r="H98" s="88"/>
      <c r="I98" s="9"/>
      <c r="J98" s="40"/>
      <c r="K98" s="9"/>
      <c r="L98" s="86"/>
    </row>
    <row r="99" spans="1:13">
      <c r="A99" s="20">
        <f>+A97+1</f>
        <v>23</v>
      </c>
      <c r="C99" s="2" t="str">
        <f>"ADJUSTMENTS TO RATE BASE       (Note "&amp;A267&amp;")"</f>
        <v>ADJUSTMENTS TO RATE BASE       (Note A)</v>
      </c>
      <c r="D99" s="9"/>
      <c r="E99" s="38"/>
      <c r="F99" s="9"/>
      <c r="G99" s="9"/>
      <c r="H99" s="89"/>
      <c r="I99" s="9"/>
      <c r="J99" s="33"/>
      <c r="K99" s="9"/>
      <c r="L99" s="9"/>
      <c r="M99" s="6"/>
    </row>
    <row r="100" spans="1:13">
      <c r="A100" s="20">
        <f t="shared" ref="A100:A107" si="0">+A99+1</f>
        <v>24</v>
      </c>
      <c r="C100" s="50" t="s">
        <v>77</v>
      </c>
      <c r="D100" s="9"/>
      <c r="E100" s="38">
        <f>+'6a-ADIT Projection'!H16</f>
        <v>-11993622.29782143</v>
      </c>
      <c r="F100" s="9"/>
      <c r="G100" s="9" t="str">
        <f>+G109</f>
        <v>TP</v>
      </c>
      <c r="H100" s="89">
        <f>+H109</f>
        <v>1</v>
      </c>
      <c r="I100" s="9"/>
      <c r="J100" s="38">
        <f t="shared" ref="J100:J105" si="1">+H100*E100</f>
        <v>-11993622.29782143</v>
      </c>
      <c r="K100" s="9"/>
      <c r="L100" s="9"/>
      <c r="M100" s="6"/>
    </row>
    <row r="101" spans="1:13">
      <c r="A101" s="20">
        <f t="shared" si="0"/>
        <v>25</v>
      </c>
      <c r="C101" s="50" t="s">
        <v>78</v>
      </c>
      <c r="D101" s="9" t="s">
        <v>79</v>
      </c>
      <c r="E101" s="38">
        <f>+'3 - Cost Support'!G5</f>
        <v>0</v>
      </c>
      <c r="F101" s="9"/>
      <c r="G101" s="9" t="s">
        <v>80</v>
      </c>
      <c r="H101" s="89">
        <f>+H$97</f>
        <v>1</v>
      </c>
      <c r="I101" s="9"/>
      <c r="J101" s="90">
        <f t="shared" si="1"/>
        <v>0</v>
      </c>
      <c r="K101" s="9"/>
      <c r="L101" s="9"/>
      <c r="M101" s="6"/>
    </row>
    <row r="102" spans="1:13">
      <c r="A102" s="20">
        <f t="shared" si="0"/>
        <v>26</v>
      </c>
      <c r="C102" s="5" t="s">
        <v>81</v>
      </c>
      <c r="D102" s="9" t="s">
        <v>82</v>
      </c>
      <c r="E102" s="90">
        <f>+'8a - Workpaper'!V81</f>
        <v>0</v>
      </c>
      <c r="F102" s="9"/>
      <c r="G102" s="9" t="s">
        <v>42</v>
      </c>
      <c r="H102" s="32">
        <v>1</v>
      </c>
      <c r="I102" s="9"/>
      <c r="J102" s="90">
        <f>+E102</f>
        <v>0</v>
      </c>
      <c r="K102" s="9"/>
      <c r="L102" s="84"/>
      <c r="M102" s="6"/>
    </row>
    <row r="103" spans="1:13">
      <c r="A103" s="20" t="s">
        <v>83</v>
      </c>
      <c r="C103" s="5" t="s">
        <v>84</v>
      </c>
      <c r="D103" s="9" t="s">
        <v>85</v>
      </c>
      <c r="E103" s="90">
        <v>0</v>
      </c>
      <c r="F103" s="9"/>
      <c r="G103" s="9" t="s">
        <v>42</v>
      </c>
      <c r="H103" s="32">
        <v>1</v>
      </c>
      <c r="I103" s="9"/>
      <c r="J103" s="90">
        <f>+E103</f>
        <v>0</v>
      </c>
      <c r="K103" s="9"/>
      <c r="L103" s="84"/>
      <c r="M103" s="6"/>
    </row>
    <row r="104" spans="1:13">
      <c r="A104" s="20">
        <f>+A102+1</f>
        <v>27</v>
      </c>
      <c r="C104" s="5" t="s">
        <v>86</v>
      </c>
      <c r="D104" s="9" t="s">
        <v>87</v>
      </c>
      <c r="E104" s="90">
        <f>+'3 - Cost Support'!H42</f>
        <v>0</v>
      </c>
      <c r="F104" s="9"/>
      <c r="G104" s="9" t="str">
        <f>+G105</f>
        <v>DA</v>
      </c>
      <c r="H104" s="91">
        <f>+H105</f>
        <v>1</v>
      </c>
      <c r="I104" s="9"/>
      <c r="J104" s="90">
        <f t="shared" si="1"/>
        <v>0</v>
      </c>
      <c r="K104" s="9"/>
      <c r="L104" s="84"/>
      <c r="M104" s="6"/>
    </row>
    <row r="105" spans="1:13">
      <c r="A105" s="20">
        <f>+A104+1</f>
        <v>28</v>
      </c>
      <c r="C105" s="50" t="s">
        <v>88</v>
      </c>
      <c r="D105" s="9" t="s">
        <v>89</v>
      </c>
      <c r="E105" s="90">
        <f>+'8a - Workpaper'!Z10</f>
        <v>0</v>
      </c>
      <c r="F105" s="9"/>
      <c r="G105" s="9" t="str">
        <f>+G106</f>
        <v>DA</v>
      </c>
      <c r="H105" s="91">
        <f>+H106</f>
        <v>1</v>
      </c>
      <c r="I105" s="9"/>
      <c r="J105" s="90">
        <f t="shared" si="1"/>
        <v>0</v>
      </c>
      <c r="K105" s="9"/>
      <c r="L105" s="84"/>
      <c r="M105" s="6"/>
    </row>
    <row r="106" spans="1:13">
      <c r="A106" s="20">
        <f t="shared" si="0"/>
        <v>29</v>
      </c>
      <c r="C106" s="92" t="s">
        <v>90</v>
      </c>
      <c r="D106" s="93" t="s">
        <v>91</v>
      </c>
      <c r="E106" s="94">
        <f>+'8a - Workpaper'!Z41</f>
        <v>0</v>
      </c>
      <c r="F106" s="93"/>
      <c r="G106" s="93" t="s">
        <v>42</v>
      </c>
      <c r="H106" s="95">
        <v>1</v>
      </c>
      <c r="I106" s="93"/>
      <c r="J106" s="96">
        <f>+H106*E106</f>
        <v>0</v>
      </c>
      <c r="K106" s="9"/>
      <c r="L106" s="9"/>
      <c r="M106" s="6"/>
    </row>
    <row r="107" spans="1:13">
      <c r="A107" s="20">
        <f t="shared" si="0"/>
        <v>30</v>
      </c>
      <c r="C107" s="97" t="str">
        <f>"TOTAL ADJUSTMENTS  (sum lines "&amp;A100&amp;"-"&amp;A106&amp;")"</f>
        <v>TOTAL ADJUSTMENTS  (sum lines 24-29)</v>
      </c>
      <c r="D107" s="9"/>
      <c r="E107" s="38">
        <f>SUM(E100:E106)</f>
        <v>-11993622.29782143</v>
      </c>
      <c r="F107" s="9"/>
      <c r="G107" s="9"/>
      <c r="H107" s="32"/>
      <c r="I107" s="9"/>
      <c r="J107" s="33">
        <f>SUM(J100:J106)</f>
        <v>-11993622.29782143</v>
      </c>
      <c r="K107" s="9"/>
      <c r="L107" s="9"/>
      <c r="M107" s="6"/>
    </row>
    <row r="108" spans="1:13">
      <c r="A108" s="20"/>
      <c r="D108" s="9"/>
      <c r="E108" s="87"/>
      <c r="F108" s="9"/>
      <c r="G108" s="9"/>
      <c r="H108" s="85"/>
      <c r="I108" s="9"/>
      <c r="J108" s="40"/>
      <c r="K108" s="9"/>
      <c r="L108" s="86"/>
      <c r="M108" s="6"/>
    </row>
    <row r="109" spans="1:13" ht="15.6">
      <c r="A109" s="20">
        <f>+A107+1</f>
        <v>31</v>
      </c>
      <c r="C109" s="2" t="s">
        <v>92</v>
      </c>
      <c r="D109" s="9" t="s">
        <v>93</v>
      </c>
      <c r="E109" s="38">
        <f>+'8a - Workpaper'!R61</f>
        <v>0</v>
      </c>
      <c r="F109" s="9"/>
      <c r="G109" s="9" t="str">
        <f>+G87</f>
        <v>TP</v>
      </c>
      <c r="H109" s="32">
        <f>+J$216</f>
        <v>1</v>
      </c>
      <c r="I109" s="9"/>
      <c r="J109" s="33">
        <f>+H109*E109</f>
        <v>0</v>
      </c>
      <c r="K109" s="81"/>
      <c r="L109" s="9"/>
      <c r="M109" s="6"/>
    </row>
    <row r="110" spans="1:13">
      <c r="A110" s="20"/>
      <c r="C110" s="15"/>
      <c r="D110" s="9"/>
      <c r="E110" s="38"/>
      <c r="F110" s="9"/>
      <c r="G110" s="9"/>
      <c r="H110" s="32"/>
      <c r="I110" s="9"/>
      <c r="J110" s="33"/>
      <c r="K110" s="9"/>
      <c r="L110" s="9"/>
      <c r="M110" s="6"/>
    </row>
    <row r="111" spans="1:13">
      <c r="A111" s="20">
        <f>+A109+1</f>
        <v>32</v>
      </c>
      <c r="C111" s="15" t="str">
        <f>"WORKING CAPITAL  (Note "&amp;A271&amp;")"</f>
        <v>WORKING CAPITAL  (Note C)</v>
      </c>
      <c r="D111" s="9" t="s">
        <v>24</v>
      </c>
      <c r="E111" s="38"/>
      <c r="F111" s="9"/>
      <c r="G111" s="9"/>
      <c r="H111" s="32"/>
      <c r="I111" s="9"/>
      <c r="J111" s="33"/>
      <c r="K111" s="9"/>
      <c r="L111" s="9"/>
      <c r="M111" s="6"/>
    </row>
    <row r="112" spans="1:13">
      <c r="A112" s="20">
        <f>+A111+1</f>
        <v>33</v>
      </c>
      <c r="C112" s="15" t="s">
        <v>94</v>
      </c>
      <c r="D112" s="50" t="s">
        <v>95</v>
      </c>
      <c r="E112" s="38">
        <f>(E153-E151)/8</f>
        <v>2180542.7335786093</v>
      </c>
      <c r="F112" s="9"/>
      <c r="G112" s="9"/>
      <c r="H112" s="85"/>
      <c r="I112" s="9"/>
      <c r="J112" s="38">
        <f>(J153-J151)/8</f>
        <v>2180542.7335786093</v>
      </c>
      <c r="K112" s="9"/>
      <c r="L112" s="84"/>
      <c r="M112" s="6"/>
    </row>
    <row r="113" spans="1:13">
      <c r="A113" s="20">
        <f>+A112+1</f>
        <v>34</v>
      </c>
      <c r="C113" s="15" t="str">
        <f>"  Materials &amp; Supplies  (Note "&amp;A270&amp;")"</f>
        <v xml:space="preserve">  Materials &amp; Supplies  (Note B)</v>
      </c>
      <c r="D113" s="9" t="s">
        <v>96</v>
      </c>
      <c r="E113" s="38">
        <f>+'3 - Cost Support'!G117</f>
        <v>0</v>
      </c>
      <c r="F113" s="9"/>
      <c r="G113" s="9" t="str">
        <f>+G109</f>
        <v>TP</v>
      </c>
      <c r="H113" s="32">
        <f>+H109</f>
        <v>1</v>
      </c>
      <c r="I113" s="9"/>
      <c r="J113" s="33">
        <f>+H113*E113</f>
        <v>0</v>
      </c>
      <c r="K113" s="9"/>
      <c r="L113" s="86"/>
      <c r="M113" s="6"/>
    </row>
    <row r="114" spans="1:13">
      <c r="A114" s="20">
        <f>+A113+1</f>
        <v>35</v>
      </c>
      <c r="C114" s="98" t="str">
        <f xml:space="preserve">  "Prepayments (Account 165 - Note "&amp;A271&amp;")"</f>
        <v>Prepayments (Account 165 - Note C)</v>
      </c>
      <c r="D114" s="93" t="s">
        <v>97</v>
      </c>
      <c r="E114" s="94">
        <f>+'3 - Cost Support'!F26</f>
        <v>393253.88179487229</v>
      </c>
      <c r="F114" s="93"/>
      <c r="G114" s="93" t="s">
        <v>98</v>
      </c>
      <c r="H114" s="99">
        <f>+H$83</f>
        <v>1</v>
      </c>
      <c r="I114" s="93"/>
      <c r="J114" s="96">
        <f>+H114*E114</f>
        <v>393253.88179487229</v>
      </c>
      <c r="K114" s="9"/>
      <c r="L114" s="9"/>
      <c r="M114" s="9"/>
    </row>
    <row r="115" spans="1:13">
      <c r="A115" s="20">
        <f>+A114+1</f>
        <v>36</v>
      </c>
      <c r="C115" s="15" t="str">
        <f>"TOTAL WORKING CAPITAL (sum lines "&amp;A112&amp;"-"&amp;A114&amp;")"</f>
        <v>TOTAL WORKING CAPITAL (sum lines 33-35)</v>
      </c>
      <c r="D115" s="15"/>
      <c r="E115" s="33">
        <f>SUM(E112:E114)</f>
        <v>2573796.6153734815</v>
      </c>
      <c r="F115" s="15"/>
      <c r="G115" s="15"/>
      <c r="H115" s="15"/>
      <c r="I115" s="15"/>
      <c r="J115" s="33">
        <f>SUM(J112:J114)</f>
        <v>2573796.6153734815</v>
      </c>
      <c r="K115" s="9"/>
      <c r="L115" s="9"/>
      <c r="M115" s="9"/>
    </row>
    <row r="116" spans="1:13" ht="15.6" thickBot="1">
      <c r="A116" s="20"/>
      <c r="D116" s="9"/>
      <c r="E116" s="100"/>
      <c r="F116" s="9"/>
      <c r="G116" s="9"/>
      <c r="H116" s="9"/>
      <c r="I116" s="9"/>
      <c r="J116" s="100"/>
      <c r="K116" s="9"/>
    </row>
    <row r="117" spans="1:13" ht="15.6" thickBot="1">
      <c r="A117" s="20">
        <f>+A115+1</f>
        <v>37</v>
      </c>
      <c r="C117" s="15" t="str">
        <f>"RATE BASE  (sum lines "&amp;A97&amp;", "&amp;A107&amp;", "&amp;A109&amp;", &amp; "&amp;A115&amp;")"</f>
        <v>RATE BASE  (sum lines 22, 30, 31, &amp; 36)</v>
      </c>
      <c r="D117" s="9"/>
      <c r="E117" s="101">
        <f>+E97+E107+E109+E115</f>
        <v>233920102.03903374</v>
      </c>
      <c r="F117" s="9"/>
      <c r="G117" s="9"/>
      <c r="H117" s="86"/>
      <c r="I117" s="9"/>
      <c r="J117" s="101">
        <f>+J97+J107+J109+J115</f>
        <v>233920102.03903374</v>
      </c>
      <c r="K117" s="9"/>
      <c r="L117" s="9"/>
      <c r="M117" s="9"/>
    </row>
    <row r="118" spans="1:13" ht="15.6" thickTop="1">
      <c r="A118" s="20"/>
      <c r="C118" s="15"/>
      <c r="D118" s="9"/>
      <c r="E118" s="9"/>
      <c r="F118" s="9"/>
      <c r="G118" s="9"/>
      <c r="H118" s="9"/>
      <c r="I118" s="9"/>
      <c r="J118" s="33"/>
      <c r="K118" s="9"/>
      <c r="L118" s="9"/>
      <c r="M118" s="46"/>
    </row>
    <row r="119" spans="1:13">
      <c r="A119" s="20"/>
      <c r="C119" s="102"/>
      <c r="D119" s="9"/>
      <c r="E119" s="9"/>
      <c r="F119" s="9"/>
      <c r="G119" s="9"/>
      <c r="H119" s="9"/>
      <c r="I119" s="9"/>
      <c r="J119" s="33"/>
      <c r="K119" s="9"/>
      <c r="L119" s="9"/>
      <c r="M119" s="46"/>
    </row>
    <row r="120" spans="1:13">
      <c r="A120" s="20"/>
      <c r="C120" s="103"/>
      <c r="D120" s="9"/>
      <c r="E120" s="9"/>
      <c r="F120" s="9"/>
      <c r="G120" s="9"/>
      <c r="H120" s="9"/>
      <c r="I120" s="9"/>
      <c r="J120" s="33"/>
      <c r="K120" s="9"/>
      <c r="L120" s="9"/>
      <c r="M120" s="46"/>
    </row>
    <row r="121" spans="1:13">
      <c r="A121" s="20"/>
      <c r="C121" s="102"/>
      <c r="D121" s="9"/>
      <c r="E121" s="9"/>
      <c r="F121" s="9"/>
      <c r="G121" s="9"/>
      <c r="H121" s="9"/>
      <c r="I121" s="9"/>
      <c r="J121" s="33"/>
      <c r="K121" s="9"/>
      <c r="L121" s="9"/>
      <c r="M121" s="46"/>
    </row>
    <row r="122" spans="1:13">
      <c r="A122" s="20"/>
      <c r="C122" s="103"/>
      <c r="D122" s="9"/>
      <c r="E122" s="9"/>
      <c r="F122" s="9"/>
      <c r="G122" s="9"/>
      <c r="H122" s="9"/>
      <c r="I122" s="9"/>
      <c r="J122" s="33"/>
      <c r="K122" s="9"/>
      <c r="L122" s="9"/>
      <c r="M122" s="46"/>
    </row>
    <row r="123" spans="1:13">
      <c r="A123" s="20"/>
      <c r="C123" s="103"/>
      <c r="D123" s="9"/>
      <c r="E123" s="9"/>
      <c r="F123" s="9"/>
      <c r="G123" s="9"/>
      <c r="H123" s="9"/>
      <c r="I123" s="9"/>
      <c r="J123" s="33"/>
      <c r="K123" s="9"/>
      <c r="L123" s="9"/>
      <c r="M123" s="46"/>
    </row>
    <row r="124" spans="1:13">
      <c r="A124" s="20"/>
      <c r="D124" s="9"/>
      <c r="E124" s="9"/>
      <c r="F124" s="9"/>
      <c r="G124" s="9"/>
      <c r="H124" s="9"/>
      <c r="I124" s="9"/>
      <c r="J124" s="33"/>
      <c r="K124" s="9"/>
      <c r="L124" s="9"/>
      <c r="M124" s="46"/>
    </row>
    <row r="125" spans="1:13">
      <c r="A125" s="20"/>
      <c r="C125" s="37"/>
      <c r="D125" s="9"/>
      <c r="E125" s="9"/>
      <c r="F125" s="9"/>
      <c r="G125" s="9"/>
      <c r="H125" s="9"/>
      <c r="I125" s="9"/>
      <c r="J125" s="33"/>
      <c r="K125" s="9"/>
      <c r="L125" s="9"/>
      <c r="M125" s="46"/>
    </row>
    <row r="126" spans="1:13">
      <c r="A126" s="20"/>
      <c r="C126" s="68"/>
      <c r="D126" s="9"/>
      <c r="E126" s="9"/>
      <c r="F126" s="9"/>
      <c r="G126" s="9"/>
      <c r="H126" s="9"/>
      <c r="I126" s="9"/>
      <c r="J126" s="33"/>
      <c r="K126" s="9"/>
      <c r="L126" s="9"/>
      <c r="M126" s="46"/>
    </row>
    <row r="127" spans="1:13">
      <c r="A127" s="20"/>
      <c r="C127" s="68"/>
      <c r="D127" s="9"/>
      <c r="E127" s="9"/>
      <c r="F127" s="9"/>
      <c r="G127" s="9"/>
      <c r="H127" s="9"/>
      <c r="I127" s="9"/>
      <c r="J127" s="33"/>
      <c r="K127" s="9"/>
      <c r="L127" s="9"/>
      <c r="M127" s="46"/>
    </row>
    <row r="128" spans="1:13">
      <c r="A128" s="20"/>
      <c r="C128" s="15"/>
      <c r="D128" s="9"/>
      <c r="E128" s="9"/>
      <c r="F128" s="9"/>
      <c r="G128" s="9"/>
      <c r="H128" s="9"/>
      <c r="I128" s="9"/>
      <c r="J128" s="33"/>
      <c r="K128" s="9"/>
      <c r="L128" s="9"/>
      <c r="M128" s="46"/>
    </row>
    <row r="129" spans="1:13">
      <c r="A129" s="20"/>
      <c r="C129" s="2"/>
      <c r="D129" s="2"/>
      <c r="E129" s="3"/>
      <c r="F129" s="2"/>
      <c r="G129" s="2"/>
      <c r="H129" s="2"/>
      <c r="I129" s="2"/>
      <c r="J129" s="104"/>
      <c r="K129" s="24"/>
      <c r="L129" s="24"/>
      <c r="M129" s="4" t="s">
        <v>3</v>
      </c>
    </row>
    <row r="130" spans="1:13">
      <c r="A130" s="20"/>
      <c r="C130" s="2"/>
      <c r="D130" s="2"/>
      <c r="E130" s="3"/>
      <c r="F130" s="2"/>
      <c r="G130" s="2"/>
      <c r="H130" s="2"/>
      <c r="I130" s="2"/>
      <c r="J130" s="105"/>
      <c r="K130" s="4"/>
      <c r="L130" s="4"/>
      <c r="M130" s="7" t="s">
        <v>99</v>
      </c>
    </row>
    <row r="131" spans="1:13">
      <c r="A131" s="20"/>
      <c r="C131" s="2"/>
      <c r="D131" s="2"/>
      <c r="E131" s="3"/>
      <c r="F131" s="2"/>
      <c r="G131" s="2"/>
      <c r="H131" s="2"/>
      <c r="I131" s="2"/>
      <c r="J131" s="106"/>
      <c r="K131" s="7"/>
      <c r="L131" s="7"/>
      <c r="M131" s="7"/>
    </row>
    <row r="132" spans="1:13">
      <c r="A132" s="20"/>
      <c r="C132" s="2"/>
      <c r="D132" s="2"/>
      <c r="E132" s="3"/>
      <c r="F132" s="2"/>
      <c r="G132" s="2"/>
      <c r="H132" s="2"/>
      <c r="I132" s="2"/>
      <c r="J132" s="107"/>
      <c r="K132" s="15"/>
      <c r="L132" s="7"/>
      <c r="M132" s="7"/>
    </row>
    <row r="133" spans="1:13">
      <c r="A133" s="20"/>
      <c r="C133" s="2"/>
      <c r="D133" s="2"/>
      <c r="E133" s="3"/>
      <c r="F133" s="2"/>
      <c r="G133" s="2"/>
      <c r="H133" s="2"/>
      <c r="I133" s="2"/>
      <c r="J133" s="107"/>
      <c r="K133" s="15"/>
      <c r="L133" s="7"/>
    </row>
    <row r="134" spans="1:13">
      <c r="A134" s="20"/>
      <c r="C134" s="2" t="s">
        <v>22</v>
      </c>
      <c r="D134" s="1"/>
      <c r="E134" s="1" t="s">
        <v>23</v>
      </c>
      <c r="F134" s="2"/>
      <c r="G134" s="2"/>
      <c r="H134" s="2"/>
      <c r="I134" s="2"/>
      <c r="J134" s="40"/>
      <c r="K134" s="15"/>
      <c r="L134" s="15"/>
    </row>
    <row r="135" spans="1:13">
      <c r="A135" s="20"/>
      <c r="C135" s="2"/>
      <c r="D135" s="9" t="s">
        <v>24</v>
      </c>
      <c r="E135" s="9" t="s">
        <v>25</v>
      </c>
      <c r="F135" s="9"/>
      <c r="G135" s="9"/>
      <c r="H135" s="9"/>
      <c r="I135" s="2"/>
      <c r="J135" s="107"/>
      <c r="K135" s="15"/>
      <c r="L135" s="15"/>
    </row>
    <row r="136" spans="1:13">
      <c r="A136" s="20"/>
      <c r="C136" s="2"/>
      <c r="D136" s="9"/>
      <c r="E136" s="9"/>
      <c r="F136" s="9"/>
      <c r="G136" s="9"/>
      <c r="H136" s="9"/>
      <c r="I136" s="2"/>
      <c r="J136" s="107"/>
      <c r="K136" s="71"/>
      <c r="L136" s="17"/>
      <c r="M136" s="18" t="str">
        <f>+M71</f>
        <v>For the 12 months ended 12/31/2025</v>
      </c>
    </row>
    <row r="137" spans="1:13" ht="15.6">
      <c r="A137" s="20"/>
      <c r="D137" s="15"/>
      <c r="E137" s="72" t="str">
        <f>+E72</f>
        <v>NextEra Energy Transmission New York, Inc.</v>
      </c>
      <c r="F137" s="15"/>
      <c r="G137" s="15"/>
      <c r="H137" s="15"/>
      <c r="I137" s="15"/>
      <c r="J137" s="33"/>
      <c r="K137" s="9"/>
      <c r="L137" s="9"/>
      <c r="M137" s="73"/>
    </row>
    <row r="138" spans="1:13">
      <c r="A138" s="20"/>
      <c r="C138" s="44" t="s">
        <v>27</v>
      </c>
      <c r="D138" s="44" t="s">
        <v>28</v>
      </c>
      <c r="E138" s="44" t="s">
        <v>29</v>
      </c>
      <c r="F138" s="9" t="s">
        <v>24</v>
      </c>
      <c r="G138" s="9"/>
      <c r="H138" s="74" t="s">
        <v>45</v>
      </c>
      <c r="I138" s="9"/>
      <c r="J138" s="108" t="s">
        <v>46</v>
      </c>
      <c r="K138" s="9"/>
      <c r="L138" s="23"/>
      <c r="M138" s="23"/>
    </row>
    <row r="139" spans="1:13" ht="15.6">
      <c r="A139" s="20"/>
      <c r="C139" s="44"/>
      <c r="D139" s="109"/>
      <c r="E139" s="109"/>
      <c r="F139" s="109"/>
      <c r="G139" s="109"/>
      <c r="H139" s="109"/>
      <c r="I139" s="109"/>
      <c r="J139" s="110"/>
      <c r="K139" s="109"/>
      <c r="L139" s="76"/>
      <c r="M139" s="109"/>
    </row>
    <row r="140" spans="1:13" ht="15.6">
      <c r="A140" s="20"/>
      <c r="C140" s="15"/>
      <c r="D140" s="75"/>
      <c r="E140" s="9"/>
      <c r="F140" s="9"/>
      <c r="G140" s="9"/>
      <c r="H140" s="24"/>
      <c r="I140" s="9"/>
      <c r="J140" s="111" t="s">
        <v>47</v>
      </c>
      <c r="K140" s="9"/>
      <c r="L140" s="44"/>
      <c r="M140" s="49"/>
    </row>
    <row r="141" spans="1:13" ht="15.6">
      <c r="A141" s="20"/>
      <c r="C141" s="15"/>
      <c r="D141" s="77" t="s">
        <v>48</v>
      </c>
      <c r="E141" s="76" t="s">
        <v>49</v>
      </c>
      <c r="F141" s="78"/>
      <c r="G141" s="76" t="s">
        <v>50</v>
      </c>
      <c r="H141" s="15"/>
      <c r="I141" s="78"/>
      <c r="J141" s="112" t="s">
        <v>51</v>
      </c>
      <c r="K141" s="9"/>
      <c r="L141" s="24"/>
      <c r="M141" s="24"/>
    </row>
    <row r="142" spans="1:13" ht="15.6">
      <c r="A142" s="20"/>
      <c r="C142" s="15"/>
      <c r="D142" s="9"/>
      <c r="E142" s="113"/>
      <c r="F142" s="114"/>
      <c r="G142" s="77"/>
      <c r="H142" s="15"/>
      <c r="I142" s="114"/>
      <c r="J142" s="40"/>
    </row>
    <row r="143" spans="1:13">
      <c r="A143" s="20">
        <f>+A117+1</f>
        <v>38</v>
      </c>
      <c r="C143" s="15" t="s">
        <v>100</v>
      </c>
      <c r="D143" s="9"/>
      <c r="E143" s="9"/>
      <c r="I143" s="9"/>
      <c r="J143" s="40"/>
    </row>
    <row r="144" spans="1:13">
      <c r="A144" s="20">
        <f t="shared" ref="A144:A149" si="2">+A143+1</f>
        <v>39</v>
      </c>
      <c r="C144" s="15" t="s">
        <v>57</v>
      </c>
      <c r="D144" s="9" t="s">
        <v>101</v>
      </c>
      <c r="E144" s="118">
        <v>10203852</v>
      </c>
      <c r="F144" s="9"/>
      <c r="G144" s="9" t="str">
        <f>+I216</f>
        <v>TP=</v>
      </c>
      <c r="H144" s="32">
        <f>+J216</f>
        <v>1</v>
      </c>
      <c r="I144" s="9"/>
      <c r="J144" s="40">
        <f t="shared" ref="J144:J149" si="3">+H144*E144</f>
        <v>10203852</v>
      </c>
      <c r="K144" s="9"/>
      <c r="L144" s="9"/>
      <c r="M144" s="9"/>
    </row>
    <row r="145" spans="1:15">
      <c r="A145" s="20">
        <f t="shared" si="2"/>
        <v>40</v>
      </c>
      <c r="C145" s="15" t="s">
        <v>102</v>
      </c>
      <c r="D145" s="9" t="s">
        <v>103</v>
      </c>
      <c r="E145" s="118">
        <v>0</v>
      </c>
      <c r="F145" s="9"/>
      <c r="G145" s="9" t="str">
        <f>+G144</f>
        <v>TP=</v>
      </c>
      <c r="H145" s="32">
        <f>+H144</f>
        <v>1</v>
      </c>
      <c r="I145" s="9"/>
      <c r="J145" s="40">
        <f t="shared" si="3"/>
        <v>0</v>
      </c>
      <c r="K145" s="9"/>
      <c r="L145" s="9"/>
      <c r="M145" s="9"/>
    </row>
    <row r="146" spans="1:15">
      <c r="A146" s="20">
        <f t="shared" si="2"/>
        <v>41</v>
      </c>
      <c r="C146" s="15" t="s">
        <v>104</v>
      </c>
      <c r="D146" s="9" t="s">
        <v>105</v>
      </c>
      <c r="E146" s="118">
        <v>7240489.8686288744</v>
      </c>
      <c r="F146" s="9"/>
      <c r="G146" s="9" t="s">
        <v>64</v>
      </c>
      <c r="H146" s="32">
        <f>+$J$224</f>
        <v>1</v>
      </c>
      <c r="I146" s="9"/>
      <c r="J146" s="40">
        <f t="shared" si="3"/>
        <v>7240489.8686288744</v>
      </c>
      <c r="K146" s="9"/>
      <c r="L146" s="9"/>
      <c r="M146" s="9"/>
      <c r="N146" s="50"/>
    </row>
    <row r="147" spans="1:15" ht="15.6">
      <c r="A147" s="20">
        <f t="shared" si="2"/>
        <v>42</v>
      </c>
      <c r="C147" s="15" t="s">
        <v>106</v>
      </c>
      <c r="D147" s="15" t="str">
        <f>" (Note "&amp;A273&amp;" &amp; Attach 3, line 171, column A)"</f>
        <v xml:space="preserve"> (Note D &amp; Attach 3, line 171, column A)</v>
      </c>
      <c r="E147" s="38">
        <f>+'3 - Cost Support'!G55</f>
        <v>0</v>
      </c>
      <c r="F147" s="9"/>
      <c r="G147" s="9" t="s">
        <v>42</v>
      </c>
      <c r="H147" s="32">
        <v>1</v>
      </c>
      <c r="I147" s="9"/>
      <c r="J147" s="40">
        <f>+E147</f>
        <v>0</v>
      </c>
      <c r="K147" s="81"/>
      <c r="L147" s="9"/>
      <c r="M147" s="9"/>
    </row>
    <row r="148" spans="1:15">
      <c r="A148" s="20">
        <f t="shared" si="2"/>
        <v>43</v>
      </c>
      <c r="C148" s="15" t="s">
        <v>107</v>
      </c>
      <c r="D148" s="15" t="str">
        <f>" (Note "&amp;A273&amp;" &amp; Attach 3, line 172, column C)"</f>
        <v xml:space="preserve"> (Note D &amp; Attach 3, line 172, column C)</v>
      </c>
      <c r="E148" s="38">
        <f>+'3 - Cost Support'!H64</f>
        <v>0</v>
      </c>
      <c r="F148" s="9"/>
      <c r="G148" s="116" t="str">
        <f>+G144</f>
        <v>TP=</v>
      </c>
      <c r="H148" s="32">
        <f>+H144</f>
        <v>1</v>
      </c>
      <c r="I148" s="9"/>
      <c r="J148" s="40">
        <f t="shared" si="3"/>
        <v>0</v>
      </c>
      <c r="K148" s="9"/>
      <c r="L148" s="9"/>
      <c r="M148" s="9"/>
    </row>
    <row r="149" spans="1:15">
      <c r="A149" s="20">
        <f t="shared" si="2"/>
        <v>44</v>
      </c>
      <c r="C149" s="15" t="s">
        <v>108</v>
      </c>
      <c r="D149" s="9" t="s">
        <v>109</v>
      </c>
      <c r="E149" s="38">
        <f>+'3 - Cost Support'!E132</f>
        <v>0</v>
      </c>
      <c r="F149" s="9"/>
      <c r="G149" s="116" t="str">
        <f>+G145</f>
        <v>TP=</v>
      </c>
      <c r="H149" s="32">
        <f>+H144</f>
        <v>1</v>
      </c>
      <c r="I149" s="9"/>
      <c r="J149" s="40">
        <f t="shared" si="3"/>
        <v>0</v>
      </c>
      <c r="K149" s="9"/>
      <c r="L149" s="9"/>
      <c r="M149" s="9"/>
    </row>
    <row r="150" spans="1:15" ht="15.6">
      <c r="A150" s="117" t="s">
        <v>110</v>
      </c>
      <c r="C150" s="15" t="s">
        <v>111</v>
      </c>
      <c r="D150" s="9" t="s">
        <v>112</v>
      </c>
      <c r="E150" s="118">
        <v>0</v>
      </c>
      <c r="F150" s="9"/>
      <c r="G150" s="9" t="s">
        <v>42</v>
      </c>
      <c r="H150" s="32">
        <v>1</v>
      </c>
      <c r="I150" s="9"/>
      <c r="J150" s="40">
        <f t="shared" ref="J150:J152" si="4">+E150</f>
        <v>0</v>
      </c>
      <c r="K150" s="81"/>
      <c r="L150" s="9"/>
      <c r="M150" s="9"/>
    </row>
    <row r="151" spans="1:15">
      <c r="A151" s="117" t="s">
        <v>113</v>
      </c>
      <c r="C151" s="15" t="s">
        <v>114</v>
      </c>
      <c r="D151" s="9" t="s">
        <v>115</v>
      </c>
      <c r="E151" s="38">
        <f>+'8a - Workpaper'!I21</f>
        <v>0</v>
      </c>
      <c r="F151" s="9"/>
      <c r="G151" s="9" t="s">
        <v>42</v>
      </c>
      <c r="H151" s="32">
        <v>1</v>
      </c>
      <c r="I151" s="9"/>
      <c r="J151" s="40">
        <f t="shared" si="4"/>
        <v>0</v>
      </c>
      <c r="K151" s="9"/>
      <c r="L151" s="9"/>
      <c r="M151" s="9"/>
    </row>
    <row r="152" spans="1:15">
      <c r="A152" s="117" t="s">
        <v>116</v>
      </c>
      <c r="C152" s="15" t="s">
        <v>117</v>
      </c>
      <c r="D152" s="9" t="s">
        <v>118</v>
      </c>
      <c r="E152" s="38">
        <f>+E150-E151</f>
        <v>0</v>
      </c>
      <c r="F152" s="9"/>
      <c r="G152" s="9" t="s">
        <v>42</v>
      </c>
      <c r="H152" s="32">
        <v>1</v>
      </c>
      <c r="I152" s="9"/>
      <c r="J152" s="40">
        <f t="shared" si="4"/>
        <v>0</v>
      </c>
      <c r="K152" s="9"/>
      <c r="L152" s="9"/>
      <c r="M152" s="9"/>
    </row>
    <row r="153" spans="1:15">
      <c r="A153" s="20">
        <f>+A149+1</f>
        <v>45</v>
      </c>
      <c r="C153" s="15" t="str">
        <f>"TOTAL O&amp;M   (sum lines "&amp;A144&amp;", "&amp;A146&amp;", "&amp;A148&amp;", "&amp;A149&amp;", "&amp;A151&amp;", "&amp;A152&amp;" less lines "&amp;A145&amp;" &amp; "&amp;A147&amp;", "&amp;A150&amp;") (Note D)"</f>
        <v>TOTAL O&amp;M   (sum lines 39, 41, 43, 44, 44b, 44c less lines 40 &amp; 42, 44a) (Note D)</v>
      </c>
      <c r="D153" s="9"/>
      <c r="E153" s="33">
        <f>+E144-E145+E146-E147+E148+E149-E150+E151+E152</f>
        <v>17444341.868628874</v>
      </c>
      <c r="F153" s="9"/>
      <c r="G153" s="9"/>
      <c r="H153" s="9"/>
      <c r="I153" s="9"/>
      <c r="J153" s="33">
        <f>+J144-J145+J146-J147+J148+J149-J150+J151+J152</f>
        <v>17444341.868628874</v>
      </c>
      <c r="K153" s="9"/>
      <c r="L153" s="9"/>
      <c r="M153" s="9"/>
    </row>
    <row r="154" spans="1:15">
      <c r="A154" s="20"/>
      <c r="D154" s="9"/>
      <c r="E154" s="40"/>
      <c r="F154" s="9"/>
      <c r="G154" s="9"/>
      <c r="H154" s="9"/>
      <c r="I154" s="9"/>
      <c r="J154" s="40"/>
      <c r="K154" s="9"/>
      <c r="L154" s="9"/>
      <c r="M154" s="9"/>
    </row>
    <row r="155" spans="1:15">
      <c r="A155" s="20">
        <f>+A153+1</f>
        <v>46</v>
      </c>
      <c r="C155" s="15" t="s">
        <v>119</v>
      </c>
      <c r="D155" s="9"/>
      <c r="E155" s="33"/>
      <c r="F155" s="9"/>
      <c r="G155" s="9"/>
      <c r="H155" s="9"/>
      <c r="I155" s="9"/>
      <c r="J155" s="33"/>
      <c r="K155" s="9"/>
      <c r="L155" s="9"/>
      <c r="M155" s="9"/>
    </row>
    <row r="156" spans="1:15">
      <c r="A156" s="20">
        <f>+A155+1</f>
        <v>47</v>
      </c>
      <c r="C156" s="15" t="str">
        <f>+C144</f>
        <v xml:space="preserve">  Transmission </v>
      </c>
      <c r="D156" s="9" t="s">
        <v>120</v>
      </c>
      <c r="E156" s="118">
        <f>'2 - Cost Support '!F105-'2 - Cost Support '!F93</f>
        <v>5848657.033192914</v>
      </c>
      <c r="F156" s="9"/>
      <c r="G156" s="9" t="s">
        <v>59</v>
      </c>
      <c r="H156" s="32">
        <f>+J$216</f>
        <v>1</v>
      </c>
      <c r="I156" s="9"/>
      <c r="J156" s="40">
        <f>+H156*E156</f>
        <v>5848657.033192914</v>
      </c>
      <c r="K156" s="9"/>
      <c r="L156" s="9"/>
      <c r="M156" s="9"/>
    </row>
    <row r="157" spans="1:15">
      <c r="A157" s="20">
        <f>+A156+1</f>
        <v>48</v>
      </c>
      <c r="C157" s="15" t="s">
        <v>121</v>
      </c>
      <c r="D157" s="9" t="s">
        <v>122</v>
      </c>
      <c r="E157" s="118">
        <f>('2 - Cost Support '!F153-'2 - Cost Support '!F141)+('2 - Cost Support '!F137-'2 - Cost Support '!F125)</f>
        <v>1369545.7268070842</v>
      </c>
      <c r="F157" s="9"/>
      <c r="G157" s="9" t="s">
        <v>64</v>
      </c>
      <c r="H157" s="32">
        <f>+$J$224</f>
        <v>1</v>
      </c>
      <c r="I157" s="9"/>
      <c r="J157" s="40">
        <f>+H157*E157</f>
        <v>1369545.7268070842</v>
      </c>
      <c r="K157" s="9"/>
      <c r="L157" s="9"/>
      <c r="M157" s="9"/>
    </row>
    <row r="158" spans="1:15">
      <c r="A158" s="20">
        <f>+A157+1</f>
        <v>49</v>
      </c>
      <c r="C158" s="98" t="s">
        <v>123</v>
      </c>
      <c r="D158" s="93" t="s">
        <v>124</v>
      </c>
      <c r="E158" s="94">
        <f>+'3 - Cost Support'!H9</f>
        <v>0</v>
      </c>
      <c r="F158" s="93"/>
      <c r="G158" s="93" t="s">
        <v>42</v>
      </c>
      <c r="H158" s="95">
        <v>1</v>
      </c>
      <c r="I158" s="93"/>
      <c r="J158" s="119">
        <f>+H158*E158</f>
        <v>0</v>
      </c>
      <c r="K158" s="9"/>
      <c r="L158" s="9"/>
      <c r="M158" s="9"/>
    </row>
    <row r="159" spans="1:15">
      <c r="A159" s="20">
        <f>+A158+1</f>
        <v>50</v>
      </c>
      <c r="C159" s="97" t="str">
        <f>"TOTAL DEPRECIATION (Sum lines "&amp;A156&amp;"-"&amp;A158&amp;")"</f>
        <v>TOTAL DEPRECIATION (Sum lines 47-49)</v>
      </c>
      <c r="D159" s="9"/>
      <c r="E159" s="118">
        <f>SUM(E156:E158)</f>
        <v>7218202.7599999979</v>
      </c>
      <c r="F159" s="9"/>
      <c r="G159" s="9"/>
      <c r="H159" s="32"/>
      <c r="I159" s="9"/>
      <c r="J159" s="33">
        <f>SUM(J156:J158)</f>
        <v>7218202.7599999979</v>
      </c>
      <c r="K159" s="9"/>
      <c r="L159" s="9"/>
      <c r="O159" s="50"/>
    </row>
    <row r="160" spans="1:15">
      <c r="A160" s="20"/>
      <c r="C160" s="15"/>
      <c r="D160" s="9"/>
      <c r="E160" s="33"/>
      <c r="F160" s="9"/>
      <c r="G160" s="9"/>
      <c r="H160" s="32"/>
      <c r="I160" s="9"/>
      <c r="J160" s="33"/>
      <c r="K160" s="9"/>
      <c r="L160" s="9"/>
    </row>
    <row r="161" spans="1:15">
      <c r="A161" s="20">
        <f>+A159+1</f>
        <v>51</v>
      </c>
      <c r="C161" s="15" t="str">
        <f>"TAXES OTHER THAN INCOME TAXES  (Note "&amp;A279&amp;")"</f>
        <v>TAXES OTHER THAN INCOME TAXES  (Note E)</v>
      </c>
      <c r="D161" s="15"/>
      <c r="E161" s="33"/>
      <c r="F161" s="9"/>
      <c r="G161" s="9"/>
      <c r="H161" s="32"/>
      <c r="I161" s="9"/>
      <c r="J161" s="33"/>
      <c r="K161" s="9"/>
      <c r="L161" s="9"/>
    </row>
    <row r="162" spans="1:15">
      <c r="A162" s="20">
        <f t="shared" ref="A162:A168" si="5">+A161+1</f>
        <v>52</v>
      </c>
      <c r="C162" s="15" t="s">
        <v>125</v>
      </c>
      <c r="D162" s="15"/>
      <c r="E162" s="33"/>
      <c r="F162" s="9"/>
      <c r="G162" s="9"/>
      <c r="H162" s="32"/>
      <c r="I162" s="9"/>
      <c r="J162" s="33"/>
      <c r="K162" s="9"/>
      <c r="L162" s="9"/>
    </row>
    <row r="163" spans="1:15">
      <c r="A163" s="20">
        <f t="shared" si="5"/>
        <v>53</v>
      </c>
      <c r="C163" s="15" t="s">
        <v>126</v>
      </c>
      <c r="D163" s="1151" t="s">
        <v>127</v>
      </c>
      <c r="E163" s="115">
        <v>0</v>
      </c>
      <c r="F163" s="9"/>
      <c r="G163" s="9" t="s">
        <v>64</v>
      </c>
      <c r="H163" s="32">
        <f>+J$224</f>
        <v>1</v>
      </c>
      <c r="I163" s="9"/>
      <c r="J163" s="40">
        <f>+H163*E163</f>
        <v>0</v>
      </c>
      <c r="K163" s="9"/>
      <c r="L163" s="9"/>
    </row>
    <row r="164" spans="1:15">
      <c r="A164" s="20">
        <f t="shared" si="5"/>
        <v>54</v>
      </c>
      <c r="C164" s="15" t="s">
        <v>128</v>
      </c>
      <c r="D164" s="1151" t="s">
        <v>127</v>
      </c>
      <c r="E164" s="115">
        <v>0</v>
      </c>
      <c r="F164" s="9"/>
      <c r="G164" s="9" t="str">
        <f>+G163</f>
        <v>W/S</v>
      </c>
      <c r="H164" s="32">
        <f>+J$224</f>
        <v>1</v>
      </c>
      <c r="I164" s="9"/>
      <c r="J164" s="40">
        <f>+H164*E164</f>
        <v>0</v>
      </c>
      <c r="K164" s="9"/>
      <c r="L164" s="9"/>
    </row>
    <row r="165" spans="1:15">
      <c r="A165" s="20">
        <f t="shared" si="5"/>
        <v>55</v>
      </c>
      <c r="C165" s="15" t="s">
        <v>129</v>
      </c>
      <c r="D165" s="1065" t="s">
        <v>24</v>
      </c>
      <c r="E165" s="33"/>
      <c r="F165" s="9"/>
      <c r="G165" s="9"/>
      <c r="H165" s="32"/>
      <c r="I165" s="9"/>
      <c r="J165" s="33"/>
      <c r="K165" s="9"/>
      <c r="L165" s="9"/>
    </row>
    <row r="166" spans="1:15">
      <c r="A166" s="20">
        <f t="shared" si="5"/>
        <v>56</v>
      </c>
      <c r="C166" s="15" t="s">
        <v>130</v>
      </c>
      <c r="D166" s="1151" t="s">
        <v>127</v>
      </c>
      <c r="E166" s="118">
        <v>3665922</v>
      </c>
      <c r="F166" s="9"/>
      <c r="G166" s="9" t="s">
        <v>98</v>
      </c>
      <c r="H166" s="89">
        <f>+H$83</f>
        <v>1</v>
      </c>
      <c r="I166" s="9"/>
      <c r="J166" s="40">
        <f>+H166*E166</f>
        <v>3665922</v>
      </c>
      <c r="K166" s="9"/>
      <c r="L166" s="9"/>
    </row>
    <row r="167" spans="1:15">
      <c r="A167" s="20">
        <f t="shared" si="5"/>
        <v>57</v>
      </c>
      <c r="C167" s="15" t="s">
        <v>131</v>
      </c>
      <c r="D167" s="1151" t="s">
        <v>127</v>
      </c>
      <c r="E167" s="118">
        <v>0</v>
      </c>
      <c r="F167" s="9"/>
      <c r="G167" s="9" t="s">
        <v>56</v>
      </c>
      <c r="H167" s="120">
        <v>0</v>
      </c>
      <c r="I167" s="9"/>
      <c r="J167" s="40">
        <f>+H167*E167</f>
        <v>0</v>
      </c>
      <c r="K167" s="9"/>
      <c r="L167" s="9"/>
    </row>
    <row r="168" spans="1:15">
      <c r="A168" s="20">
        <f t="shared" si="5"/>
        <v>58</v>
      </c>
      <c r="C168" s="15" t="s">
        <v>132</v>
      </c>
      <c r="D168" s="1151" t="s">
        <v>127</v>
      </c>
      <c r="E168" s="118">
        <v>0</v>
      </c>
      <c r="F168" s="9"/>
      <c r="G168" s="9" t="str">
        <f>+G166</f>
        <v>GP</v>
      </c>
      <c r="H168" s="89">
        <f>+H$83</f>
        <v>1</v>
      </c>
      <c r="I168" s="9"/>
      <c r="J168" s="40">
        <f>+H168*E168</f>
        <v>0</v>
      </c>
      <c r="K168" s="9"/>
      <c r="L168" s="9"/>
    </row>
    <row r="169" spans="1:15">
      <c r="A169" s="20">
        <f>+A168+1</f>
        <v>59</v>
      </c>
      <c r="C169" s="15" t="str">
        <f>"TOTAL OTHER TAXES  (sum lines "&amp;A163&amp;"-"&amp;A168&amp;")"</f>
        <v>TOTAL OTHER TAXES  (sum lines 53-58)</v>
      </c>
      <c r="D169" s="9"/>
      <c r="E169" s="33">
        <f>SUM(E163:E168)</f>
        <v>3665922</v>
      </c>
      <c r="F169" s="9"/>
      <c r="G169" s="9"/>
      <c r="H169" s="32"/>
      <c r="I169" s="9"/>
      <c r="J169" s="33">
        <f>SUM(J163:J168)</f>
        <v>3665922</v>
      </c>
      <c r="K169" s="9"/>
      <c r="L169" s="9"/>
      <c r="M169" s="66"/>
      <c r="N169" s="9"/>
      <c r="O169" s="50"/>
    </row>
    <row r="170" spans="1:15">
      <c r="A170" s="20"/>
      <c r="C170" s="15"/>
      <c r="D170" s="9"/>
      <c r="E170" s="9"/>
      <c r="F170" s="9"/>
      <c r="G170" s="9"/>
      <c r="H170" s="32"/>
      <c r="I170" s="9"/>
      <c r="J170" s="33"/>
      <c r="K170" s="9"/>
      <c r="L170" s="9"/>
    </row>
    <row r="171" spans="1:15">
      <c r="A171" s="20">
        <f>+A169+1</f>
        <v>60</v>
      </c>
      <c r="C171" s="15" t="s">
        <v>133</v>
      </c>
      <c r="D171" s="9" t="str">
        <f>" (Note "&amp;A282&amp;")"</f>
        <v xml:space="preserve"> (Note F)</v>
      </c>
      <c r="E171" s="9"/>
      <c r="F171" s="9"/>
      <c r="H171" s="85"/>
      <c r="I171" s="9"/>
      <c r="J171" s="40"/>
      <c r="K171" s="9"/>
      <c r="L171" s="9"/>
    </row>
    <row r="172" spans="1:15">
      <c r="A172" s="20">
        <f t="shared" ref="A172:A180" si="6">+A171+1</f>
        <v>61</v>
      </c>
      <c r="C172" s="121" t="s">
        <v>134</v>
      </c>
      <c r="D172" s="9"/>
      <c r="E172" s="120">
        <f>IF(E289&gt;0,1-(((1-E290)*(1-E289))/(1-E290*E289*E291)),0)</f>
        <v>0.26134999999999997</v>
      </c>
      <c r="F172" s="9"/>
      <c r="H172" s="122"/>
      <c r="I172" s="46"/>
      <c r="J172" s="40"/>
      <c r="K172" s="9"/>
      <c r="L172" s="123"/>
      <c r="M172" s="124"/>
      <c r="O172" s="1105"/>
    </row>
    <row r="173" spans="1:15">
      <c r="A173" s="20">
        <f t="shared" si="6"/>
        <v>62</v>
      </c>
      <c r="C173" s="5" t="s">
        <v>135</v>
      </c>
      <c r="D173" s="9"/>
      <c r="E173" s="120">
        <f>IF(K232&gt;0,(E172/(1-E172))*(1-K229/K232),0)</f>
        <v>0.21211270412469274</v>
      </c>
      <c r="F173" s="9"/>
      <c r="H173" s="122"/>
      <c r="I173" s="46"/>
      <c r="J173" s="40"/>
      <c r="K173" s="9"/>
      <c r="L173" s="123"/>
      <c r="M173" s="50"/>
      <c r="N173" s="1105"/>
    </row>
    <row r="174" spans="1:15">
      <c r="A174" s="20">
        <f t="shared" si="6"/>
        <v>63</v>
      </c>
      <c r="C174" s="15" t="str">
        <f>"       where WCLTD=(line "&amp;A229&amp;") and R= (line "&amp;A232&amp;")"</f>
        <v xml:space="preserve">       where WCLTD=(line 92) and R= (line 95)</v>
      </c>
      <c r="D174" s="9"/>
      <c r="E174" s="9"/>
      <c r="F174" s="9"/>
      <c r="H174" s="122"/>
      <c r="I174" s="46"/>
      <c r="J174" s="40"/>
      <c r="K174" s="9"/>
      <c r="L174" s="123"/>
      <c r="N174" s="1105"/>
    </row>
    <row r="175" spans="1:15">
      <c r="A175" s="20">
        <f t="shared" si="6"/>
        <v>64</v>
      </c>
      <c r="C175" s="15" t="str">
        <f>"       and FIT, SIT, p, &amp; n are as given in footnote "&amp;A282&amp;"."</f>
        <v xml:space="preserve">       and FIT, SIT, p, &amp; n are as given in footnote F.</v>
      </c>
      <c r="D175" s="9"/>
      <c r="E175" s="9"/>
      <c r="F175" s="9"/>
      <c r="H175" s="122"/>
      <c r="I175" s="46"/>
      <c r="J175" s="40"/>
      <c r="K175" s="9"/>
      <c r="L175" s="123"/>
      <c r="N175" s="1105"/>
    </row>
    <row r="176" spans="1:15">
      <c r="A176" s="20">
        <f t="shared" si="6"/>
        <v>65</v>
      </c>
      <c r="C176" s="121" t="str">
        <f>"      1 / (1 - T)  = (T from line "&amp;A172&amp;")"</f>
        <v xml:space="preserve">      1 / (1 - T)  = (T from line 61)</v>
      </c>
      <c r="D176" s="9"/>
      <c r="E176" s="120">
        <f>IF(E172&gt;0,1/(1-E172),0)</f>
        <v>1.3538211602247343</v>
      </c>
      <c r="F176" s="9"/>
      <c r="H176" s="122"/>
      <c r="I176" s="46"/>
      <c r="J176" s="40"/>
      <c r="K176" s="9"/>
      <c r="L176" s="9"/>
      <c r="M176" s="124"/>
    </row>
    <row r="177" spans="1:15">
      <c r="A177" s="20">
        <f t="shared" si="6"/>
        <v>66</v>
      </c>
      <c r="C177" s="15" t="s">
        <v>136</v>
      </c>
      <c r="D177" s="9"/>
      <c r="E177" s="115">
        <v>0</v>
      </c>
      <c r="F177" s="9"/>
      <c r="H177" s="122"/>
      <c r="I177" s="9"/>
      <c r="J177" s="40"/>
      <c r="K177" s="9"/>
      <c r="L177" s="9"/>
    </row>
    <row r="178" spans="1:15">
      <c r="A178" s="20">
        <f t="shared" si="6"/>
        <v>67</v>
      </c>
      <c r="C178" s="125" t="s">
        <v>137</v>
      </c>
      <c r="D178" s="9" t="s">
        <v>138</v>
      </c>
      <c r="E178" s="38">
        <f>+'3 - Cost Support'!M76*'Appendix A'!E176</f>
        <v>136685.71386989779</v>
      </c>
      <c r="F178" s="9"/>
      <c r="G178" s="15" t="s">
        <v>80</v>
      </c>
      <c r="H178" s="126">
        <f>H180</f>
        <v>1</v>
      </c>
      <c r="I178" s="9"/>
      <c r="J178" s="33">
        <f>+E178*H178</f>
        <v>136685.71386989779</v>
      </c>
      <c r="K178" s="9"/>
      <c r="L178" s="9"/>
    </row>
    <row r="179" spans="1:15">
      <c r="A179" s="20">
        <f t="shared" si="6"/>
        <v>68</v>
      </c>
      <c r="C179" s="121" t="s">
        <v>139</v>
      </c>
      <c r="D179" s="127"/>
      <c r="E179" s="128">
        <f>+E173*E184</f>
        <v>4233061.0299462816</v>
      </c>
      <c r="F179" s="9"/>
      <c r="G179" s="9"/>
      <c r="H179" s="39"/>
      <c r="I179" s="9"/>
      <c r="J179" s="128">
        <f>+E173*J184</f>
        <v>4233061.0299462816</v>
      </c>
      <c r="K179" s="9"/>
      <c r="L179" s="9"/>
    </row>
    <row r="180" spans="1:15">
      <c r="A180" s="20">
        <f t="shared" si="6"/>
        <v>69</v>
      </c>
      <c r="C180" s="129" t="s">
        <v>140</v>
      </c>
      <c r="D180" s="130"/>
      <c r="E180" s="96">
        <f>+$E$176*E177</f>
        <v>0</v>
      </c>
      <c r="F180" s="93"/>
      <c r="G180" s="129" t="s">
        <v>80</v>
      </c>
      <c r="H180" s="99">
        <f>+H$97</f>
        <v>1</v>
      </c>
      <c r="I180" s="93"/>
      <c r="J180" s="96">
        <f>+H180*E180</f>
        <v>0</v>
      </c>
      <c r="K180" s="9"/>
      <c r="L180" s="9"/>
    </row>
    <row r="181" spans="1:15">
      <c r="A181" s="20">
        <f>A180+1</f>
        <v>70</v>
      </c>
      <c r="C181" s="131" t="s">
        <v>141</v>
      </c>
      <c r="D181" s="5" t="str">
        <f>"(Sum lines "&amp;A178&amp;" to "&amp;A180&amp;")"</f>
        <v>(Sum lines 67 to 69)</v>
      </c>
      <c r="E181" s="132">
        <f>+E180+E179+E178</f>
        <v>4369746.7438161792</v>
      </c>
      <c r="F181" s="9"/>
      <c r="G181" s="9" t="s">
        <v>24</v>
      </c>
      <c r="H181" s="39" t="s">
        <v>24</v>
      </c>
      <c r="I181" s="9"/>
      <c r="J181" s="132">
        <f>+J180+J179+J178</f>
        <v>4369746.7438161792</v>
      </c>
      <c r="K181" s="9"/>
      <c r="L181" s="133"/>
    </row>
    <row r="182" spans="1:15">
      <c r="A182" s="20"/>
      <c r="D182" s="133"/>
      <c r="E182" s="33"/>
      <c r="F182" s="9"/>
      <c r="G182" s="9"/>
      <c r="H182" s="39"/>
      <c r="I182" s="9"/>
      <c r="J182" s="33"/>
      <c r="K182" s="9"/>
      <c r="L182" s="133"/>
    </row>
    <row r="183" spans="1:15">
      <c r="A183" s="20">
        <f>+A181+1</f>
        <v>71</v>
      </c>
      <c r="C183" s="15" t="s">
        <v>142</v>
      </c>
      <c r="D183" s="86"/>
      <c r="E183" s="40"/>
      <c r="H183" s="122"/>
      <c r="I183" s="9"/>
      <c r="K183" s="9"/>
      <c r="L183" s="133"/>
    </row>
    <row r="184" spans="1:15">
      <c r="A184" s="20">
        <f>+A183+1</f>
        <v>72</v>
      </c>
      <c r="C184" s="131" t="str">
        <f>" [ Rate Base (line "&amp;A117&amp;") * Rate of Return (line "&amp;A232&amp;")]"</f>
        <v xml:space="preserve"> [ Rate Base (line 37) * Rate of Return (line 95)]</v>
      </c>
      <c r="D184" s="15"/>
      <c r="E184" s="33">
        <f>+K232*E117</f>
        <v>19956659.585358124</v>
      </c>
      <c r="F184" s="9"/>
      <c r="G184" s="9" t="s">
        <v>56</v>
      </c>
      <c r="H184" s="122"/>
      <c r="I184" s="9"/>
      <c r="J184" s="33">
        <f>+J117*K232</f>
        <v>19956659.585358124</v>
      </c>
      <c r="K184" s="9"/>
      <c r="L184" s="133"/>
    </row>
    <row r="185" spans="1:15">
      <c r="A185" s="20"/>
      <c r="C185" s="15"/>
      <c r="D185" s="15"/>
      <c r="E185" s="9"/>
      <c r="F185" s="9"/>
      <c r="G185" s="9"/>
      <c r="H185" s="122"/>
      <c r="I185" s="9"/>
      <c r="J185" s="134"/>
      <c r="K185" s="9"/>
      <c r="L185" s="133"/>
    </row>
    <row r="186" spans="1:15">
      <c r="A186" s="20">
        <f>+A184+1</f>
        <v>73</v>
      </c>
      <c r="C186" s="15" t="str">
        <f>"Rev Requirement before Incentive Projects  (sum lines "&amp;A153&amp;", "&amp;A159&amp;", "&amp;A169&amp;", "&amp;A181&amp;", "&amp;A184&amp;")"</f>
        <v>Rev Requirement before Incentive Projects  (sum lines 45, 50, 59, 70, 72)</v>
      </c>
      <c r="D186" s="15"/>
      <c r="E186" s="134">
        <f>+E153+E159+E169+E181+E184</f>
        <v>52654872.957803175</v>
      </c>
      <c r="F186" s="51"/>
      <c r="G186" s="51"/>
      <c r="H186" s="135"/>
      <c r="I186" s="51"/>
      <c r="J186" s="134">
        <f>+J153+J159+J169+J181+J184</f>
        <v>52654872.957803175</v>
      </c>
      <c r="L186" s="133"/>
      <c r="N186" s="9"/>
      <c r="O186" s="50"/>
    </row>
    <row r="187" spans="1:15">
      <c r="A187" s="20"/>
      <c r="C187" s="15"/>
      <c r="D187" s="15"/>
      <c r="E187" s="136"/>
      <c r="F187" s="9"/>
      <c r="G187" s="9"/>
      <c r="H187" s="122"/>
      <c r="I187" s="9"/>
      <c r="J187" s="134"/>
      <c r="K187" s="9"/>
      <c r="L187" s="133"/>
      <c r="M187" s="9"/>
    </row>
    <row r="188" spans="1:15">
      <c r="A188" s="20">
        <f>+A186+1</f>
        <v>74</v>
      </c>
      <c r="C188" s="15" t="s">
        <v>143</v>
      </c>
      <c r="D188" s="15"/>
      <c r="E188" s="90">
        <f>+'4 - Incentives'!I136+'4 - Incentives'!K136-'4 - Incentives'!Q136</f>
        <v>655228.16488147597</v>
      </c>
      <c r="F188" s="9"/>
      <c r="G188" s="9" t="s">
        <v>42</v>
      </c>
      <c r="H188" s="32">
        <v>1</v>
      </c>
      <c r="I188" s="9"/>
      <c r="J188" s="134">
        <f>+H188*E188</f>
        <v>655228.16488147597</v>
      </c>
      <c r="K188" s="9"/>
      <c r="L188" s="9"/>
      <c r="M188" s="9"/>
    </row>
    <row r="189" spans="1:15">
      <c r="A189" s="20"/>
      <c r="C189" s="15" t="s">
        <v>144</v>
      </c>
      <c r="D189" s="15"/>
      <c r="E189" s="90"/>
      <c r="F189" s="9"/>
      <c r="G189" s="9"/>
      <c r="H189" s="32"/>
      <c r="I189" s="9"/>
      <c r="J189" s="134"/>
      <c r="K189" s="9"/>
      <c r="L189" s="9"/>
      <c r="M189" s="9"/>
    </row>
    <row r="190" spans="1:15">
      <c r="A190" s="20"/>
      <c r="C190" s="15"/>
      <c r="D190" s="15"/>
      <c r="E190" s="9"/>
      <c r="F190" s="9"/>
      <c r="G190" s="9"/>
      <c r="H190" s="122"/>
      <c r="I190" s="9"/>
      <c r="J190" s="134"/>
      <c r="K190" s="9"/>
      <c r="L190" s="9"/>
      <c r="M190" s="9"/>
    </row>
    <row r="191" spans="1:15" ht="15.6" thickBot="1">
      <c r="A191" s="20">
        <f>+A188+1</f>
        <v>75</v>
      </c>
      <c r="C191" s="15" t="str">
        <f>"Total Revenue Requirement  (sum lines "&amp;A186&amp;" &amp; "&amp;A188&amp;")"</f>
        <v>Total Revenue Requirement  (sum lines 73 &amp; 74)</v>
      </c>
      <c r="D191" s="9"/>
      <c r="E191" s="101">
        <f>+E184+E181+E169+E159+E153+E188</f>
        <v>53310101.12268465</v>
      </c>
      <c r="F191" s="9"/>
      <c r="G191" s="9"/>
      <c r="H191" s="9"/>
      <c r="I191" s="9"/>
      <c r="J191" s="101">
        <f>+J184+J181+J169+J159+J153+J188</f>
        <v>53310101.12268465</v>
      </c>
      <c r="K191" s="9"/>
      <c r="L191" s="137"/>
      <c r="M191" s="9"/>
    </row>
    <row r="192" spans="1:15" ht="15.6" thickTop="1">
      <c r="A192" s="20"/>
      <c r="C192" s="138"/>
      <c r="D192" s="138"/>
      <c r="E192" s="138"/>
      <c r="F192" s="138"/>
      <c r="G192" s="138"/>
      <c r="H192" s="138"/>
      <c r="I192" s="138"/>
      <c r="J192" s="138"/>
      <c r="K192" s="138"/>
      <c r="L192" s="138"/>
      <c r="M192" s="138"/>
    </row>
    <row r="193" spans="1:13">
      <c r="A193" s="20"/>
      <c r="C193" s="15"/>
      <c r="D193" s="138"/>
      <c r="E193" s="138"/>
      <c r="F193" s="138"/>
      <c r="G193" s="138"/>
      <c r="H193" s="138"/>
      <c r="I193" s="138"/>
      <c r="J193" s="138"/>
      <c r="K193" s="138"/>
      <c r="L193" s="138"/>
      <c r="M193" s="138"/>
    </row>
    <row r="194" spans="1:13">
      <c r="A194" s="20"/>
      <c r="C194" s="102"/>
      <c r="D194" s="138"/>
      <c r="E194" s="138"/>
      <c r="F194" s="138"/>
      <c r="G194" s="138"/>
      <c r="H194" s="138"/>
      <c r="I194" s="138"/>
      <c r="J194" s="138"/>
      <c r="K194" s="138"/>
      <c r="L194" s="138"/>
      <c r="M194" s="138"/>
    </row>
    <row r="195" spans="1:13">
      <c r="A195" s="20"/>
      <c r="C195" s="97"/>
      <c r="D195" s="138"/>
      <c r="E195" s="138"/>
      <c r="F195" s="138"/>
      <c r="G195" s="138"/>
      <c r="H195" s="138"/>
      <c r="I195" s="138"/>
      <c r="J195" s="138"/>
      <c r="K195" s="138"/>
      <c r="L195" s="138"/>
      <c r="M195" s="138"/>
    </row>
    <row r="196" spans="1:13">
      <c r="A196" s="20"/>
      <c r="C196" s="102"/>
      <c r="D196" s="138"/>
      <c r="E196" s="138"/>
      <c r="F196" s="138"/>
      <c r="G196" s="138"/>
      <c r="H196" s="138"/>
      <c r="I196" s="138"/>
      <c r="J196" s="138"/>
      <c r="K196" s="138"/>
      <c r="L196" s="138"/>
      <c r="M196" s="138"/>
    </row>
    <row r="197" spans="1:13">
      <c r="A197" s="20"/>
      <c r="C197" s="15"/>
      <c r="D197" s="138"/>
      <c r="E197" s="138"/>
      <c r="F197" s="138"/>
      <c r="G197" s="138"/>
      <c r="H197" s="138"/>
      <c r="I197" s="138"/>
      <c r="J197" s="138"/>
      <c r="K197" s="138"/>
      <c r="L197" s="138"/>
      <c r="M197" s="138"/>
    </row>
    <row r="198" spans="1:13">
      <c r="A198" s="20"/>
      <c r="C198" s="2"/>
      <c r="D198" s="2"/>
      <c r="E198" s="3"/>
      <c r="F198" s="2"/>
      <c r="G198" s="2"/>
      <c r="H198" s="2"/>
      <c r="I198" s="2"/>
      <c r="J198" s="2"/>
      <c r="K198" s="24"/>
      <c r="L198" s="24"/>
      <c r="M198" s="4"/>
    </row>
    <row r="199" spans="1:13">
      <c r="A199" s="20"/>
      <c r="C199" s="2"/>
      <c r="D199" s="2"/>
      <c r="E199" s="3"/>
      <c r="F199" s="2"/>
      <c r="G199" s="2"/>
      <c r="H199" s="2"/>
      <c r="I199" s="2"/>
      <c r="J199" s="4"/>
      <c r="K199" s="4"/>
      <c r="L199" s="4"/>
      <c r="M199" s="4" t="s">
        <v>3</v>
      </c>
    </row>
    <row r="200" spans="1:13">
      <c r="A200" s="20"/>
      <c r="C200" s="2"/>
      <c r="D200" s="2"/>
      <c r="E200" s="3"/>
      <c r="F200" s="2"/>
      <c r="G200" s="2"/>
      <c r="H200" s="2"/>
      <c r="I200" s="2"/>
      <c r="J200" s="7"/>
      <c r="K200" s="7"/>
      <c r="L200" s="7"/>
      <c r="M200" s="7" t="s">
        <v>145</v>
      </c>
    </row>
    <row r="201" spans="1:13">
      <c r="A201" s="20"/>
      <c r="C201" s="2"/>
      <c r="D201" s="2"/>
      <c r="E201" s="3"/>
      <c r="F201" s="2"/>
      <c r="G201" s="2"/>
      <c r="H201" s="2"/>
      <c r="I201" s="2"/>
      <c r="J201" s="2"/>
      <c r="K201" s="15"/>
      <c r="L201" s="7"/>
      <c r="M201" s="7"/>
    </row>
    <row r="202" spans="1:13">
      <c r="A202" s="20"/>
      <c r="C202" s="2"/>
      <c r="D202" s="2"/>
      <c r="E202" s="3"/>
      <c r="F202" s="2"/>
      <c r="G202" s="2"/>
      <c r="H202" s="2"/>
      <c r="I202" s="2"/>
      <c r="J202" s="2"/>
      <c r="K202" s="15"/>
      <c r="L202" s="7"/>
    </row>
    <row r="203" spans="1:13">
      <c r="A203" s="20"/>
      <c r="C203" s="2" t="s">
        <v>22</v>
      </c>
      <c r="D203" s="1"/>
      <c r="E203" s="24" t="s">
        <v>146</v>
      </c>
      <c r="F203" s="2"/>
      <c r="G203" s="2"/>
      <c r="H203" s="2"/>
      <c r="I203" s="2"/>
      <c r="K203" s="15"/>
      <c r="L203" s="15"/>
    </row>
    <row r="204" spans="1:13">
      <c r="A204" s="20"/>
      <c r="C204" s="2"/>
      <c r="D204" s="9"/>
      <c r="E204" s="10" t="s">
        <v>25</v>
      </c>
      <c r="F204" s="9"/>
      <c r="G204" s="9"/>
      <c r="H204" s="9"/>
      <c r="I204" s="2"/>
      <c r="J204" s="2"/>
      <c r="K204" s="15"/>
      <c r="L204" s="15"/>
    </row>
    <row r="205" spans="1:13">
      <c r="A205" s="20"/>
      <c r="C205" s="15"/>
      <c r="D205" s="15"/>
      <c r="E205" s="15"/>
      <c r="F205" s="15"/>
      <c r="G205" s="15"/>
      <c r="H205" s="15"/>
      <c r="I205" s="15"/>
      <c r="J205" s="15"/>
      <c r="K205" s="71"/>
      <c r="L205" s="17"/>
      <c r="M205" s="18" t="str">
        <f>+M136</f>
        <v>For the 12 months ended 12/31/2025</v>
      </c>
    </row>
    <row r="206" spans="1:13" ht="15.6">
      <c r="A206" s="20"/>
      <c r="D206" s="15"/>
      <c r="E206" s="77" t="str">
        <f>E9</f>
        <v>NextEra Energy Transmission New York, Inc.</v>
      </c>
      <c r="F206" s="15"/>
      <c r="G206" s="15"/>
      <c r="H206" s="15"/>
      <c r="I206" s="15"/>
      <c r="J206" s="15"/>
      <c r="K206" s="9"/>
      <c r="M206" s="73"/>
    </row>
    <row r="207" spans="1:13" ht="15.6">
      <c r="A207" s="20"/>
      <c r="C207" s="15"/>
      <c r="E207" s="77" t="s">
        <v>147</v>
      </c>
      <c r="F207" s="15"/>
      <c r="G207" s="15"/>
      <c r="H207" s="15"/>
      <c r="I207" s="15"/>
      <c r="J207" s="15"/>
      <c r="K207" s="9"/>
      <c r="L207" s="9"/>
    </row>
    <row r="208" spans="1:13" ht="15.6">
      <c r="A208" s="20"/>
      <c r="C208" s="80"/>
      <c r="D208" s="15"/>
      <c r="E208" s="15"/>
      <c r="F208" s="15"/>
      <c r="G208" s="15"/>
      <c r="H208" s="15"/>
      <c r="I208" s="15"/>
      <c r="J208" s="15"/>
      <c r="K208" s="9"/>
      <c r="L208" s="9"/>
    </row>
    <row r="209" spans="1:13">
      <c r="A209" s="20">
        <f>+A191+1</f>
        <v>76</v>
      </c>
      <c r="C209" s="2" t="s">
        <v>148</v>
      </c>
      <c r="D209" s="15"/>
      <c r="E209" s="15"/>
      <c r="F209" s="15"/>
      <c r="G209" s="15"/>
      <c r="H209" s="15"/>
      <c r="J209" s="6"/>
      <c r="K209" s="84"/>
      <c r="L209" s="84"/>
      <c r="M209" s="6"/>
    </row>
    <row r="210" spans="1:13">
      <c r="A210" s="20"/>
      <c r="C210" s="2"/>
      <c r="D210" s="15"/>
      <c r="E210" s="15"/>
      <c r="F210" s="15"/>
      <c r="G210" s="15"/>
      <c r="H210" s="15"/>
      <c r="I210" s="15"/>
      <c r="J210" s="84"/>
      <c r="K210" s="84"/>
      <c r="L210" s="84"/>
      <c r="M210" s="139"/>
    </row>
    <row r="211" spans="1:13">
      <c r="A211" s="20">
        <f>+A209+1</f>
        <v>77</v>
      </c>
      <c r="C211" s="2" t="str">
        <f>"Total transmission plant    (line "&amp;A80&amp;", column 3)"</f>
        <v>Total transmission plant    (line 7, column 3)</v>
      </c>
      <c r="D211" s="15"/>
      <c r="E211" s="9"/>
      <c r="F211" s="9"/>
      <c r="G211" s="9"/>
      <c r="H211" s="9"/>
      <c r="I211" s="9"/>
      <c r="J211" s="31">
        <f>+E80</f>
        <v>214958828.05986643</v>
      </c>
      <c r="K211" s="9"/>
      <c r="L211" s="9"/>
      <c r="M211" s="9"/>
    </row>
    <row r="212" spans="1:13">
      <c r="A212" s="20">
        <f>+A211+1</f>
        <v>78</v>
      </c>
      <c r="C212" s="2" t="str">
        <f>"Less transmission plant excluded from ISO rates       (Note "&amp;A298&amp;")"</f>
        <v>Less transmission plant excluded from ISO rates       (Note H)</v>
      </c>
      <c r="D212" s="15"/>
      <c r="E212" s="15" t="s">
        <v>149</v>
      </c>
      <c r="F212" s="15"/>
      <c r="G212" s="15"/>
      <c r="H212" s="15"/>
      <c r="I212" s="15"/>
      <c r="J212" s="31">
        <f>+'3 - Cost Support'!G93</f>
        <v>0</v>
      </c>
      <c r="K212" s="9"/>
    </row>
    <row r="213" spans="1:13" ht="15.6" thickBot="1">
      <c r="A213" s="20">
        <f>+A212+1</f>
        <v>79</v>
      </c>
      <c r="C213" s="140" t="str">
        <f>"Less transmission plant included in OATT Ancillary Services    (Note "&amp;A298&amp;")"</f>
        <v>Less transmission plant included in OATT Ancillary Services    (Note H)</v>
      </c>
      <c r="D213" s="141"/>
      <c r="E213" s="15" t="s">
        <v>149</v>
      </c>
      <c r="F213" s="9"/>
      <c r="G213" s="9"/>
      <c r="H213" s="10"/>
      <c r="I213" s="9"/>
      <c r="J213" s="31">
        <f>+'3 - Cost Support'!H93</f>
        <v>0</v>
      </c>
      <c r="K213" s="9"/>
    </row>
    <row r="214" spans="1:13">
      <c r="A214" s="20">
        <f>+A213+1</f>
        <v>80</v>
      </c>
      <c r="C214" s="2" t="str">
        <f>"Transmission plant included in ISO rates  (line "&amp;A211&amp;" less lines "&amp;A212&amp;" &amp; "&amp;A213&amp;")"</f>
        <v>Transmission plant included in ISO rates  (line 77 less lines 78 &amp; 79)</v>
      </c>
      <c r="D214" s="15"/>
      <c r="E214" s="9"/>
      <c r="F214" s="9"/>
      <c r="G214" s="9"/>
      <c r="H214" s="10"/>
      <c r="I214" s="9"/>
      <c r="J214" s="31">
        <f>SUM(J211:J213)</f>
        <v>214958828.05986643</v>
      </c>
      <c r="K214" s="9"/>
    </row>
    <row r="215" spans="1:13">
      <c r="A215" s="20"/>
      <c r="C215" s="15"/>
      <c r="D215" s="15"/>
      <c r="E215" s="9"/>
      <c r="F215" s="9"/>
      <c r="G215" s="9"/>
      <c r="H215" s="10"/>
      <c r="I215" s="9"/>
      <c r="K215" s="9"/>
    </row>
    <row r="216" spans="1:13">
      <c r="A216" s="20">
        <f>+A214+1</f>
        <v>81</v>
      </c>
      <c r="C216" s="2" t="str">
        <f>"Percentage of transmission plant included in ISO Rates (line "&amp;A214&amp;" divided by line "&amp;A211&amp;") [If line "&amp;A211&amp;" equal zero, enter 1)"</f>
        <v>Percentage of transmission plant included in ISO Rates (line 80 divided by line 77) [If line 77 equal zero, enter 1)</v>
      </c>
      <c r="D216" s="22"/>
      <c r="E216" s="22"/>
      <c r="F216" s="22"/>
      <c r="G216" s="22"/>
      <c r="H216" s="45"/>
      <c r="I216" s="9" t="s">
        <v>150</v>
      </c>
      <c r="J216" s="142">
        <f>IF(J211=0,0,J214/J211)</f>
        <v>1</v>
      </c>
      <c r="K216" s="143"/>
    </row>
    <row r="217" spans="1:13">
      <c r="A217" s="20"/>
      <c r="K217" s="9"/>
    </row>
    <row r="218" spans="1:13">
      <c r="A218" s="20">
        <f>+A216+1</f>
        <v>82</v>
      </c>
      <c r="C218" s="15" t="s">
        <v>151</v>
      </c>
      <c r="D218" s="9"/>
      <c r="F218" s="9"/>
      <c r="G218" s="9"/>
      <c r="H218" s="9"/>
      <c r="I218" s="84"/>
      <c r="J218" s="46"/>
    </row>
    <row r="219" spans="1:13" ht="15.6" thickBot="1">
      <c r="A219" s="20">
        <f t="shared" ref="A219:A224" si="7">+A218+1</f>
        <v>83</v>
      </c>
      <c r="C219" s="15"/>
      <c r="D219" s="144" t="s">
        <v>152</v>
      </c>
      <c r="E219" s="145" t="s">
        <v>153</v>
      </c>
      <c r="F219" s="145" t="s">
        <v>59</v>
      </c>
      <c r="G219" s="9"/>
      <c r="H219" s="145" t="s">
        <v>154</v>
      </c>
      <c r="I219" s="9"/>
      <c r="M219" s="46"/>
    </row>
    <row r="220" spans="1:13">
      <c r="A220" s="20">
        <f t="shared" si="7"/>
        <v>84</v>
      </c>
      <c r="C220" s="15" t="s">
        <v>54</v>
      </c>
      <c r="D220" s="9" t="s">
        <v>155</v>
      </c>
      <c r="E220" s="146">
        <v>0</v>
      </c>
      <c r="F220" s="128">
        <v>0</v>
      </c>
      <c r="G220" s="123"/>
      <c r="H220" s="128">
        <f>+F220*E220</f>
        <v>0</v>
      </c>
      <c r="I220" s="9"/>
      <c r="K220" s="9"/>
      <c r="L220" s="9"/>
      <c r="M220" s="46"/>
    </row>
    <row r="221" spans="1:13">
      <c r="A221" s="20">
        <f t="shared" si="7"/>
        <v>85</v>
      </c>
      <c r="C221" s="15" t="s">
        <v>73</v>
      </c>
      <c r="D221" s="9" t="s">
        <v>156</v>
      </c>
      <c r="E221" s="146">
        <v>0</v>
      </c>
      <c r="F221" s="31">
        <f>+J216</f>
        <v>1</v>
      </c>
      <c r="H221" s="128">
        <f>+F221*E221</f>
        <v>0</v>
      </c>
      <c r="I221" s="9"/>
      <c r="K221" s="9"/>
      <c r="L221" s="9"/>
      <c r="M221" s="46"/>
    </row>
    <row r="222" spans="1:13">
      <c r="A222" s="20">
        <f t="shared" si="7"/>
        <v>86</v>
      </c>
      <c r="C222" s="15" t="s">
        <v>60</v>
      </c>
      <c r="D222" s="9" t="s">
        <v>157</v>
      </c>
      <c r="E222" s="146">
        <v>0</v>
      </c>
      <c r="F222" s="128">
        <v>0</v>
      </c>
      <c r="G222" s="123"/>
      <c r="H222" s="128">
        <f>+F222*E222</f>
        <v>0</v>
      </c>
      <c r="I222" s="9"/>
      <c r="J222" s="10" t="s">
        <v>158</v>
      </c>
      <c r="K222" s="9"/>
      <c r="L222" s="9"/>
      <c r="M222" s="46"/>
    </row>
    <row r="223" spans="1:13" ht="15.6" thickBot="1">
      <c r="A223" s="20">
        <f t="shared" si="7"/>
        <v>87</v>
      </c>
      <c r="C223" s="15" t="s">
        <v>159</v>
      </c>
      <c r="D223" s="9" t="s">
        <v>160</v>
      </c>
      <c r="E223" s="147">
        <v>0</v>
      </c>
      <c r="F223" s="128">
        <v>0</v>
      </c>
      <c r="G223" s="123"/>
      <c r="H223" s="148">
        <f>+F223*E223</f>
        <v>0</v>
      </c>
      <c r="I223" s="9"/>
      <c r="J223" s="25" t="s">
        <v>161</v>
      </c>
      <c r="K223" s="9"/>
      <c r="L223" s="9"/>
      <c r="M223" s="46"/>
    </row>
    <row r="224" spans="1:13">
      <c r="A224" s="20">
        <f t="shared" si="7"/>
        <v>88</v>
      </c>
      <c r="C224" s="15" t="str">
        <f>"  Total  (sum lines "&amp;A220&amp;"-"&amp;A223&amp;") [TP equals 1 if there are no wages &amp; salaries]"</f>
        <v xml:space="preserve">  Total  (sum lines 84-87) [TP equals 1 if there are no wages &amp; salaries]</v>
      </c>
      <c r="D224" s="9"/>
      <c r="E224" s="128">
        <f>SUM(E220:E223)</f>
        <v>0</v>
      </c>
      <c r="F224" s="9"/>
      <c r="G224" s="9"/>
      <c r="H224" s="128">
        <f>SUM(H220:H223)</f>
        <v>0</v>
      </c>
      <c r="I224" s="44" t="s">
        <v>162</v>
      </c>
      <c r="J224" s="89">
        <v>1</v>
      </c>
      <c r="K224" s="10" t="s">
        <v>162</v>
      </c>
      <c r="L224" s="10" t="s">
        <v>163</v>
      </c>
      <c r="M224" s="46"/>
    </row>
    <row r="225" spans="1:13">
      <c r="A225" s="20"/>
      <c r="B225" s="109"/>
      <c r="C225" s="2"/>
      <c r="D225" s="9"/>
      <c r="E225" s="9"/>
      <c r="F225" s="9"/>
      <c r="G225" s="9"/>
      <c r="H225" s="9"/>
      <c r="I225" s="9"/>
      <c r="J225" s="9"/>
      <c r="K225" s="9"/>
      <c r="L225" s="149"/>
      <c r="M225" s="150"/>
    </row>
    <row r="226" spans="1:13">
      <c r="A226" s="20">
        <f>+A224+1</f>
        <v>89</v>
      </c>
      <c r="B226" s="109"/>
      <c r="C226" s="2" t="str">
        <f>"RETURN (R)      (Note "&amp;A302&amp;")"</f>
        <v>RETURN (R)      (Note J)</v>
      </c>
      <c r="D226" s="9"/>
      <c r="E226" s="109"/>
      <c r="F226" s="109"/>
      <c r="G226" s="109"/>
      <c r="H226" s="109"/>
      <c r="I226" s="109"/>
      <c r="J226" s="9"/>
      <c r="K226" s="9"/>
      <c r="L226" s="9"/>
      <c r="M226" s="46"/>
    </row>
    <row r="227" spans="1:13">
      <c r="A227" s="20">
        <f t="shared" ref="A227:A232" si="8">+A226+1</f>
        <v>90</v>
      </c>
      <c r="C227" s="15"/>
      <c r="D227" s="9"/>
      <c r="E227" s="9"/>
      <c r="F227" s="9"/>
      <c r="G227" s="9"/>
      <c r="I227" s="9"/>
      <c r="J227" s="9"/>
      <c r="K227" s="9"/>
      <c r="L227" s="9"/>
      <c r="M227" s="46"/>
    </row>
    <row r="228" spans="1:13" ht="15.6" thickBot="1">
      <c r="A228" s="20">
        <f t="shared" si="8"/>
        <v>91</v>
      </c>
      <c r="C228" s="15"/>
      <c r="D228" s="9"/>
      <c r="F228" s="26" t="s">
        <v>153</v>
      </c>
      <c r="G228" s="26" t="s">
        <v>164</v>
      </c>
      <c r="H228" s="9"/>
      <c r="I228" s="145" t="s">
        <v>165</v>
      </c>
      <c r="J228" s="9"/>
      <c r="K228" s="26" t="s">
        <v>166</v>
      </c>
      <c r="L228" s="9"/>
      <c r="M228" s="46"/>
    </row>
    <row r="229" spans="1:13" ht="15.6">
      <c r="A229" s="20">
        <f t="shared" si="8"/>
        <v>92</v>
      </c>
      <c r="C229" s="2" t="s">
        <v>167</v>
      </c>
      <c r="D229" s="9" t="s">
        <v>168</v>
      </c>
      <c r="F229" s="151">
        <f>+'3 - Cost Support (cont.)'!Q14</f>
        <v>110267489.20745318</v>
      </c>
      <c r="G229" s="1152">
        <f>IF(F$232=0,0,F229/F$232)</f>
        <v>0.47</v>
      </c>
      <c r="H229" s="70"/>
      <c r="I229" s="1152">
        <f>+'3 - Cost Support (cont.)'!P35</f>
        <v>7.2700000000000001E-2</v>
      </c>
      <c r="K229" s="1144">
        <f>+I229*G229</f>
        <v>3.4168999999999998E-2</v>
      </c>
      <c r="L229" s="152" t="s">
        <v>169</v>
      </c>
      <c r="M229" s="81"/>
    </row>
    <row r="230" spans="1:13">
      <c r="A230" s="20">
        <f t="shared" si="8"/>
        <v>93</v>
      </c>
      <c r="C230" s="2" t="s">
        <v>170</v>
      </c>
      <c r="D230" s="9" t="s">
        <v>171</v>
      </c>
      <c r="F230" s="38">
        <f>+'3 - Cost Support (cont.)'!Q16</f>
        <v>0</v>
      </c>
      <c r="G230" s="1152">
        <f>IF(F$232=0,0,F230/F$232)</f>
        <v>0</v>
      </c>
      <c r="H230" s="70"/>
      <c r="I230" s="153">
        <f>+'3 - Cost Support (cont.)'!P40</f>
        <v>0</v>
      </c>
      <c r="K230" s="1144">
        <f>+I230*G230</f>
        <v>0</v>
      </c>
      <c r="L230" s="9"/>
      <c r="M230" s="46"/>
    </row>
    <row r="231" spans="1:13" ht="15.6" thickBot="1">
      <c r="A231" s="20">
        <f t="shared" si="8"/>
        <v>94</v>
      </c>
      <c r="C231" s="2" t="str">
        <f>"  Common Stock "</f>
        <v xml:space="preserve">  Common Stock </v>
      </c>
      <c r="D231" s="9" t="s">
        <v>172</v>
      </c>
      <c r="F231" s="154">
        <f>+'3 - Cost Support (cont.)'!Q22</f>
        <v>124344189.95734082</v>
      </c>
      <c r="G231" s="1152">
        <f>IF(F$232=0,0,F231/F$232)</f>
        <v>0.53</v>
      </c>
      <c r="H231" s="70"/>
      <c r="I231" s="1152">
        <v>9.6500000000000002E-2</v>
      </c>
      <c r="K231" s="1145">
        <f>+I231*G231</f>
        <v>5.1145000000000003E-2</v>
      </c>
      <c r="L231" s="9"/>
      <c r="M231" s="46"/>
    </row>
    <row r="232" spans="1:13">
      <c r="A232" s="20">
        <f t="shared" si="8"/>
        <v>95</v>
      </c>
      <c r="C232" s="15" t="str">
        <f>"Total  (sum lines "&amp;A229&amp;"-"&amp;A231&amp;")"</f>
        <v>Total  (sum lines 92-94)</v>
      </c>
      <c r="F232" s="33">
        <f>SUM(F229:F231)</f>
        <v>234611679.164794</v>
      </c>
      <c r="G232" s="9" t="s">
        <v>24</v>
      </c>
      <c r="H232" s="9"/>
      <c r="I232" s="9"/>
      <c r="J232" s="9"/>
      <c r="K232" s="1144">
        <f>SUM(K229:K231)</f>
        <v>8.5314000000000001E-2</v>
      </c>
      <c r="L232" s="152" t="s">
        <v>173</v>
      </c>
      <c r="M232" s="46"/>
    </row>
    <row r="233" spans="1:13">
      <c r="F233" s="9"/>
      <c r="G233" s="9"/>
      <c r="H233" s="9"/>
      <c r="I233" s="9"/>
      <c r="L233" s="155"/>
      <c r="M233" s="46"/>
    </row>
    <row r="234" spans="1:13">
      <c r="F234" s="9"/>
      <c r="G234" s="9"/>
      <c r="H234" s="9"/>
      <c r="I234" s="9"/>
      <c r="M234" s="46"/>
    </row>
    <row r="235" spans="1:13" ht="15.6">
      <c r="C235" s="156" t="s">
        <v>174</v>
      </c>
      <c r="F235" s="9"/>
      <c r="G235" s="9"/>
      <c r="H235" s="10" t="s">
        <v>175</v>
      </c>
      <c r="I235" s="10"/>
      <c r="J235" s="48" t="s">
        <v>176</v>
      </c>
      <c r="K235" s="50"/>
      <c r="M235" s="48" t="s">
        <v>177</v>
      </c>
    </row>
    <row r="236" spans="1:13" ht="60">
      <c r="A236" s="49"/>
      <c r="C236" s="50"/>
      <c r="D236" s="50" t="s">
        <v>178</v>
      </c>
      <c r="F236" s="10"/>
      <c r="G236" s="10"/>
      <c r="H236" s="157" t="s">
        <v>179</v>
      </c>
      <c r="J236" s="47" t="s">
        <v>180</v>
      </c>
      <c r="M236" s="50" t="s">
        <v>37</v>
      </c>
    </row>
    <row r="237" spans="1:13">
      <c r="A237" s="49">
        <f>+A232+1</f>
        <v>96</v>
      </c>
      <c r="C237" s="5" t="s">
        <v>181</v>
      </c>
      <c r="D237" s="5" t="str">
        <f>"(Line "&amp;A94&amp;" and Transmission CIACs)"</f>
        <v>(Line 19 and Transmission CIACs)</v>
      </c>
      <c r="F237" s="9"/>
      <c r="G237" s="9"/>
      <c r="H237" s="158">
        <f>'4 - Incentives'!C118+'4 - Incentives'!C120</f>
        <v>29920117.386069454</v>
      </c>
      <c r="I237" s="9"/>
      <c r="J237" s="158">
        <f>'4 - Incentives'!C119+'4 - Incentives'!C121</f>
        <v>202281500.44351107</v>
      </c>
      <c r="M237" s="66">
        <f>+H237+J237</f>
        <v>232201617.82958052</v>
      </c>
    </row>
    <row r="238" spans="1:13">
      <c r="A238" s="49">
        <f t="shared" ref="A238:A244" si="9">+A237+1</f>
        <v>97</v>
      </c>
      <c r="C238" s="50" t="s">
        <v>182</v>
      </c>
      <c r="D238" s="5" t="str">
        <f>"(Line "&amp;A102&amp;")"</f>
        <v>(Line 26)</v>
      </c>
      <c r="F238" s="9"/>
      <c r="G238" s="9"/>
      <c r="H238" s="158">
        <v>0</v>
      </c>
      <c r="J238" s="153">
        <v>0</v>
      </c>
      <c r="M238" s="66">
        <f>+J102</f>
        <v>0</v>
      </c>
    </row>
    <row r="239" spans="1:13">
      <c r="A239" s="49">
        <f t="shared" si="9"/>
        <v>98</v>
      </c>
      <c r="C239" s="159" t="s">
        <v>183</v>
      </c>
      <c r="D239" s="5" t="str">
        <f>"(Line "&amp;A106&amp;")"</f>
        <v>(Line 29)</v>
      </c>
      <c r="F239" s="9"/>
      <c r="G239" s="9"/>
      <c r="H239" s="158">
        <v>0</v>
      </c>
      <c r="I239" s="9"/>
      <c r="M239" s="66">
        <f>+J106</f>
        <v>0</v>
      </c>
    </row>
    <row r="240" spans="1:13">
      <c r="A240" s="49">
        <f t="shared" si="9"/>
        <v>99</v>
      </c>
      <c r="C240" s="159" t="s">
        <v>184</v>
      </c>
      <c r="D240" s="5" t="str">
        <f>"(Line "&amp;A105&amp;")"</f>
        <v>(Line 28)</v>
      </c>
      <c r="F240" s="9"/>
      <c r="G240" s="9"/>
      <c r="H240" s="158">
        <v>0</v>
      </c>
      <c r="I240" s="9"/>
      <c r="M240" s="66">
        <f>+H240</f>
        <v>0</v>
      </c>
    </row>
    <row r="241" spans="1:13" ht="27.75" customHeight="1">
      <c r="A241" s="49">
        <f t="shared" si="9"/>
        <v>100</v>
      </c>
      <c r="C241" s="160" t="str">
        <f>+C235</f>
        <v>Development of Base Carrying charge and Summary of Incentive and Non-Incentive Investments</v>
      </c>
      <c r="F241" s="9"/>
      <c r="G241" s="9"/>
      <c r="H241" s="161">
        <v>0</v>
      </c>
      <c r="I241" s="9"/>
      <c r="J241" s="161">
        <v>0</v>
      </c>
      <c r="K241" s="162"/>
      <c r="L241" s="162"/>
      <c r="M241" s="66">
        <f>SUM(M237:M240)</f>
        <v>232201617.82958052</v>
      </c>
    </row>
    <row r="242" spans="1:13">
      <c r="A242" s="49">
        <f t="shared" si="9"/>
        <v>101</v>
      </c>
      <c r="C242" s="5" t="s">
        <v>185</v>
      </c>
      <c r="D242" s="5" t="s">
        <v>186</v>
      </c>
      <c r="F242" s="9"/>
      <c r="G242" s="9"/>
      <c r="H242" s="9"/>
      <c r="I242" s="9"/>
      <c r="M242" s="66">
        <f>+J181+J184</f>
        <v>24326406.329174303</v>
      </c>
    </row>
    <row r="243" spans="1:13">
      <c r="A243" s="49">
        <f t="shared" si="9"/>
        <v>102</v>
      </c>
      <c r="C243" s="5" t="str">
        <f>+C19</f>
        <v>Total Revenue Credits</v>
      </c>
      <c r="D243" s="163" t="s">
        <v>187</v>
      </c>
      <c r="F243" s="9"/>
      <c r="G243" s="9"/>
      <c r="H243" s="9"/>
      <c r="I243" s="9"/>
      <c r="M243" s="66">
        <f>+J19</f>
        <v>0</v>
      </c>
    </row>
    <row r="244" spans="1:13">
      <c r="A244" s="49">
        <f t="shared" si="9"/>
        <v>103</v>
      </c>
      <c r="C244" s="50" t="s">
        <v>188</v>
      </c>
      <c r="D244" s="50" t="s">
        <v>189</v>
      </c>
      <c r="F244" s="9"/>
      <c r="G244" s="9"/>
      <c r="H244" s="9"/>
      <c r="I244" s="9"/>
      <c r="M244" s="88">
        <f>IF(M241=0,0,(M242-M243)/M241)</f>
        <v>0.1047641552051035</v>
      </c>
    </row>
    <row r="245" spans="1:13">
      <c r="C245" s="44"/>
      <c r="D245" s="44"/>
      <c r="E245" s="44"/>
      <c r="F245" s="9"/>
      <c r="G245" s="9"/>
      <c r="H245" s="74"/>
      <c r="I245" s="9"/>
      <c r="J245" s="164"/>
      <c r="M245" s="165"/>
    </row>
    <row r="246" spans="1:13">
      <c r="E246" s="88"/>
      <c r="F246" s="9"/>
      <c r="G246" s="9"/>
      <c r="H246" s="38"/>
      <c r="I246" s="9"/>
      <c r="M246" s="46"/>
    </row>
    <row r="247" spans="1:13">
      <c r="F247" s="9"/>
      <c r="G247" s="9"/>
      <c r="H247" s="9"/>
      <c r="I247" s="9"/>
      <c r="M247" s="46"/>
    </row>
    <row r="248" spans="1:13">
      <c r="A248" s="20"/>
      <c r="C248" s="15"/>
      <c r="E248" s="15"/>
      <c r="F248" s="15"/>
      <c r="G248" s="15"/>
      <c r="H248" s="15"/>
      <c r="I248" s="15"/>
      <c r="J248" s="15"/>
      <c r="K248" s="15"/>
      <c r="L248" s="9"/>
      <c r="M248" s="46"/>
    </row>
    <row r="249" spans="1:13" ht="17.399999999999999">
      <c r="A249" s="166"/>
      <c r="B249" s="166"/>
      <c r="C249" s="166"/>
      <c r="D249" s="138"/>
      <c r="E249" s="138"/>
      <c r="F249" s="138"/>
      <c r="G249" s="138"/>
      <c r="H249" s="138"/>
      <c r="I249" s="138"/>
      <c r="J249" s="138"/>
      <c r="K249" s="138"/>
    </row>
    <row r="250" spans="1:13">
      <c r="C250" s="2"/>
      <c r="D250" s="2"/>
      <c r="E250" s="3"/>
      <c r="F250" s="2"/>
      <c r="G250" s="2"/>
      <c r="H250" s="2"/>
      <c r="I250" s="2"/>
      <c r="J250" s="2"/>
      <c r="K250" s="24"/>
      <c r="L250" s="24"/>
      <c r="M250" s="4"/>
    </row>
    <row r="251" spans="1:13">
      <c r="C251" s="2"/>
      <c r="D251" s="2"/>
      <c r="E251" s="3"/>
      <c r="F251" s="2"/>
      <c r="G251" s="2"/>
      <c r="H251" s="2"/>
      <c r="I251" s="2"/>
      <c r="J251" s="4"/>
      <c r="K251" s="4"/>
      <c r="L251" s="4"/>
      <c r="M251" s="4"/>
    </row>
    <row r="252" spans="1:13">
      <c r="C252" s="2"/>
      <c r="D252" s="2"/>
      <c r="E252" s="3"/>
      <c r="F252" s="2"/>
      <c r="G252" s="2"/>
      <c r="H252" s="2"/>
      <c r="I252" s="2"/>
      <c r="J252" s="7"/>
      <c r="K252" s="7"/>
      <c r="L252" s="7"/>
      <c r="M252" s="4" t="s">
        <v>3</v>
      </c>
    </row>
    <row r="253" spans="1:13">
      <c r="C253" s="2"/>
      <c r="D253" s="2"/>
      <c r="E253" s="3"/>
      <c r="F253" s="2"/>
      <c r="G253" s="2"/>
      <c r="H253" s="2"/>
      <c r="I253" s="2"/>
      <c r="J253" s="2"/>
      <c r="K253" s="15"/>
      <c r="L253" s="7"/>
      <c r="M253" s="7" t="s">
        <v>190</v>
      </c>
    </row>
    <row r="254" spans="1:13" ht="15.6">
      <c r="C254" s="2"/>
      <c r="D254" s="80" t="s">
        <v>191</v>
      </c>
      <c r="F254" s="2"/>
      <c r="G254" s="2"/>
      <c r="H254" s="2"/>
      <c r="I254" s="2"/>
      <c r="J254" s="2"/>
      <c r="K254" s="15"/>
      <c r="L254" s="7"/>
    </row>
    <row r="255" spans="1:13">
      <c r="C255" s="2" t="s">
        <v>22</v>
      </c>
      <c r="D255" s="1"/>
      <c r="E255" s="1" t="s">
        <v>23</v>
      </c>
      <c r="F255" s="2"/>
      <c r="G255" s="2"/>
      <c r="H255" s="2"/>
      <c r="I255" s="2"/>
      <c r="K255" s="15"/>
      <c r="L255" s="15"/>
    </row>
    <row r="256" spans="1:13">
      <c r="C256" s="2"/>
      <c r="D256" s="9" t="s">
        <v>24</v>
      </c>
      <c r="E256" s="9" t="s">
        <v>25</v>
      </c>
      <c r="F256" s="9"/>
      <c r="G256" s="9"/>
      <c r="H256" s="9"/>
      <c r="I256" s="2"/>
      <c r="J256" s="2"/>
      <c r="K256" s="15"/>
      <c r="L256" s="15"/>
    </row>
    <row r="257" spans="1:13">
      <c r="A257" s="20"/>
      <c r="C257" s="15"/>
      <c r="D257" s="15"/>
      <c r="E257" s="15"/>
      <c r="F257" s="15"/>
      <c r="G257" s="15"/>
      <c r="H257" s="15"/>
      <c r="I257" s="15"/>
      <c r="J257" s="15"/>
      <c r="K257" s="71"/>
      <c r="L257" s="17"/>
      <c r="M257" s="18" t="str">
        <f>+M205</f>
        <v>For the 12 months ended 12/31/2025</v>
      </c>
    </row>
    <row r="258" spans="1:13" ht="15.6">
      <c r="A258" s="20"/>
      <c r="D258" s="15"/>
      <c r="E258" s="75" t="str">
        <f>E9</f>
        <v>NextEra Energy Transmission New York, Inc.</v>
      </c>
      <c r="F258" s="15"/>
      <c r="G258" s="15"/>
      <c r="H258" s="15"/>
      <c r="I258" s="15"/>
      <c r="J258" s="15"/>
      <c r="K258" s="9"/>
      <c r="M258" s="73"/>
    </row>
    <row r="259" spans="1:13">
      <c r="A259" s="20"/>
      <c r="C259" s="15"/>
      <c r="D259" s="24"/>
      <c r="F259" s="15"/>
      <c r="G259" s="15"/>
      <c r="H259" s="15"/>
      <c r="I259" s="15"/>
      <c r="J259" s="15"/>
      <c r="K259" s="9"/>
      <c r="L259" s="9"/>
    </row>
    <row r="260" spans="1:13" ht="15.6">
      <c r="A260" s="20"/>
      <c r="B260" s="109"/>
      <c r="C260" s="167"/>
      <c r="D260" s="24"/>
      <c r="E260" s="9"/>
      <c r="F260" s="9"/>
      <c r="G260" s="9"/>
      <c r="H260" s="9"/>
      <c r="I260" s="2"/>
      <c r="J260" s="1"/>
      <c r="K260" s="168"/>
      <c r="L260" s="169"/>
      <c r="M260" s="170"/>
    </row>
    <row r="261" spans="1:13" s="166" customFormat="1" ht="18">
      <c r="A261" s="171"/>
      <c r="B261" s="172"/>
      <c r="C261" s="173"/>
      <c r="F261" s="174"/>
      <c r="G261" s="174"/>
      <c r="H261" s="174"/>
      <c r="I261" s="175"/>
      <c r="J261" s="176"/>
      <c r="K261" s="177"/>
      <c r="L261" s="178"/>
      <c r="M261" s="179"/>
    </row>
    <row r="262" spans="1:13" s="166" customFormat="1" ht="18">
      <c r="A262" s="171"/>
      <c r="B262" s="172"/>
      <c r="C262" s="173"/>
      <c r="D262" s="180"/>
      <c r="E262" s="174"/>
      <c r="F262" s="174"/>
      <c r="G262" s="174"/>
      <c r="H262" s="174"/>
      <c r="I262" s="175"/>
      <c r="J262" s="176"/>
      <c r="K262" s="177"/>
      <c r="L262" s="178"/>
      <c r="M262" s="179"/>
    </row>
    <row r="263" spans="1:13" s="166" customFormat="1" ht="18">
      <c r="A263" s="171"/>
      <c r="B263" s="172"/>
      <c r="C263" s="172" t="s">
        <v>192</v>
      </c>
      <c r="D263" s="171"/>
      <c r="E263" s="181"/>
      <c r="F263" s="181"/>
      <c r="G263" s="181"/>
      <c r="H263" s="181"/>
      <c r="I263" s="172"/>
      <c r="J263" s="181"/>
      <c r="K263" s="172"/>
      <c r="L263" s="181"/>
      <c r="M263" s="179"/>
    </row>
    <row r="264" spans="1:13" s="166" customFormat="1" ht="18">
      <c r="A264" s="171"/>
      <c r="B264" s="172"/>
      <c r="C264" s="172" t="s">
        <v>193</v>
      </c>
      <c r="D264" s="171"/>
      <c r="E264" s="181"/>
      <c r="F264" s="181"/>
      <c r="G264" s="181"/>
      <c r="H264" s="181"/>
      <c r="I264" s="172"/>
      <c r="J264" s="181"/>
      <c r="K264" s="172"/>
      <c r="L264" s="181"/>
      <c r="M264" s="179"/>
    </row>
    <row r="265" spans="1:13" s="166" customFormat="1" ht="18">
      <c r="A265" s="171" t="s">
        <v>194</v>
      </c>
      <c r="B265" s="172"/>
      <c r="C265" s="172"/>
      <c r="D265" s="172"/>
      <c r="E265" s="181"/>
      <c r="F265" s="181"/>
      <c r="G265" s="181"/>
      <c r="H265" s="181"/>
      <c r="I265" s="172"/>
      <c r="J265" s="181"/>
      <c r="K265" s="172"/>
      <c r="L265" s="181"/>
      <c r="M265" s="179"/>
    </row>
    <row r="266" spans="1:13" s="166" customFormat="1" ht="18.600000000000001" thickBot="1">
      <c r="A266" s="182" t="s">
        <v>195</v>
      </c>
      <c r="B266" s="172"/>
      <c r="C266" s="172"/>
      <c r="D266" s="172"/>
      <c r="E266" s="181"/>
      <c r="F266" s="181"/>
      <c r="G266" s="181"/>
      <c r="H266" s="181"/>
      <c r="I266" s="172"/>
      <c r="J266" s="181"/>
      <c r="K266" s="172"/>
      <c r="L266" s="181"/>
      <c r="M266" s="179"/>
    </row>
    <row r="267" spans="1:13" s="166" customFormat="1" ht="18">
      <c r="A267" s="183" t="s">
        <v>196</v>
      </c>
      <c r="B267" s="184"/>
      <c r="C267" s="184" t="s">
        <v>197</v>
      </c>
      <c r="D267" s="184"/>
      <c r="E267" s="184"/>
      <c r="F267" s="184"/>
      <c r="G267" s="184"/>
      <c r="H267" s="184"/>
      <c r="I267" s="184"/>
      <c r="J267" s="184"/>
      <c r="K267" s="184"/>
      <c r="L267" s="184"/>
      <c r="M267" s="183"/>
    </row>
    <row r="268" spans="1:13" s="166" customFormat="1" ht="18">
      <c r="A268" s="183"/>
      <c r="B268" s="184"/>
      <c r="C268" s="184" t="s">
        <v>198</v>
      </c>
      <c r="D268" s="184"/>
      <c r="E268" s="184"/>
      <c r="F268" s="184"/>
      <c r="G268" s="184"/>
      <c r="H268" s="184"/>
      <c r="I268" s="184"/>
      <c r="J268" s="184"/>
      <c r="K268" s="184"/>
      <c r="L268" s="184"/>
      <c r="M268" s="183"/>
    </row>
    <row r="269" spans="1:13" s="166" customFormat="1" ht="18">
      <c r="A269" s="183"/>
      <c r="B269" s="184"/>
      <c r="C269" s="184" t="str">
        <f>"   to utilize amortization of tax credits against taxable income as discussed in Note "&amp;A282&amp;".  Account 281 is not allocated."</f>
        <v xml:space="preserve">   to utilize amortization of tax credits against taxable income as discussed in Note F.  Account 281 is not allocated.</v>
      </c>
      <c r="D269" s="184"/>
      <c r="E269" s="184"/>
      <c r="F269" s="184"/>
      <c r="G269" s="184"/>
      <c r="H269" s="184"/>
      <c r="I269" s="184"/>
      <c r="J269" s="184"/>
      <c r="K269" s="184"/>
      <c r="L269" s="184"/>
      <c r="M269" s="183"/>
    </row>
    <row r="270" spans="1:13" s="166" customFormat="1" ht="18">
      <c r="A270" s="183" t="s">
        <v>199</v>
      </c>
      <c r="B270" s="184"/>
      <c r="C270" s="184" t="s">
        <v>200</v>
      </c>
      <c r="D270" s="184"/>
      <c r="E270" s="184"/>
      <c r="F270" s="184"/>
      <c r="G270" s="184"/>
      <c r="H270" s="184"/>
      <c r="I270" s="184"/>
      <c r="J270" s="184"/>
      <c r="K270" s="184"/>
      <c r="L270" s="184"/>
      <c r="M270" s="183"/>
    </row>
    <row r="271" spans="1:13" s="166" customFormat="1" ht="18">
      <c r="A271" s="183" t="s">
        <v>201</v>
      </c>
      <c r="B271" s="184"/>
      <c r="C271" s="184" t="s">
        <v>202</v>
      </c>
      <c r="D271" s="184"/>
      <c r="E271" s="184"/>
      <c r="F271" s="184"/>
      <c r="G271" s="184"/>
      <c r="H271" s="184"/>
      <c r="I271" s="184"/>
      <c r="J271" s="184"/>
      <c r="K271" s="184"/>
      <c r="L271" s="184"/>
      <c r="M271" s="183"/>
    </row>
    <row r="272" spans="1:13" s="166" customFormat="1" ht="18">
      <c r="A272" s="183"/>
      <c r="B272" s="184"/>
      <c r="C272" s="184" t="s">
        <v>203</v>
      </c>
      <c r="D272" s="184"/>
      <c r="E272" s="184"/>
      <c r="F272" s="184"/>
      <c r="G272" s="184"/>
      <c r="H272" s="184"/>
      <c r="I272" s="184"/>
      <c r="J272" s="184"/>
      <c r="K272" s="184"/>
      <c r="L272" s="184"/>
      <c r="M272" s="183"/>
    </row>
    <row r="273" spans="1:13" s="166" customFormat="1" ht="18">
      <c r="A273" s="183" t="s">
        <v>204</v>
      </c>
      <c r="B273" s="184"/>
      <c r="C273" s="185" t="s">
        <v>205</v>
      </c>
      <c r="D273" s="184"/>
      <c r="E273" s="184"/>
      <c r="F273" s="184"/>
      <c r="G273" s="184"/>
      <c r="H273" s="184"/>
      <c r="I273" s="184"/>
      <c r="J273" s="184"/>
      <c r="K273" s="185"/>
      <c r="L273" s="184"/>
      <c r="M273" s="183"/>
    </row>
    <row r="274" spans="1:13" s="166" customFormat="1" ht="18">
      <c r="A274" s="183"/>
      <c r="B274" s="184"/>
      <c r="C274" s="185" t="s">
        <v>206</v>
      </c>
      <c r="D274" s="184"/>
      <c r="E274" s="184"/>
      <c r="F274" s="184"/>
      <c r="G274" s="184"/>
      <c r="H274" s="184"/>
      <c r="I274" s="184"/>
      <c r="J274" s="184"/>
      <c r="K274" s="185"/>
      <c r="L274" s="184"/>
      <c r="M274" s="183"/>
    </row>
    <row r="275" spans="1:13" s="166" customFormat="1" ht="18">
      <c r="A275" s="183"/>
      <c r="B275" s="184"/>
      <c r="C275" s="185" t="s">
        <v>207</v>
      </c>
      <c r="D275" s="184"/>
      <c r="E275" s="184"/>
      <c r="F275" s="184"/>
      <c r="G275" s="184"/>
      <c r="H275" s="184"/>
      <c r="I275" s="184"/>
      <c r="J275" s="184"/>
      <c r="K275" s="184"/>
      <c r="L275" s="184"/>
      <c r="M275" s="183"/>
    </row>
    <row r="276" spans="1:13" s="166" customFormat="1" ht="18">
      <c r="A276" s="183"/>
      <c r="B276" s="184"/>
      <c r="C276" s="185" t="s">
        <v>208</v>
      </c>
      <c r="D276" s="184"/>
      <c r="E276" s="184"/>
      <c r="F276" s="184"/>
      <c r="G276" s="184"/>
      <c r="H276" s="184"/>
      <c r="I276" s="184"/>
      <c r="J276" s="184"/>
      <c r="K276" s="186"/>
      <c r="L276" s="184"/>
      <c r="M276" s="183"/>
    </row>
    <row r="277" spans="1:13" s="166" customFormat="1" ht="18">
      <c r="A277" s="183"/>
      <c r="B277" s="184"/>
      <c r="C277" s="185" t="s">
        <v>209</v>
      </c>
      <c r="D277" s="184"/>
      <c r="E277" s="184"/>
      <c r="F277" s="184"/>
      <c r="G277" s="184"/>
      <c r="H277" s="184"/>
      <c r="I277" s="184"/>
      <c r="J277" s="187"/>
      <c r="K277" s="184"/>
      <c r="L277" s="184"/>
      <c r="M277" s="183"/>
    </row>
    <row r="278" spans="1:13" s="166" customFormat="1" ht="18">
      <c r="A278" s="183"/>
      <c r="B278" s="184"/>
      <c r="C278" s="185" t="s">
        <v>210</v>
      </c>
      <c r="D278" s="184"/>
      <c r="E278" s="184"/>
      <c r="F278" s="184"/>
      <c r="G278" s="184"/>
      <c r="H278" s="184"/>
      <c r="I278" s="184"/>
      <c r="J278" s="184"/>
      <c r="K278" s="184"/>
      <c r="L278" s="184"/>
      <c r="M278" s="183"/>
    </row>
    <row r="279" spans="1:13" s="166" customFormat="1" ht="18">
      <c r="A279" s="183" t="s">
        <v>211</v>
      </c>
      <c r="B279" s="184"/>
      <c r="C279" s="184" t="s">
        <v>212</v>
      </c>
      <c r="D279" s="184"/>
      <c r="E279" s="184"/>
      <c r="F279" s="184"/>
      <c r="G279" s="184"/>
      <c r="H279" s="184"/>
      <c r="I279" s="184"/>
      <c r="J279" s="184"/>
      <c r="K279" s="184"/>
      <c r="L279" s="184"/>
      <c r="M279" s="183"/>
    </row>
    <row r="280" spans="1:13" s="166" customFormat="1" ht="18">
      <c r="A280" s="183"/>
      <c r="B280" s="184"/>
      <c r="C280" s="184" t="s">
        <v>213</v>
      </c>
      <c r="D280" s="184"/>
      <c r="E280" s="184"/>
      <c r="F280" s="184"/>
      <c r="G280" s="184"/>
      <c r="H280" s="184"/>
      <c r="I280" s="184"/>
      <c r="J280" s="184"/>
      <c r="K280" s="184"/>
      <c r="L280" s="184"/>
      <c r="M280" s="183"/>
    </row>
    <row r="281" spans="1:13" s="166" customFormat="1" ht="18">
      <c r="A281" s="183"/>
      <c r="B281" s="184"/>
      <c r="C281" s="184" t="s">
        <v>214</v>
      </c>
      <c r="D281" s="184"/>
      <c r="E281" s="184"/>
      <c r="F281" s="184"/>
      <c r="G281" s="184"/>
      <c r="H281" s="184"/>
      <c r="I281" s="184"/>
      <c r="J281" s="184"/>
      <c r="K281" s="184"/>
      <c r="L281" s="184"/>
      <c r="M281" s="183"/>
    </row>
    <row r="282" spans="1:13" s="166" customFormat="1" ht="18">
      <c r="A282" s="183" t="s">
        <v>215</v>
      </c>
      <c r="B282" s="184"/>
      <c r="C282" s="184" t="s">
        <v>216</v>
      </c>
      <c r="D282" s="184"/>
      <c r="E282" s="184"/>
      <c r="F282" s="184"/>
      <c r="G282" s="184"/>
      <c r="H282" s="184"/>
      <c r="I282" s="184"/>
      <c r="J282" s="184"/>
      <c r="K282" s="184"/>
      <c r="L282" s="184"/>
      <c r="M282" s="183"/>
    </row>
    <row r="283" spans="1:13" s="166" customFormat="1" ht="18">
      <c r="A283" s="183"/>
      <c r="B283" s="184"/>
      <c r="C283" s="184" t="s">
        <v>217</v>
      </c>
      <c r="D283" s="184"/>
      <c r="E283" s="184"/>
      <c r="F283" s="184"/>
      <c r="G283" s="184"/>
      <c r="H283" s="184"/>
      <c r="I283" s="184"/>
      <c r="J283" s="184"/>
      <c r="K283" s="184"/>
      <c r="L283" s="184"/>
      <c r="M283" s="183"/>
    </row>
    <row r="284" spans="1:13" s="166" customFormat="1" ht="18">
      <c r="A284" s="183"/>
      <c r="B284" s="184"/>
      <c r="C284" s="184" t="s">
        <v>218</v>
      </c>
      <c r="D284" s="184"/>
      <c r="E284" s="184"/>
      <c r="F284" s="184"/>
      <c r="G284" s="184"/>
      <c r="H284" s="188"/>
      <c r="I284" s="184"/>
      <c r="J284" s="184"/>
      <c r="K284" s="184"/>
      <c r="L284" s="184"/>
      <c r="M284" s="183"/>
    </row>
    <row r="285" spans="1:13" s="166" customFormat="1" ht="18">
      <c r="A285" s="183"/>
      <c r="B285" s="184"/>
      <c r="C285" s="184" t="s">
        <v>219</v>
      </c>
      <c r="D285" s="184"/>
      <c r="E285" s="184"/>
      <c r="F285" s="184"/>
      <c r="G285" s="184"/>
      <c r="I285" s="184"/>
      <c r="J285" s="184"/>
      <c r="K285" s="184"/>
      <c r="L285" s="184"/>
      <c r="M285" s="183"/>
    </row>
    <row r="286" spans="1:13" s="166" customFormat="1" ht="18">
      <c r="A286" s="183"/>
      <c r="B286" s="184"/>
      <c r="C286" s="188" t="s">
        <v>220</v>
      </c>
      <c r="D286" s="184"/>
      <c r="E286" s="184"/>
      <c r="F286" s="184"/>
      <c r="G286" s="184"/>
      <c r="H286" s="188"/>
      <c r="I286" s="184"/>
      <c r="J286" s="184"/>
      <c r="K286" s="184"/>
      <c r="L286" s="184"/>
      <c r="M286" s="183"/>
    </row>
    <row r="287" spans="1:13" s="166" customFormat="1" ht="18">
      <c r="A287" s="183"/>
      <c r="B287" s="184"/>
      <c r="C287" s="184" t="s">
        <v>221</v>
      </c>
      <c r="D287" s="184"/>
      <c r="E287" s="184"/>
      <c r="F287" s="184"/>
      <c r="G287" s="184"/>
      <c r="H287" s="188"/>
      <c r="I287" s="184"/>
      <c r="J287" s="184"/>
      <c r="K287" s="184"/>
      <c r="L287" s="184"/>
      <c r="M287" s="183"/>
    </row>
    <row r="288" spans="1:13" s="166" customFormat="1" ht="18">
      <c r="A288" s="183"/>
      <c r="B288" s="184"/>
      <c r="C288" s="184"/>
      <c r="D288" s="184"/>
      <c r="E288" s="186"/>
      <c r="F288" s="186"/>
      <c r="G288" s="186"/>
      <c r="H288" s="186"/>
      <c r="I288" s="186"/>
      <c r="J288" s="184"/>
      <c r="K288" s="186"/>
      <c r="L288" s="189"/>
      <c r="M288" s="190"/>
    </row>
    <row r="289" spans="1:251" s="166" customFormat="1" ht="18">
      <c r="A289" s="183" t="s">
        <v>24</v>
      </c>
      <c r="B289" s="184"/>
      <c r="C289" s="184" t="s">
        <v>222</v>
      </c>
      <c r="D289" s="184" t="s">
        <v>223</v>
      </c>
      <c r="E289" s="191">
        <v>0.21</v>
      </c>
      <c r="F289" s="184"/>
      <c r="G289" s="184"/>
      <c r="H289" s="184"/>
      <c r="I289" s="184"/>
      <c r="J289" s="184"/>
      <c r="K289" s="184"/>
      <c r="L289" s="184"/>
      <c r="M289" s="183"/>
    </row>
    <row r="290" spans="1:251" s="166" customFormat="1" ht="18">
      <c r="A290" s="183"/>
      <c r="B290" s="184"/>
      <c r="C290" s="184"/>
      <c r="D290" s="184" t="s">
        <v>224</v>
      </c>
      <c r="E290" s="192">
        <f>'3 - Cost Support'!M73</f>
        <v>6.5000000000000002E-2</v>
      </c>
      <c r="F290" s="184" t="s">
        <v>225</v>
      </c>
      <c r="G290" s="184"/>
      <c r="H290" s="184"/>
      <c r="I290" s="184"/>
      <c r="J290" s="184"/>
      <c r="K290" s="184"/>
      <c r="L290" s="184"/>
      <c r="M290" s="193"/>
    </row>
    <row r="291" spans="1:251" s="166" customFormat="1" ht="18">
      <c r="A291" s="183"/>
      <c r="B291" s="184"/>
      <c r="C291" s="184"/>
      <c r="D291" s="184" t="s">
        <v>226</v>
      </c>
      <c r="E291" s="194">
        <v>0</v>
      </c>
      <c r="F291" s="184" t="s">
        <v>227</v>
      </c>
      <c r="G291" s="184"/>
      <c r="H291" s="184"/>
      <c r="I291" s="184"/>
      <c r="J291" s="184"/>
      <c r="K291" s="184"/>
      <c r="L291" s="184"/>
      <c r="M291" s="183"/>
    </row>
    <row r="292" spans="1:251" s="166" customFormat="1" ht="18">
      <c r="A292" s="183"/>
      <c r="B292" s="184"/>
      <c r="C292" s="185" t="s">
        <v>228</v>
      </c>
      <c r="D292" s="184"/>
      <c r="E292" s="195"/>
      <c r="F292" s="184"/>
      <c r="G292" s="184"/>
      <c r="H292" s="184"/>
      <c r="I292" s="184"/>
      <c r="J292" s="184"/>
      <c r="K292" s="184"/>
      <c r="L292" s="184"/>
      <c r="M292" s="183"/>
    </row>
    <row r="293" spans="1:251" s="166" customFormat="1" ht="18">
      <c r="A293" s="183"/>
      <c r="B293" s="184"/>
      <c r="C293" s="184" t="s">
        <v>229</v>
      </c>
      <c r="D293" s="184"/>
      <c r="E293" s="195"/>
      <c r="F293" s="184"/>
      <c r="G293" s="184"/>
      <c r="H293" s="184"/>
      <c r="I293" s="184"/>
      <c r="J293" s="184"/>
      <c r="K293" s="184"/>
      <c r="L293" s="184"/>
      <c r="M293" s="183"/>
    </row>
    <row r="294" spans="1:251" s="166" customFormat="1" ht="18">
      <c r="A294" s="183"/>
      <c r="B294" s="184"/>
      <c r="C294" s="184" t="s">
        <v>230</v>
      </c>
      <c r="D294" s="184"/>
      <c r="E294" s="195"/>
      <c r="F294" s="184"/>
      <c r="G294" s="184"/>
      <c r="H294" s="184"/>
      <c r="I294" s="184"/>
      <c r="J294" s="184"/>
      <c r="K294" s="184"/>
      <c r="L294" s="184"/>
      <c r="M294" s="183"/>
    </row>
    <row r="295" spans="1:251" s="166" customFormat="1" ht="18" customHeight="1">
      <c r="A295" s="183" t="s">
        <v>231</v>
      </c>
      <c r="B295" s="184"/>
      <c r="C295" s="1163" t="s">
        <v>232</v>
      </c>
      <c r="D295" s="1163"/>
      <c r="E295" s="1163"/>
      <c r="F295" s="1163"/>
      <c r="G295" s="1163"/>
      <c r="H295" s="1163"/>
      <c r="I295" s="1163"/>
      <c r="J295" s="1163"/>
      <c r="K295" s="1163"/>
      <c r="L295" s="184"/>
      <c r="M295" s="183"/>
    </row>
    <row r="296" spans="1:251" s="166" customFormat="1" ht="18">
      <c r="A296" s="183"/>
      <c r="B296" s="184"/>
      <c r="C296" s="1163"/>
      <c r="D296" s="1163"/>
      <c r="E296" s="1163"/>
      <c r="F296" s="1163"/>
      <c r="G296" s="1163"/>
      <c r="H296" s="1163"/>
      <c r="I296" s="1163"/>
      <c r="J296" s="1163"/>
      <c r="K296" s="1163"/>
      <c r="L296" s="186"/>
      <c r="M296" s="183"/>
    </row>
    <row r="297" spans="1:251" s="166" customFormat="1" ht="18">
      <c r="A297" s="183"/>
      <c r="B297" s="184"/>
      <c r="C297" s="1163"/>
      <c r="D297" s="1163"/>
      <c r="E297" s="1163"/>
      <c r="F297" s="1163"/>
      <c r="G297" s="1163"/>
      <c r="H297" s="1163"/>
      <c r="I297" s="1163"/>
      <c r="J297" s="1163"/>
      <c r="K297" s="1163"/>
      <c r="L297" s="186"/>
      <c r="M297" s="183"/>
    </row>
    <row r="298" spans="1:251" s="166" customFormat="1" ht="18">
      <c r="A298" s="183" t="s">
        <v>233</v>
      </c>
      <c r="B298" s="184"/>
      <c r="C298" s="184" t="s">
        <v>234</v>
      </c>
      <c r="D298" s="184"/>
      <c r="E298" s="184"/>
      <c r="F298" s="184"/>
      <c r="G298" s="184"/>
      <c r="H298" s="184"/>
      <c r="I298" s="184"/>
      <c r="J298" s="184"/>
      <c r="K298" s="184"/>
      <c r="L298" s="184"/>
      <c r="M298" s="183"/>
    </row>
    <row r="299" spans="1:251" s="166" customFormat="1" ht="18">
      <c r="A299" s="183"/>
      <c r="B299" s="184"/>
      <c r="C299" s="184" t="s">
        <v>235</v>
      </c>
      <c r="D299" s="184"/>
      <c r="E299" s="184"/>
      <c r="F299" s="184"/>
      <c r="G299" s="184"/>
      <c r="H299" s="184"/>
      <c r="I299" s="184"/>
      <c r="J299" s="184"/>
      <c r="K299" s="184"/>
      <c r="L299" s="184"/>
      <c r="M299" s="183"/>
    </row>
    <row r="300" spans="1:251" s="166" customFormat="1" ht="18">
      <c r="A300" s="183"/>
      <c r="B300" s="184"/>
      <c r="C300" s="184" t="s">
        <v>236</v>
      </c>
      <c r="D300" s="184"/>
      <c r="E300" s="184"/>
      <c r="F300" s="184"/>
      <c r="G300" s="184"/>
      <c r="H300" s="184"/>
      <c r="I300" s="184"/>
      <c r="J300" s="184"/>
      <c r="K300" s="184"/>
      <c r="L300" s="184"/>
      <c r="M300" s="183"/>
    </row>
    <row r="301" spans="1:251" s="166" customFormat="1" ht="18">
      <c r="A301" s="183" t="s">
        <v>237</v>
      </c>
      <c r="B301" s="184"/>
      <c r="C301" s="184" t="s">
        <v>238</v>
      </c>
      <c r="D301" s="184"/>
      <c r="E301" s="184"/>
      <c r="F301" s="184"/>
      <c r="G301" s="184"/>
      <c r="H301" s="184"/>
      <c r="I301" s="184"/>
      <c r="J301" s="184"/>
      <c r="K301" s="184"/>
      <c r="L301" s="184"/>
      <c r="M301" s="183"/>
    </row>
    <row r="302" spans="1:251" s="166" customFormat="1" ht="18">
      <c r="A302" s="183" t="s">
        <v>239</v>
      </c>
      <c r="B302" s="184"/>
      <c r="C302" s="196" t="s">
        <v>240</v>
      </c>
      <c r="D302" s="184"/>
      <c r="E302" s="184"/>
      <c r="F302" s="184"/>
      <c r="G302" s="184"/>
      <c r="H302" s="184"/>
      <c r="I302" s="184"/>
      <c r="J302" s="184"/>
      <c r="K302" s="184"/>
      <c r="L302" s="184"/>
      <c r="M302" s="183"/>
    </row>
    <row r="303" spans="1:251" s="166" customFormat="1" ht="15.75" hidden="1" customHeight="1">
      <c r="A303" s="197"/>
      <c r="B303" s="197"/>
      <c r="C303" s="198"/>
      <c r="D303" s="198"/>
      <c r="E303" s="198"/>
      <c r="F303" s="198"/>
      <c r="G303" s="198"/>
      <c r="H303" s="198"/>
      <c r="I303" s="198"/>
      <c r="J303" s="198"/>
      <c r="K303" s="198"/>
      <c r="L303" s="198"/>
      <c r="M303" s="197"/>
      <c r="N303" s="199"/>
      <c r="O303" s="199"/>
      <c r="P303" s="199"/>
      <c r="Q303" s="199"/>
      <c r="R303" s="199"/>
      <c r="S303" s="199"/>
      <c r="T303" s="199"/>
      <c r="U303" s="199"/>
      <c r="V303" s="199"/>
      <c r="W303" s="199"/>
      <c r="X303" s="199"/>
      <c r="Y303" s="199"/>
      <c r="Z303" s="199"/>
      <c r="AA303" s="199"/>
      <c r="AB303" s="199"/>
      <c r="AC303" s="199"/>
      <c r="AD303" s="199"/>
      <c r="AE303" s="199"/>
      <c r="AF303" s="199"/>
      <c r="AG303" s="199"/>
      <c r="AH303" s="199"/>
      <c r="AI303" s="199"/>
      <c r="AJ303" s="199"/>
      <c r="AK303" s="199"/>
      <c r="AL303" s="199"/>
      <c r="AM303" s="199"/>
      <c r="AN303" s="199"/>
      <c r="AO303" s="199"/>
      <c r="AP303" s="199"/>
      <c r="AQ303" s="199"/>
      <c r="AR303" s="199"/>
      <c r="AS303" s="199"/>
      <c r="AT303" s="199"/>
      <c r="AU303" s="199"/>
      <c r="AV303" s="199"/>
      <c r="AW303" s="199"/>
      <c r="AX303" s="199"/>
      <c r="AY303" s="199"/>
      <c r="AZ303" s="199"/>
      <c r="BA303" s="199"/>
      <c r="BB303" s="199"/>
      <c r="BC303" s="199"/>
      <c r="BD303" s="199"/>
      <c r="BE303" s="199"/>
      <c r="BF303" s="199"/>
      <c r="BG303" s="199"/>
      <c r="BH303" s="199"/>
      <c r="BI303" s="199"/>
      <c r="BJ303" s="199"/>
      <c r="BK303" s="199"/>
      <c r="BL303" s="199"/>
      <c r="BM303" s="199"/>
      <c r="BN303" s="199"/>
      <c r="BO303" s="199"/>
      <c r="BP303" s="199"/>
      <c r="BQ303" s="199"/>
      <c r="BR303" s="199"/>
      <c r="BS303" s="199"/>
      <c r="BT303" s="199"/>
      <c r="BU303" s="199"/>
      <c r="BV303" s="199"/>
      <c r="BW303" s="199"/>
      <c r="BX303" s="199"/>
      <c r="BY303" s="199"/>
      <c r="BZ303" s="199"/>
      <c r="CA303" s="199"/>
      <c r="CB303" s="199"/>
      <c r="CC303" s="199"/>
      <c r="CD303" s="199"/>
      <c r="CE303" s="199"/>
      <c r="CF303" s="199"/>
      <c r="CG303" s="199"/>
      <c r="CH303" s="199"/>
      <c r="CI303" s="199"/>
      <c r="CJ303" s="199"/>
      <c r="CK303" s="199"/>
      <c r="CL303" s="199"/>
      <c r="CM303" s="199"/>
      <c r="CN303" s="199"/>
      <c r="CO303" s="199"/>
      <c r="CP303" s="199"/>
      <c r="CQ303" s="199"/>
      <c r="CR303" s="199"/>
      <c r="CS303" s="199"/>
      <c r="CT303" s="199"/>
      <c r="CU303" s="199"/>
      <c r="CV303" s="199"/>
      <c r="CW303" s="199"/>
      <c r="CX303" s="199"/>
      <c r="CY303" s="199"/>
      <c r="CZ303" s="199"/>
      <c r="DA303" s="199"/>
      <c r="DB303" s="199"/>
      <c r="DC303" s="199"/>
      <c r="DD303" s="199"/>
      <c r="DE303" s="199"/>
      <c r="DF303" s="199"/>
      <c r="DG303" s="199"/>
      <c r="DH303" s="199"/>
      <c r="DI303" s="199"/>
      <c r="DJ303" s="199"/>
      <c r="DK303" s="199"/>
      <c r="DL303" s="199"/>
      <c r="DM303" s="199"/>
      <c r="DN303" s="199"/>
      <c r="DO303" s="199"/>
      <c r="DP303" s="199"/>
      <c r="DQ303" s="199"/>
      <c r="DR303" s="199"/>
      <c r="DS303" s="199"/>
      <c r="DT303" s="199"/>
      <c r="DU303" s="199"/>
      <c r="DV303" s="199"/>
      <c r="DW303" s="199"/>
      <c r="DX303" s="199"/>
      <c r="DY303" s="199"/>
      <c r="DZ303" s="199"/>
      <c r="EA303" s="199"/>
      <c r="EB303" s="199"/>
      <c r="EC303" s="199"/>
      <c r="ED303" s="199"/>
      <c r="EE303" s="199"/>
      <c r="EF303" s="199"/>
      <c r="EG303" s="199"/>
      <c r="EH303" s="199"/>
      <c r="EI303" s="199"/>
      <c r="EJ303" s="199"/>
      <c r="EK303" s="199"/>
      <c r="EL303" s="199"/>
      <c r="EM303" s="199"/>
      <c r="EN303" s="199"/>
      <c r="EO303" s="199"/>
      <c r="EP303" s="199"/>
      <c r="EQ303" s="199"/>
      <c r="ER303" s="199"/>
      <c r="ES303" s="199"/>
      <c r="ET303" s="199"/>
      <c r="EU303" s="199"/>
      <c r="EV303" s="199"/>
      <c r="EW303" s="199"/>
      <c r="EX303" s="199"/>
      <c r="EY303" s="199"/>
      <c r="EZ303" s="199"/>
      <c r="FA303" s="199"/>
      <c r="FB303" s="199"/>
      <c r="FC303" s="199"/>
      <c r="FD303" s="199"/>
      <c r="FE303" s="199"/>
      <c r="FF303" s="199"/>
      <c r="FG303" s="199"/>
      <c r="FH303" s="199"/>
      <c r="FI303" s="199"/>
      <c r="FJ303" s="199"/>
      <c r="FK303" s="199"/>
      <c r="FL303" s="199"/>
      <c r="FM303" s="199"/>
      <c r="FN303" s="199"/>
      <c r="FO303" s="199"/>
      <c r="FP303" s="199"/>
      <c r="FQ303" s="199"/>
      <c r="FR303" s="199"/>
      <c r="FS303" s="199"/>
      <c r="FT303" s="199"/>
      <c r="FU303" s="199"/>
      <c r="FV303" s="199"/>
      <c r="FW303" s="199"/>
      <c r="FX303" s="199"/>
      <c r="FY303" s="199"/>
      <c r="FZ303" s="199"/>
      <c r="GA303" s="199"/>
      <c r="GB303" s="199"/>
      <c r="GC303" s="199"/>
      <c r="GD303" s="199"/>
      <c r="GE303" s="199"/>
      <c r="GF303" s="199"/>
      <c r="GG303" s="199"/>
      <c r="GH303" s="199"/>
      <c r="GI303" s="199"/>
      <c r="GJ303" s="199"/>
      <c r="GK303" s="199"/>
      <c r="GL303" s="199"/>
      <c r="GM303" s="199"/>
      <c r="GN303" s="199"/>
      <c r="GO303" s="199"/>
      <c r="GP303" s="199"/>
      <c r="GQ303" s="199"/>
      <c r="GR303" s="199"/>
      <c r="GS303" s="199"/>
      <c r="GT303" s="199"/>
      <c r="GU303" s="199"/>
      <c r="GV303" s="199"/>
      <c r="GW303" s="199"/>
      <c r="GX303" s="199"/>
      <c r="GY303" s="199"/>
      <c r="GZ303" s="199"/>
      <c r="HA303" s="199"/>
      <c r="HB303" s="199"/>
      <c r="HC303" s="199"/>
      <c r="HD303" s="199"/>
      <c r="HE303" s="199"/>
      <c r="HF303" s="199"/>
      <c r="HG303" s="199"/>
      <c r="HH303" s="199"/>
      <c r="HI303" s="199"/>
      <c r="HJ303" s="199"/>
      <c r="HK303" s="199"/>
      <c r="HL303" s="199"/>
      <c r="HM303" s="199"/>
      <c r="HN303" s="199"/>
      <c r="HO303" s="199"/>
      <c r="HP303" s="199"/>
      <c r="HQ303" s="199"/>
      <c r="HR303" s="199"/>
      <c r="HS303" s="199"/>
      <c r="HT303" s="199"/>
      <c r="HU303" s="199"/>
      <c r="HV303" s="199"/>
      <c r="HW303" s="199"/>
      <c r="HX303" s="199"/>
      <c r="HY303" s="199"/>
      <c r="HZ303" s="199"/>
      <c r="IA303" s="199"/>
      <c r="IB303" s="199"/>
      <c r="IC303" s="199"/>
      <c r="ID303" s="199"/>
      <c r="IE303" s="199"/>
      <c r="IF303" s="199"/>
      <c r="IG303" s="199"/>
      <c r="IH303" s="199"/>
      <c r="II303" s="199"/>
      <c r="IJ303" s="199"/>
      <c r="IK303" s="199"/>
      <c r="IL303" s="199"/>
      <c r="IM303" s="199"/>
      <c r="IN303" s="199"/>
      <c r="IO303" s="199"/>
      <c r="IP303" s="199"/>
      <c r="IQ303" s="199"/>
    </row>
    <row r="304" spans="1:251" s="166" customFormat="1" ht="60" customHeight="1">
      <c r="A304" s="200" t="s">
        <v>241</v>
      </c>
      <c r="B304" s="197"/>
      <c r="C304" s="1160" t="s">
        <v>242</v>
      </c>
      <c r="D304" s="1160"/>
      <c r="E304" s="1160"/>
      <c r="F304" s="1160"/>
      <c r="G304" s="1160"/>
      <c r="H304" s="1160"/>
      <c r="I304" s="1160"/>
      <c r="J304" s="1160"/>
      <c r="K304" s="1160"/>
      <c r="L304" s="1160"/>
      <c r="M304" s="197"/>
      <c r="N304" s="199"/>
      <c r="O304" s="199"/>
      <c r="P304" s="199"/>
      <c r="Q304" s="199"/>
      <c r="R304" s="199"/>
      <c r="S304" s="199"/>
      <c r="T304" s="199"/>
      <c r="U304" s="199"/>
      <c r="V304" s="199"/>
      <c r="W304" s="199"/>
      <c r="X304" s="199"/>
      <c r="Y304" s="199"/>
      <c r="Z304" s="199"/>
      <c r="AA304" s="199"/>
      <c r="AB304" s="199"/>
      <c r="AC304" s="199"/>
      <c r="AD304" s="199"/>
      <c r="AE304" s="199"/>
      <c r="AF304" s="199"/>
      <c r="AG304" s="199"/>
      <c r="AH304" s="199"/>
      <c r="AI304" s="199"/>
      <c r="AJ304" s="199"/>
      <c r="AK304" s="199"/>
      <c r="AL304" s="199"/>
      <c r="AM304" s="199"/>
      <c r="AN304" s="199"/>
      <c r="AO304" s="199"/>
      <c r="AP304" s="199"/>
      <c r="AQ304" s="199"/>
      <c r="AR304" s="199"/>
      <c r="AS304" s="199"/>
      <c r="AT304" s="199"/>
      <c r="AU304" s="199"/>
      <c r="AV304" s="199"/>
      <c r="AW304" s="199"/>
      <c r="AX304" s="199"/>
      <c r="AY304" s="199"/>
      <c r="AZ304" s="199"/>
      <c r="BA304" s="199"/>
      <c r="BB304" s="199"/>
      <c r="BC304" s="199"/>
      <c r="BD304" s="199"/>
      <c r="BE304" s="199"/>
      <c r="BF304" s="199"/>
      <c r="BG304" s="199"/>
      <c r="BH304" s="199"/>
      <c r="BI304" s="199"/>
      <c r="BJ304" s="199"/>
      <c r="BK304" s="199"/>
      <c r="BL304" s="199"/>
      <c r="BM304" s="199"/>
      <c r="BN304" s="199"/>
      <c r="BO304" s="199"/>
      <c r="BP304" s="199"/>
      <c r="BQ304" s="199"/>
      <c r="BR304" s="199"/>
      <c r="BS304" s="199"/>
      <c r="BT304" s="199"/>
      <c r="BU304" s="199"/>
      <c r="BV304" s="199"/>
      <c r="BW304" s="199"/>
      <c r="BX304" s="199"/>
      <c r="BY304" s="199"/>
      <c r="BZ304" s="199"/>
      <c r="CA304" s="199"/>
      <c r="CB304" s="199"/>
      <c r="CC304" s="199"/>
      <c r="CD304" s="199"/>
      <c r="CE304" s="199"/>
      <c r="CF304" s="199"/>
      <c r="CG304" s="199"/>
      <c r="CH304" s="199"/>
      <c r="CI304" s="199"/>
      <c r="CJ304" s="199"/>
      <c r="CK304" s="199"/>
      <c r="CL304" s="199"/>
      <c r="CM304" s="199"/>
      <c r="CN304" s="199"/>
      <c r="CO304" s="199"/>
      <c r="CP304" s="199"/>
      <c r="CQ304" s="199"/>
      <c r="CR304" s="199"/>
      <c r="CS304" s="199"/>
      <c r="CT304" s="199"/>
      <c r="CU304" s="199"/>
      <c r="CV304" s="199"/>
      <c r="CW304" s="199"/>
      <c r="CX304" s="199"/>
      <c r="CY304" s="199"/>
      <c r="CZ304" s="199"/>
      <c r="DA304" s="199"/>
      <c r="DB304" s="199"/>
      <c r="DC304" s="199"/>
      <c r="DD304" s="199"/>
      <c r="DE304" s="199"/>
      <c r="DF304" s="199"/>
      <c r="DG304" s="199"/>
      <c r="DH304" s="199"/>
      <c r="DI304" s="199"/>
      <c r="DJ304" s="199"/>
      <c r="DK304" s="199"/>
      <c r="DL304" s="199"/>
      <c r="DM304" s="199"/>
      <c r="DN304" s="199"/>
      <c r="DO304" s="199"/>
      <c r="DP304" s="199"/>
      <c r="DQ304" s="199"/>
      <c r="DR304" s="199"/>
      <c r="DS304" s="199"/>
      <c r="DT304" s="199"/>
      <c r="DU304" s="199"/>
      <c r="DV304" s="199"/>
      <c r="DW304" s="199"/>
      <c r="DX304" s="199"/>
      <c r="DY304" s="199"/>
      <c r="DZ304" s="199"/>
      <c r="EA304" s="199"/>
      <c r="EB304" s="199"/>
      <c r="EC304" s="199"/>
      <c r="ED304" s="199"/>
      <c r="EE304" s="199"/>
      <c r="EF304" s="199"/>
      <c r="EG304" s="199"/>
      <c r="EH304" s="199"/>
      <c r="EI304" s="199"/>
      <c r="EJ304" s="199"/>
      <c r="EK304" s="199"/>
      <c r="EL304" s="199"/>
      <c r="EM304" s="199"/>
      <c r="EN304" s="199"/>
      <c r="EO304" s="199"/>
      <c r="EP304" s="199"/>
      <c r="EQ304" s="199"/>
      <c r="ER304" s="199"/>
      <c r="ES304" s="199"/>
      <c r="ET304" s="199"/>
      <c r="EU304" s="199"/>
      <c r="EV304" s="199"/>
      <c r="EW304" s="199"/>
      <c r="EX304" s="199"/>
      <c r="EY304" s="199"/>
      <c r="EZ304" s="199"/>
      <c r="FA304" s="199"/>
      <c r="FB304" s="199"/>
      <c r="FC304" s="199"/>
      <c r="FD304" s="199"/>
      <c r="FE304" s="199"/>
      <c r="FF304" s="199"/>
      <c r="FG304" s="199"/>
      <c r="FH304" s="199"/>
      <c r="FI304" s="199"/>
      <c r="FJ304" s="199"/>
      <c r="FK304" s="199"/>
      <c r="FL304" s="199"/>
      <c r="FM304" s="199"/>
      <c r="FN304" s="199"/>
      <c r="FO304" s="199"/>
      <c r="FP304" s="199"/>
      <c r="FQ304" s="199"/>
      <c r="FR304" s="199"/>
      <c r="FS304" s="199"/>
      <c r="FT304" s="199"/>
      <c r="FU304" s="199"/>
      <c r="FV304" s="199"/>
      <c r="FW304" s="199"/>
      <c r="FX304" s="199"/>
      <c r="FY304" s="199"/>
      <c r="FZ304" s="199"/>
      <c r="GA304" s="199"/>
      <c r="GB304" s="199"/>
      <c r="GC304" s="199"/>
      <c r="GD304" s="199"/>
      <c r="GE304" s="199"/>
      <c r="GF304" s="199"/>
      <c r="GG304" s="199"/>
      <c r="GH304" s="199"/>
      <c r="GI304" s="199"/>
      <c r="GJ304" s="199"/>
      <c r="GK304" s="199"/>
      <c r="GL304" s="199"/>
      <c r="GM304" s="199"/>
      <c r="GN304" s="199"/>
      <c r="GO304" s="199"/>
      <c r="GP304" s="199"/>
      <c r="GQ304" s="199"/>
      <c r="GR304" s="199"/>
      <c r="GS304" s="199"/>
      <c r="GT304" s="199"/>
      <c r="GU304" s="199"/>
      <c r="GV304" s="199"/>
      <c r="GW304" s="199"/>
      <c r="GX304" s="199"/>
      <c r="GY304" s="199"/>
      <c r="GZ304" s="199"/>
      <c r="HA304" s="199"/>
      <c r="HB304" s="199"/>
      <c r="HC304" s="199"/>
      <c r="HD304" s="199"/>
      <c r="HE304" s="199"/>
      <c r="HF304" s="199"/>
      <c r="HG304" s="199"/>
      <c r="HH304" s="199"/>
      <c r="HI304" s="199"/>
      <c r="HJ304" s="199"/>
      <c r="HK304" s="199"/>
      <c r="HL304" s="199"/>
      <c r="HM304" s="199"/>
      <c r="HN304" s="199"/>
      <c r="HO304" s="199"/>
      <c r="HP304" s="199"/>
      <c r="HQ304" s="199"/>
      <c r="HR304" s="199"/>
      <c r="HS304" s="199"/>
      <c r="HT304" s="199"/>
      <c r="HU304" s="199"/>
      <c r="HV304" s="199"/>
      <c r="HW304" s="199"/>
      <c r="HX304" s="199"/>
      <c r="HY304" s="199"/>
      <c r="HZ304" s="199"/>
      <c r="IA304" s="199"/>
      <c r="IB304" s="199"/>
      <c r="IC304" s="199"/>
      <c r="ID304" s="199"/>
      <c r="IE304" s="199"/>
      <c r="IF304" s="199"/>
      <c r="IG304" s="199"/>
      <c r="IH304" s="199"/>
      <c r="II304" s="199"/>
      <c r="IJ304" s="199"/>
      <c r="IK304" s="199"/>
      <c r="IL304" s="199"/>
      <c r="IM304" s="199"/>
      <c r="IN304" s="199"/>
      <c r="IO304" s="199"/>
      <c r="IP304" s="199"/>
      <c r="IQ304" s="199"/>
    </row>
    <row r="305" spans="1:251" s="166" customFormat="1" ht="18">
      <c r="A305" s="201" t="s">
        <v>243</v>
      </c>
      <c r="B305" s="197"/>
      <c r="C305" s="185" t="s">
        <v>244</v>
      </c>
      <c r="D305" s="197"/>
      <c r="E305" s="197"/>
      <c r="F305" s="197"/>
      <c r="G305" s="197"/>
      <c r="H305" s="197"/>
      <c r="I305" s="197"/>
      <c r="J305" s="197"/>
      <c r="K305" s="197"/>
      <c r="L305" s="197"/>
      <c r="M305" s="197"/>
      <c r="N305" s="199"/>
      <c r="O305" s="199"/>
      <c r="P305" s="199"/>
      <c r="Q305" s="199"/>
      <c r="R305" s="199"/>
      <c r="S305" s="199"/>
      <c r="T305" s="199"/>
      <c r="U305" s="199"/>
      <c r="V305" s="199"/>
      <c r="W305" s="199"/>
      <c r="X305" s="199"/>
      <c r="Y305" s="199"/>
      <c r="Z305" s="199"/>
      <c r="AA305" s="199"/>
      <c r="AB305" s="199"/>
      <c r="AC305" s="199"/>
      <c r="AD305" s="199"/>
      <c r="AE305" s="199"/>
      <c r="AF305" s="199"/>
      <c r="AG305" s="199"/>
      <c r="AH305" s="199"/>
      <c r="AI305" s="199"/>
      <c r="AJ305" s="199"/>
      <c r="AK305" s="199"/>
      <c r="AL305" s="199"/>
      <c r="AM305" s="199"/>
      <c r="AN305" s="199"/>
      <c r="AO305" s="199"/>
      <c r="AP305" s="199"/>
      <c r="AQ305" s="199"/>
      <c r="AR305" s="199"/>
      <c r="AS305" s="199"/>
      <c r="AT305" s="199"/>
      <c r="AU305" s="199"/>
      <c r="AV305" s="199"/>
      <c r="AW305" s="199"/>
      <c r="AX305" s="199"/>
      <c r="AY305" s="199"/>
      <c r="AZ305" s="199"/>
      <c r="BA305" s="199"/>
      <c r="BB305" s="199"/>
      <c r="BC305" s="199"/>
      <c r="BD305" s="199"/>
      <c r="BE305" s="199"/>
      <c r="BF305" s="199"/>
      <c r="BG305" s="199"/>
      <c r="BH305" s="199"/>
      <c r="BI305" s="199"/>
      <c r="BJ305" s="199"/>
      <c r="BK305" s="199"/>
      <c r="BL305" s="199"/>
      <c r="BM305" s="199"/>
      <c r="BN305" s="199"/>
      <c r="BO305" s="199"/>
      <c r="BP305" s="199"/>
      <c r="BQ305" s="199"/>
      <c r="BR305" s="199"/>
      <c r="BS305" s="199"/>
      <c r="BT305" s="199"/>
      <c r="BU305" s="199"/>
      <c r="BV305" s="199"/>
      <c r="BW305" s="199"/>
      <c r="BX305" s="199"/>
      <c r="BY305" s="199"/>
      <c r="BZ305" s="199"/>
      <c r="CA305" s="199"/>
      <c r="CB305" s="199"/>
      <c r="CC305" s="199"/>
      <c r="CD305" s="199"/>
      <c r="CE305" s="199"/>
      <c r="CF305" s="199"/>
      <c r="CG305" s="199"/>
      <c r="CH305" s="199"/>
      <c r="CI305" s="199"/>
      <c r="CJ305" s="199"/>
      <c r="CK305" s="199"/>
      <c r="CL305" s="199"/>
      <c r="CM305" s="199"/>
      <c r="CN305" s="199"/>
      <c r="CO305" s="199"/>
      <c r="CP305" s="199"/>
      <c r="CQ305" s="199"/>
      <c r="CR305" s="199"/>
      <c r="CS305" s="199"/>
      <c r="CT305" s="199"/>
      <c r="CU305" s="199"/>
      <c r="CV305" s="199"/>
      <c r="CW305" s="199"/>
      <c r="CX305" s="199"/>
      <c r="CY305" s="199"/>
      <c r="CZ305" s="199"/>
      <c r="DA305" s="199"/>
      <c r="DB305" s="199"/>
      <c r="DC305" s="199"/>
      <c r="DD305" s="199"/>
      <c r="DE305" s="199"/>
      <c r="DF305" s="199"/>
      <c r="DG305" s="199"/>
      <c r="DH305" s="199"/>
      <c r="DI305" s="199"/>
      <c r="DJ305" s="199"/>
      <c r="DK305" s="199"/>
      <c r="DL305" s="199"/>
      <c r="DM305" s="199"/>
      <c r="DN305" s="199"/>
      <c r="DO305" s="199"/>
      <c r="DP305" s="199"/>
      <c r="DQ305" s="199"/>
      <c r="DR305" s="199"/>
      <c r="DS305" s="199"/>
      <c r="DT305" s="199"/>
      <c r="DU305" s="199"/>
      <c r="DV305" s="199"/>
      <c r="DW305" s="199"/>
      <c r="DX305" s="199"/>
      <c r="DY305" s="199"/>
      <c r="DZ305" s="199"/>
      <c r="EA305" s="199"/>
      <c r="EB305" s="199"/>
      <c r="EC305" s="199"/>
      <c r="ED305" s="199"/>
      <c r="EE305" s="199"/>
      <c r="EF305" s="199"/>
      <c r="EG305" s="199"/>
      <c r="EH305" s="199"/>
      <c r="EI305" s="199"/>
      <c r="EJ305" s="199"/>
      <c r="EK305" s="199"/>
      <c r="EL305" s="199"/>
      <c r="EM305" s="199"/>
      <c r="EN305" s="199"/>
      <c r="EO305" s="199"/>
      <c r="EP305" s="199"/>
      <c r="EQ305" s="199"/>
      <c r="ER305" s="199"/>
      <c r="ES305" s="199"/>
      <c r="ET305" s="199"/>
      <c r="EU305" s="199"/>
      <c r="EV305" s="199"/>
      <c r="EW305" s="199"/>
      <c r="EX305" s="199"/>
      <c r="EY305" s="199"/>
      <c r="EZ305" s="199"/>
      <c r="FA305" s="199"/>
      <c r="FB305" s="199"/>
      <c r="FC305" s="199"/>
      <c r="FD305" s="199"/>
      <c r="FE305" s="199"/>
      <c r="FF305" s="199"/>
      <c r="FG305" s="199"/>
      <c r="FH305" s="199"/>
      <c r="FI305" s="199"/>
      <c r="FJ305" s="199"/>
      <c r="FK305" s="199"/>
      <c r="FL305" s="199"/>
      <c r="FM305" s="199"/>
      <c r="FN305" s="199"/>
      <c r="FO305" s="199"/>
      <c r="FP305" s="199"/>
      <c r="FQ305" s="199"/>
      <c r="FR305" s="199"/>
      <c r="FS305" s="199"/>
      <c r="FT305" s="199"/>
      <c r="FU305" s="199"/>
      <c r="FV305" s="199"/>
      <c r="FW305" s="199"/>
      <c r="FX305" s="199"/>
      <c r="FY305" s="199"/>
      <c r="FZ305" s="199"/>
      <c r="GA305" s="199"/>
      <c r="GB305" s="199"/>
      <c r="GC305" s="199"/>
      <c r="GD305" s="199"/>
      <c r="GE305" s="199"/>
      <c r="GF305" s="199"/>
      <c r="GG305" s="199"/>
      <c r="GH305" s="199"/>
      <c r="GI305" s="199"/>
      <c r="GJ305" s="199"/>
      <c r="GK305" s="199"/>
      <c r="GL305" s="199"/>
      <c r="GM305" s="199"/>
      <c r="GN305" s="199"/>
      <c r="GO305" s="199"/>
      <c r="GP305" s="199"/>
      <c r="GQ305" s="199"/>
      <c r="GR305" s="199"/>
      <c r="GS305" s="199"/>
      <c r="GT305" s="199"/>
      <c r="GU305" s="199"/>
      <c r="GV305" s="199"/>
      <c r="GW305" s="199"/>
      <c r="GX305" s="199"/>
      <c r="GY305" s="199"/>
      <c r="GZ305" s="199"/>
      <c r="HA305" s="199"/>
      <c r="HB305" s="199"/>
      <c r="HC305" s="199"/>
      <c r="HD305" s="199"/>
      <c r="HE305" s="199"/>
      <c r="HF305" s="199"/>
      <c r="HG305" s="199"/>
      <c r="HH305" s="199"/>
      <c r="HI305" s="199"/>
      <c r="HJ305" s="199"/>
      <c r="HK305" s="199"/>
      <c r="HL305" s="199"/>
      <c r="HM305" s="199"/>
      <c r="HN305" s="199"/>
      <c r="HO305" s="199"/>
      <c r="HP305" s="199"/>
      <c r="HQ305" s="199"/>
      <c r="HR305" s="199"/>
      <c r="HS305" s="199"/>
      <c r="HT305" s="199"/>
      <c r="HU305" s="199"/>
      <c r="HV305" s="199"/>
      <c r="HW305" s="199"/>
      <c r="HX305" s="199"/>
      <c r="HY305" s="199"/>
      <c r="HZ305" s="199"/>
      <c r="IA305" s="199"/>
      <c r="IB305" s="199"/>
      <c r="IC305" s="199"/>
      <c r="ID305" s="199"/>
      <c r="IE305" s="199"/>
      <c r="IF305" s="199"/>
      <c r="IG305" s="199"/>
      <c r="IH305" s="199"/>
      <c r="II305" s="199"/>
      <c r="IJ305" s="199"/>
      <c r="IK305" s="199"/>
      <c r="IL305" s="199"/>
      <c r="IM305" s="199"/>
      <c r="IN305" s="199"/>
      <c r="IO305" s="199"/>
      <c r="IP305" s="199"/>
      <c r="IQ305" s="199"/>
    </row>
    <row r="306" spans="1:251" s="166" customFormat="1" ht="18">
      <c r="A306" s="183"/>
      <c r="B306" s="184"/>
      <c r="C306" s="185" t="s">
        <v>245</v>
      </c>
      <c r="D306" s="184"/>
      <c r="E306" s="184"/>
      <c r="F306" s="184"/>
      <c r="G306" s="184"/>
      <c r="H306" s="184"/>
      <c r="I306" s="184"/>
      <c r="J306" s="184"/>
      <c r="K306" s="184"/>
      <c r="L306" s="184"/>
      <c r="M306" s="183"/>
    </row>
    <row r="307" spans="1:251" s="166" customFormat="1" ht="18">
      <c r="A307" s="183" t="s">
        <v>246</v>
      </c>
      <c r="B307" s="184"/>
      <c r="C307" s="186" t="s">
        <v>247</v>
      </c>
      <c r="D307" s="185"/>
      <c r="E307" s="185"/>
      <c r="F307" s="185"/>
      <c r="G307" s="185"/>
      <c r="H307" s="185"/>
      <c r="I307" s="185"/>
      <c r="J307" s="185"/>
      <c r="K307" s="185"/>
      <c r="L307" s="185"/>
      <c r="M307" s="183"/>
    </row>
    <row r="308" spans="1:251" s="166" customFormat="1" ht="18">
      <c r="A308" s="202" t="s">
        <v>248</v>
      </c>
      <c r="B308" s="186"/>
      <c r="C308" s="185" t="s">
        <v>249</v>
      </c>
      <c r="D308" s="185"/>
      <c r="E308" s="185"/>
      <c r="F308" s="185"/>
      <c r="G308" s="185"/>
      <c r="H308" s="185"/>
      <c r="I308" s="185"/>
      <c r="J308" s="185"/>
      <c r="K308" s="185"/>
      <c r="L308" s="185"/>
      <c r="M308" s="186"/>
    </row>
    <row r="309" spans="1:251" s="166" customFormat="1" ht="18">
      <c r="A309" s="202" t="s">
        <v>250</v>
      </c>
      <c r="B309" s="186"/>
      <c r="C309" s="203" t="s">
        <v>251</v>
      </c>
      <c r="D309" s="185"/>
      <c r="E309" s="185"/>
      <c r="F309" s="185"/>
      <c r="G309" s="185"/>
      <c r="H309" s="185"/>
      <c r="I309" s="185"/>
      <c r="J309" s="185"/>
      <c r="K309" s="185"/>
      <c r="L309" s="185"/>
      <c r="M309" s="186"/>
    </row>
    <row r="310" spans="1:251" s="166" customFormat="1" ht="18">
      <c r="A310" s="186"/>
      <c r="B310" s="186"/>
      <c r="C310" s="203" t="s">
        <v>252</v>
      </c>
      <c r="D310" s="185"/>
      <c r="E310" s="185"/>
      <c r="F310" s="185"/>
      <c r="G310" s="185"/>
      <c r="H310" s="185"/>
      <c r="I310" s="185"/>
      <c r="J310" s="185"/>
      <c r="K310" s="185"/>
      <c r="L310" s="185"/>
      <c r="M310" s="186"/>
    </row>
    <row r="311" spans="1:251" s="166" customFormat="1" ht="21.75" customHeight="1">
      <c r="A311" s="202" t="s">
        <v>253</v>
      </c>
      <c r="B311" s="186"/>
      <c r="C311" s="185" t="s">
        <v>254</v>
      </c>
      <c r="D311" s="185"/>
      <c r="E311" s="185"/>
      <c r="F311" s="185"/>
      <c r="G311" s="185"/>
      <c r="H311" s="185"/>
      <c r="I311" s="185"/>
      <c r="J311" s="185"/>
      <c r="K311" s="185"/>
      <c r="L311" s="185"/>
      <c r="M311" s="186"/>
    </row>
    <row r="312" spans="1:251" s="166" customFormat="1" ht="22.5" customHeight="1">
      <c r="A312" s="186"/>
      <c r="B312" s="186"/>
      <c r="C312" s="185" t="s">
        <v>255</v>
      </c>
      <c r="D312" s="185"/>
      <c r="E312" s="185"/>
      <c r="F312" s="185"/>
      <c r="G312" s="185"/>
      <c r="H312" s="185"/>
      <c r="I312" s="185"/>
      <c r="J312" s="185"/>
      <c r="K312" s="185"/>
      <c r="L312" s="185"/>
      <c r="M312" s="186"/>
    </row>
    <row r="313" spans="1:251" s="166" customFormat="1" ht="18">
      <c r="A313" s="186"/>
      <c r="B313" s="186"/>
      <c r="C313" s="197"/>
      <c r="D313" s="197"/>
      <c r="E313" s="204"/>
      <c r="F313" s="204"/>
      <c r="G313" s="197"/>
      <c r="H313" s="205"/>
      <c r="I313" s="186"/>
      <c r="J313" s="186"/>
      <c r="K313" s="186"/>
      <c r="L313" s="186"/>
      <c r="M313" s="186"/>
    </row>
    <row r="314" spans="1:251" s="166" customFormat="1" ht="18">
      <c r="A314" s="186"/>
      <c r="B314" s="186"/>
      <c r="C314" s="197"/>
      <c r="D314" s="197"/>
      <c r="E314" s="204"/>
      <c r="F314" s="204"/>
      <c r="G314" s="197"/>
      <c r="H314" s="206"/>
      <c r="I314" s="186"/>
      <c r="J314" s="186"/>
      <c r="K314" s="186"/>
      <c r="L314" s="186"/>
      <c r="M314" s="186"/>
    </row>
    <row r="315" spans="1:251" s="166" customFormat="1" ht="18">
      <c r="A315" s="186"/>
      <c r="B315" s="186"/>
      <c r="C315" s="186"/>
      <c r="D315" s="186"/>
      <c r="E315" s="186"/>
      <c r="F315" s="186"/>
      <c r="G315" s="186"/>
      <c r="H315" s="186"/>
      <c r="I315" s="186"/>
      <c r="J315" s="186"/>
      <c r="K315" s="186"/>
      <c r="L315" s="186"/>
      <c r="M315" s="186"/>
    </row>
    <row r="316" spans="1:251" s="166" customFormat="1" ht="18">
      <c r="A316" s="186"/>
      <c r="B316" s="186"/>
      <c r="C316" s="186"/>
      <c r="D316" s="186"/>
      <c r="E316" s="186"/>
      <c r="F316" s="186"/>
      <c r="G316" s="186"/>
      <c r="H316" s="186"/>
      <c r="I316" s="186"/>
      <c r="J316" s="186"/>
      <c r="K316" s="186"/>
      <c r="L316" s="186"/>
      <c r="M316" s="186"/>
    </row>
    <row r="317" spans="1:251" s="166" customFormat="1" ht="18">
      <c r="A317" s="186"/>
      <c r="B317" s="186"/>
      <c r="C317" s="186"/>
      <c r="D317" s="186"/>
      <c r="E317" s="186"/>
      <c r="F317" s="186"/>
      <c r="G317" s="186"/>
      <c r="H317" s="186"/>
      <c r="I317" s="186"/>
      <c r="J317" s="186"/>
      <c r="K317" s="186"/>
      <c r="L317" s="186"/>
      <c r="M317" s="186"/>
    </row>
    <row r="318" spans="1:251" s="166" customFormat="1" ht="18">
      <c r="A318" s="186"/>
      <c r="B318" s="186"/>
      <c r="C318" s="186"/>
      <c r="D318" s="186"/>
      <c r="E318" s="186"/>
      <c r="F318" s="186"/>
      <c r="G318" s="186"/>
      <c r="H318" s="186"/>
      <c r="I318" s="186"/>
      <c r="J318" s="186"/>
      <c r="K318" s="186"/>
      <c r="L318" s="186"/>
      <c r="M318" s="186"/>
    </row>
    <row r="319" spans="1:251" s="166" customFormat="1" ht="18">
      <c r="A319" s="186"/>
      <c r="B319" s="186"/>
      <c r="C319" s="186"/>
      <c r="D319" s="186"/>
      <c r="E319" s="186"/>
      <c r="F319" s="186"/>
      <c r="G319" s="186"/>
      <c r="H319" s="186"/>
      <c r="I319" s="186"/>
      <c r="J319" s="186"/>
      <c r="K319" s="186"/>
      <c r="L319" s="186"/>
      <c r="M319" s="186"/>
    </row>
    <row r="320" spans="1:251" s="166" customFormat="1" ht="18">
      <c r="A320" s="186"/>
      <c r="B320" s="186"/>
      <c r="C320" s="186"/>
      <c r="D320" s="186"/>
      <c r="E320" s="186"/>
      <c r="F320" s="186"/>
      <c r="G320" s="186"/>
      <c r="H320" s="186"/>
      <c r="I320" s="186"/>
      <c r="J320" s="186"/>
      <c r="K320" s="186"/>
      <c r="L320" s="186"/>
      <c r="M320" s="186"/>
    </row>
    <row r="321" spans="1:13" s="166" customFormat="1" ht="18">
      <c r="A321" s="186"/>
      <c r="B321" s="186"/>
      <c r="C321" s="186"/>
      <c r="D321" s="186"/>
      <c r="E321" s="186"/>
      <c r="F321" s="186"/>
      <c r="G321" s="186"/>
      <c r="H321" s="186"/>
      <c r="I321" s="186"/>
      <c r="J321" s="186"/>
      <c r="K321" s="186"/>
      <c r="L321" s="186"/>
      <c r="M321" s="186"/>
    </row>
    <row r="322" spans="1:13" s="166" customFormat="1" ht="18">
      <c r="A322" s="186"/>
      <c r="B322" s="186"/>
      <c r="C322" s="186"/>
      <c r="D322" s="186"/>
      <c r="E322" s="186"/>
      <c r="F322" s="186"/>
      <c r="G322" s="186"/>
      <c r="H322" s="186"/>
      <c r="I322" s="186"/>
      <c r="J322" s="186"/>
      <c r="K322" s="186"/>
      <c r="L322" s="186"/>
      <c r="M322" s="186"/>
    </row>
    <row r="323" spans="1:13" s="166" customFormat="1" ht="18">
      <c r="A323" s="186"/>
      <c r="B323" s="186"/>
      <c r="C323" s="186"/>
      <c r="D323" s="186"/>
      <c r="E323" s="186"/>
      <c r="F323" s="186"/>
      <c r="G323" s="186"/>
      <c r="H323" s="186"/>
      <c r="I323" s="186"/>
      <c r="J323" s="186"/>
      <c r="K323" s="186"/>
      <c r="L323" s="186"/>
      <c r="M323" s="186"/>
    </row>
    <row r="324" spans="1:13" s="166" customFormat="1" ht="18">
      <c r="A324" s="186"/>
      <c r="B324" s="186"/>
      <c r="C324" s="186"/>
      <c r="D324" s="186"/>
      <c r="E324" s="186"/>
      <c r="F324" s="186"/>
      <c r="G324" s="186"/>
      <c r="H324" s="186"/>
      <c r="I324" s="186"/>
      <c r="J324" s="186"/>
      <c r="K324" s="186"/>
      <c r="L324" s="186"/>
      <c r="M324" s="186"/>
    </row>
    <row r="325" spans="1:13" s="166" customFormat="1" ht="18">
      <c r="A325" s="186"/>
      <c r="B325" s="186"/>
      <c r="C325" s="186"/>
      <c r="D325" s="186"/>
      <c r="E325" s="186"/>
      <c r="F325" s="186"/>
      <c r="G325" s="186"/>
      <c r="H325" s="186"/>
      <c r="I325" s="186"/>
      <c r="J325" s="186"/>
      <c r="K325" s="186"/>
      <c r="L325" s="186"/>
      <c r="M325" s="186"/>
    </row>
    <row r="326" spans="1:13" s="166" customFormat="1" ht="18">
      <c r="A326" s="186"/>
      <c r="B326" s="186"/>
      <c r="C326" s="186"/>
      <c r="D326" s="186"/>
      <c r="E326" s="186"/>
      <c r="F326" s="186"/>
      <c r="G326" s="186"/>
      <c r="H326" s="186"/>
      <c r="I326" s="186"/>
      <c r="J326" s="186"/>
      <c r="K326" s="186"/>
      <c r="L326" s="186"/>
      <c r="M326" s="186"/>
    </row>
    <row r="327" spans="1:13" s="166" customFormat="1" ht="18">
      <c r="A327" s="186"/>
      <c r="B327" s="186"/>
      <c r="C327" s="186"/>
      <c r="D327" s="186"/>
      <c r="E327" s="186"/>
      <c r="F327" s="186"/>
      <c r="G327" s="186"/>
      <c r="H327" s="186"/>
      <c r="I327" s="186"/>
      <c r="J327" s="186"/>
      <c r="K327" s="186"/>
      <c r="L327" s="186"/>
      <c r="M327" s="186"/>
    </row>
    <row r="328" spans="1:13" s="166" customFormat="1" ht="18">
      <c r="A328" s="186"/>
      <c r="B328" s="186"/>
      <c r="C328" s="186"/>
      <c r="D328" s="186"/>
      <c r="E328" s="186"/>
      <c r="F328" s="186"/>
      <c r="G328" s="186"/>
      <c r="H328" s="186"/>
      <c r="I328" s="186"/>
      <c r="J328" s="186"/>
      <c r="K328" s="186"/>
      <c r="L328" s="186"/>
      <c r="M328" s="186"/>
    </row>
    <row r="329" spans="1:13" s="166" customFormat="1" ht="18">
      <c r="A329" s="186"/>
      <c r="B329" s="186"/>
      <c r="C329" s="186"/>
      <c r="D329" s="186"/>
      <c r="E329" s="186"/>
      <c r="F329" s="186"/>
      <c r="G329" s="186"/>
      <c r="H329" s="186"/>
      <c r="I329" s="186"/>
      <c r="J329" s="186"/>
      <c r="K329" s="186"/>
      <c r="L329" s="186"/>
      <c r="M329" s="186"/>
    </row>
    <row r="330" spans="1:13" s="166" customFormat="1" ht="18">
      <c r="A330" s="186"/>
      <c r="B330" s="186"/>
      <c r="C330" s="186"/>
      <c r="D330" s="186"/>
      <c r="E330" s="186"/>
      <c r="F330" s="186"/>
      <c r="G330" s="186"/>
      <c r="H330" s="186"/>
      <c r="I330" s="186"/>
      <c r="J330" s="186"/>
      <c r="K330" s="186"/>
      <c r="L330" s="186"/>
      <c r="M330" s="186"/>
    </row>
    <row r="331" spans="1:13" s="166" customFormat="1" ht="18">
      <c r="A331" s="186"/>
      <c r="B331" s="186"/>
      <c r="C331" s="186"/>
      <c r="D331" s="186"/>
      <c r="E331" s="186"/>
      <c r="F331" s="186"/>
      <c r="G331" s="186"/>
      <c r="H331" s="186"/>
      <c r="I331" s="186"/>
      <c r="J331" s="186"/>
      <c r="K331" s="186"/>
      <c r="L331" s="186"/>
      <c r="M331" s="186"/>
    </row>
    <row r="332" spans="1:13" s="166" customFormat="1" ht="18">
      <c r="A332" s="186"/>
      <c r="B332" s="186"/>
      <c r="C332" s="186"/>
      <c r="D332" s="186"/>
      <c r="E332" s="186"/>
      <c r="F332" s="186"/>
      <c r="G332" s="186"/>
      <c r="H332" s="186"/>
      <c r="I332" s="186"/>
      <c r="J332" s="186"/>
      <c r="K332" s="186"/>
      <c r="L332" s="186"/>
      <c r="M332" s="186"/>
    </row>
    <row r="333" spans="1:13" s="166" customFormat="1" ht="18">
      <c r="A333" s="186"/>
      <c r="B333" s="186"/>
      <c r="C333" s="186"/>
      <c r="D333" s="186"/>
      <c r="E333" s="186"/>
      <c r="F333" s="186"/>
      <c r="G333" s="186"/>
      <c r="H333" s="186"/>
      <c r="I333" s="186"/>
      <c r="J333" s="186"/>
      <c r="K333" s="186"/>
      <c r="L333" s="186"/>
      <c r="M333" s="186"/>
    </row>
    <row r="334" spans="1:13" s="166" customFormat="1" ht="18">
      <c r="A334" s="186"/>
      <c r="B334" s="186"/>
      <c r="C334" s="186"/>
      <c r="D334" s="186"/>
      <c r="E334" s="186"/>
      <c r="F334" s="186"/>
      <c r="G334" s="186"/>
      <c r="H334" s="186"/>
      <c r="I334" s="186"/>
      <c r="J334" s="186"/>
      <c r="K334" s="186"/>
      <c r="L334" s="186"/>
      <c r="M334" s="186"/>
    </row>
    <row r="335" spans="1:13" s="166" customFormat="1" ht="18">
      <c r="A335" s="186"/>
      <c r="B335" s="186"/>
      <c r="C335" s="186"/>
      <c r="D335" s="186"/>
      <c r="E335" s="186"/>
      <c r="F335" s="186"/>
      <c r="G335" s="186"/>
      <c r="H335" s="186"/>
      <c r="I335" s="186"/>
      <c r="J335" s="186"/>
      <c r="K335" s="186"/>
      <c r="L335" s="186"/>
      <c r="M335" s="186"/>
    </row>
    <row r="336" spans="1:13" s="166" customFormat="1" ht="18">
      <c r="A336" s="186"/>
      <c r="B336" s="186"/>
      <c r="C336" s="186"/>
      <c r="D336" s="186"/>
      <c r="E336" s="186"/>
      <c r="F336" s="186"/>
      <c r="G336" s="186"/>
      <c r="H336" s="186"/>
      <c r="I336" s="186"/>
      <c r="J336" s="186"/>
      <c r="K336" s="186"/>
      <c r="L336" s="186"/>
      <c r="M336" s="186"/>
    </row>
    <row r="337" spans="1:13" s="166" customFormat="1" ht="18">
      <c r="A337" s="186"/>
      <c r="B337" s="186"/>
      <c r="C337" s="186"/>
      <c r="D337" s="186"/>
      <c r="E337" s="186"/>
      <c r="F337" s="186"/>
      <c r="G337" s="186"/>
      <c r="H337" s="186"/>
      <c r="I337" s="186"/>
      <c r="J337" s="186"/>
      <c r="K337" s="186"/>
      <c r="L337" s="186"/>
      <c r="M337" s="186"/>
    </row>
    <row r="338" spans="1:13" s="166" customFormat="1" ht="18">
      <c r="A338" s="186"/>
      <c r="B338" s="186"/>
      <c r="C338" s="186"/>
      <c r="D338" s="186"/>
      <c r="E338" s="186"/>
      <c r="F338" s="186"/>
      <c r="G338" s="186"/>
      <c r="H338" s="186"/>
      <c r="I338" s="186"/>
      <c r="J338" s="186"/>
      <c r="K338" s="186"/>
      <c r="L338" s="186"/>
      <c r="M338" s="186"/>
    </row>
    <row r="339" spans="1:13" s="166" customFormat="1" ht="18">
      <c r="A339" s="186"/>
      <c r="B339" s="186"/>
      <c r="C339" s="186"/>
      <c r="D339" s="186"/>
      <c r="E339" s="186"/>
      <c r="F339" s="186"/>
      <c r="G339" s="186"/>
      <c r="H339" s="186"/>
      <c r="I339" s="186"/>
      <c r="J339" s="186"/>
      <c r="K339" s="186"/>
      <c r="L339" s="186"/>
      <c r="M339" s="186"/>
    </row>
    <row r="340" spans="1:13" s="166" customFormat="1" ht="18">
      <c r="A340" s="186"/>
      <c r="B340" s="186"/>
      <c r="C340" s="186"/>
      <c r="D340" s="186"/>
      <c r="E340" s="186"/>
      <c r="F340" s="186"/>
      <c r="G340" s="186"/>
      <c r="H340" s="186"/>
      <c r="I340" s="186"/>
      <c r="J340" s="186"/>
      <c r="K340" s="186"/>
      <c r="L340" s="186"/>
      <c r="M340" s="186"/>
    </row>
    <row r="341" spans="1:13" s="166" customFormat="1" ht="18">
      <c r="A341" s="186"/>
      <c r="B341" s="186"/>
      <c r="C341" s="186"/>
      <c r="D341" s="186"/>
      <c r="E341" s="186"/>
      <c r="F341" s="186"/>
      <c r="G341" s="186"/>
      <c r="H341" s="186"/>
      <c r="I341" s="186"/>
      <c r="J341" s="186"/>
      <c r="K341" s="186"/>
      <c r="L341" s="186"/>
      <c r="M341" s="186"/>
    </row>
    <row r="342" spans="1:13" s="166" customFormat="1" ht="18">
      <c r="A342" s="186"/>
      <c r="B342" s="186"/>
      <c r="C342" s="186"/>
      <c r="D342" s="186"/>
      <c r="E342" s="186"/>
      <c r="F342" s="186"/>
      <c r="G342" s="186"/>
      <c r="H342" s="186"/>
      <c r="I342" s="186"/>
      <c r="J342" s="186"/>
      <c r="K342" s="186"/>
      <c r="L342" s="186"/>
      <c r="M342" s="186"/>
    </row>
    <row r="343" spans="1:13" s="166" customFormat="1" ht="18">
      <c r="A343" s="186"/>
      <c r="B343" s="186"/>
      <c r="C343" s="186"/>
      <c r="D343" s="186"/>
      <c r="E343" s="186"/>
      <c r="F343" s="186"/>
      <c r="G343" s="186"/>
      <c r="H343" s="186"/>
      <c r="I343" s="186"/>
      <c r="J343" s="186"/>
      <c r="K343" s="186"/>
      <c r="L343" s="186"/>
      <c r="M343" s="186"/>
    </row>
    <row r="344" spans="1:13" s="166" customFormat="1" ht="18">
      <c r="A344" s="186"/>
      <c r="B344" s="186"/>
      <c r="C344" s="186"/>
      <c r="D344" s="186"/>
      <c r="E344" s="186"/>
      <c r="F344" s="186"/>
      <c r="G344" s="186"/>
      <c r="H344" s="186"/>
      <c r="I344" s="186"/>
      <c r="J344" s="186"/>
      <c r="K344" s="186"/>
      <c r="L344" s="186"/>
      <c r="M344" s="186"/>
    </row>
    <row r="345" spans="1:13" s="166" customFormat="1" ht="18">
      <c r="A345" s="186"/>
      <c r="B345" s="186"/>
      <c r="C345" s="186"/>
      <c r="D345" s="186"/>
      <c r="E345" s="186"/>
      <c r="F345" s="186"/>
      <c r="G345" s="186"/>
      <c r="H345" s="186"/>
      <c r="I345" s="186"/>
      <c r="J345" s="186"/>
      <c r="K345" s="186"/>
      <c r="L345" s="186"/>
      <c r="M345" s="186"/>
    </row>
    <row r="346" spans="1:13" s="166" customFormat="1" ht="18">
      <c r="A346" s="186"/>
      <c r="B346" s="186"/>
      <c r="C346" s="186"/>
      <c r="D346" s="186"/>
      <c r="E346" s="186"/>
      <c r="F346" s="186"/>
      <c r="G346" s="186"/>
      <c r="H346" s="186"/>
      <c r="I346" s="186"/>
      <c r="J346" s="186"/>
      <c r="K346" s="186"/>
      <c r="L346" s="186"/>
      <c r="M346" s="186"/>
    </row>
    <row r="347" spans="1:13" s="166" customFormat="1" ht="18">
      <c r="A347" s="186"/>
      <c r="B347" s="186"/>
      <c r="C347" s="186"/>
      <c r="D347" s="186"/>
      <c r="E347" s="186"/>
      <c r="F347" s="186"/>
      <c r="G347" s="186"/>
      <c r="H347" s="186"/>
      <c r="I347" s="186"/>
      <c r="J347" s="186"/>
      <c r="K347" s="186"/>
      <c r="L347" s="186"/>
      <c r="M347" s="186"/>
    </row>
    <row r="348" spans="1:13" s="166" customFormat="1" ht="18">
      <c r="A348" s="186"/>
      <c r="B348" s="186"/>
      <c r="C348" s="186"/>
      <c r="D348" s="186"/>
      <c r="E348" s="186"/>
      <c r="F348" s="186"/>
      <c r="G348" s="186"/>
      <c r="H348" s="186"/>
      <c r="I348" s="186"/>
      <c r="J348" s="186"/>
      <c r="K348" s="186"/>
      <c r="L348" s="186"/>
      <c r="M348" s="186"/>
    </row>
    <row r="349" spans="1:13" s="166" customFormat="1" ht="18">
      <c r="A349" s="186"/>
      <c r="B349" s="186"/>
      <c r="C349" s="186"/>
      <c r="D349" s="186"/>
      <c r="E349" s="186"/>
      <c r="F349" s="186"/>
      <c r="G349" s="186"/>
      <c r="H349" s="186"/>
      <c r="I349" s="186"/>
      <c r="J349" s="186"/>
      <c r="K349" s="186"/>
      <c r="L349" s="186"/>
      <c r="M349" s="186"/>
    </row>
    <row r="350" spans="1:13" s="166" customFormat="1" ht="18">
      <c r="A350" s="186"/>
      <c r="B350" s="186"/>
      <c r="C350" s="186"/>
      <c r="D350" s="186"/>
      <c r="E350" s="186"/>
      <c r="F350" s="186"/>
      <c r="G350" s="186"/>
      <c r="H350" s="186"/>
      <c r="I350" s="186"/>
      <c r="J350" s="186"/>
      <c r="K350" s="186"/>
      <c r="L350" s="186"/>
      <c r="M350" s="186"/>
    </row>
    <row r="351" spans="1:13" s="166" customFormat="1" ht="18">
      <c r="A351" s="186"/>
      <c r="B351" s="186"/>
      <c r="C351" s="186"/>
      <c r="D351" s="186"/>
      <c r="E351" s="186"/>
      <c r="F351" s="186"/>
      <c r="G351" s="186"/>
      <c r="H351" s="186"/>
      <c r="I351" s="186"/>
      <c r="J351" s="186"/>
      <c r="K351" s="186"/>
      <c r="L351" s="186"/>
      <c r="M351" s="186"/>
    </row>
    <row r="352" spans="1:13" s="166" customFormat="1" ht="18">
      <c r="A352" s="186"/>
      <c r="B352" s="186"/>
      <c r="C352" s="186"/>
      <c r="D352" s="186"/>
      <c r="E352" s="186"/>
      <c r="F352" s="186"/>
      <c r="G352" s="186"/>
      <c r="H352" s="186"/>
      <c r="I352" s="186"/>
      <c r="J352" s="186"/>
      <c r="K352" s="186"/>
      <c r="L352" s="186"/>
      <c r="M352" s="186"/>
    </row>
    <row r="353" spans="1:13" s="166" customFormat="1" ht="18">
      <c r="A353" s="186"/>
      <c r="B353" s="186"/>
      <c r="C353" s="186"/>
      <c r="D353" s="186"/>
      <c r="E353" s="186"/>
      <c r="F353" s="186"/>
      <c r="G353" s="186"/>
      <c r="H353" s="186"/>
      <c r="I353" s="186"/>
      <c r="J353" s="186"/>
      <c r="K353" s="186"/>
      <c r="L353" s="186"/>
      <c r="M353" s="186"/>
    </row>
    <row r="354" spans="1:13" s="166" customFormat="1" ht="18">
      <c r="A354" s="186"/>
      <c r="B354" s="186"/>
      <c r="C354" s="186"/>
      <c r="D354" s="186"/>
      <c r="E354" s="186"/>
      <c r="F354" s="186"/>
      <c r="G354" s="186"/>
      <c r="H354" s="186"/>
      <c r="I354" s="186"/>
      <c r="J354" s="186"/>
      <c r="K354" s="186"/>
      <c r="L354" s="186"/>
      <c r="M354" s="186"/>
    </row>
    <row r="355" spans="1:13" s="166" customFormat="1" ht="18">
      <c r="A355" s="186"/>
      <c r="B355" s="186"/>
      <c r="C355" s="186"/>
      <c r="D355" s="186"/>
      <c r="E355" s="186"/>
      <c r="F355" s="186"/>
      <c r="G355" s="186"/>
      <c r="H355" s="186"/>
      <c r="I355" s="186"/>
      <c r="J355" s="186"/>
      <c r="K355" s="186"/>
      <c r="L355" s="186"/>
      <c r="M355" s="186"/>
    </row>
    <row r="356" spans="1:13" s="166" customFormat="1" ht="18">
      <c r="A356" s="186"/>
      <c r="B356" s="186"/>
      <c r="C356" s="186"/>
      <c r="D356" s="186"/>
      <c r="E356" s="186"/>
      <c r="F356" s="186"/>
      <c r="G356" s="186"/>
      <c r="H356" s="186"/>
      <c r="I356" s="186"/>
      <c r="J356" s="186"/>
      <c r="K356" s="186"/>
      <c r="L356" s="186"/>
      <c r="M356" s="186"/>
    </row>
    <row r="357" spans="1:13" s="166" customFormat="1" ht="18">
      <c r="A357" s="186"/>
      <c r="B357" s="186"/>
      <c r="C357" s="186"/>
      <c r="D357" s="186"/>
      <c r="E357" s="186"/>
      <c r="F357" s="186"/>
      <c r="G357" s="186"/>
      <c r="H357" s="186"/>
      <c r="I357" s="186"/>
      <c r="J357" s="186"/>
      <c r="K357" s="186"/>
      <c r="L357" s="186"/>
      <c r="M357" s="186"/>
    </row>
    <row r="358" spans="1:13" s="166" customFormat="1" ht="18">
      <c r="A358" s="186"/>
      <c r="B358" s="186"/>
      <c r="C358" s="186"/>
      <c r="D358" s="186"/>
      <c r="E358" s="186"/>
      <c r="F358" s="186"/>
      <c r="G358" s="186"/>
      <c r="H358" s="186"/>
      <c r="I358" s="186"/>
      <c r="J358" s="186"/>
      <c r="K358" s="186"/>
      <c r="L358" s="186"/>
      <c r="M358" s="186"/>
    </row>
    <row r="359" spans="1:13" s="166" customFormat="1" ht="18">
      <c r="A359" s="186"/>
      <c r="B359" s="186"/>
      <c r="C359" s="186"/>
      <c r="D359" s="186"/>
      <c r="E359" s="186"/>
      <c r="F359" s="186"/>
      <c r="G359" s="186"/>
      <c r="H359" s="186"/>
      <c r="I359" s="186"/>
      <c r="J359" s="186"/>
      <c r="K359" s="186"/>
      <c r="L359" s="186"/>
      <c r="M359" s="186"/>
    </row>
    <row r="360" spans="1:13" s="166" customFormat="1" ht="18">
      <c r="A360" s="186"/>
      <c r="B360" s="186"/>
      <c r="C360" s="186"/>
      <c r="D360" s="186"/>
      <c r="E360" s="186"/>
      <c r="F360" s="186"/>
      <c r="G360" s="186"/>
      <c r="H360" s="186"/>
      <c r="I360" s="186"/>
      <c r="J360" s="186"/>
      <c r="K360" s="186"/>
      <c r="L360" s="186"/>
      <c r="M360" s="186"/>
    </row>
    <row r="361" spans="1:13" s="166" customFormat="1" ht="18">
      <c r="A361" s="186"/>
      <c r="B361" s="186"/>
      <c r="C361" s="186"/>
      <c r="D361" s="186"/>
      <c r="E361" s="186"/>
      <c r="F361" s="186"/>
      <c r="G361" s="186"/>
      <c r="H361" s="186"/>
      <c r="I361" s="186"/>
      <c r="J361" s="186"/>
      <c r="K361" s="186"/>
      <c r="L361" s="186"/>
      <c r="M361" s="186"/>
    </row>
    <row r="362" spans="1:13" s="166" customFormat="1" ht="18">
      <c r="A362" s="186"/>
      <c r="B362" s="186"/>
      <c r="C362" s="186"/>
      <c r="D362" s="186"/>
      <c r="E362" s="186"/>
      <c r="F362" s="186"/>
      <c r="G362" s="186"/>
      <c r="H362" s="186"/>
      <c r="I362" s="186"/>
      <c r="J362" s="186"/>
      <c r="K362" s="186"/>
      <c r="L362" s="186"/>
      <c r="M362" s="186"/>
    </row>
    <row r="363" spans="1:13" s="166" customFormat="1" ht="18">
      <c r="A363" s="186"/>
      <c r="B363" s="186"/>
      <c r="C363" s="186"/>
      <c r="D363" s="186"/>
      <c r="E363" s="186"/>
      <c r="F363" s="186"/>
      <c r="G363" s="186"/>
      <c r="H363" s="186"/>
      <c r="I363" s="186"/>
      <c r="J363" s="186"/>
      <c r="K363" s="186"/>
      <c r="L363" s="186"/>
      <c r="M363" s="186"/>
    </row>
    <row r="364" spans="1:13" s="166" customFormat="1" ht="18">
      <c r="A364" s="186"/>
      <c r="B364" s="186"/>
      <c r="C364" s="186"/>
      <c r="D364" s="186"/>
      <c r="E364" s="186"/>
      <c r="F364" s="186"/>
      <c r="G364" s="186"/>
      <c r="H364" s="186"/>
      <c r="I364" s="186"/>
      <c r="J364" s="186"/>
      <c r="K364" s="186"/>
      <c r="L364" s="186"/>
      <c r="M364" s="186"/>
    </row>
    <row r="365" spans="1:13" s="166" customFormat="1" ht="18">
      <c r="A365" s="186"/>
      <c r="B365" s="186"/>
      <c r="C365" s="186"/>
      <c r="D365" s="186"/>
      <c r="E365" s="186"/>
      <c r="F365" s="186"/>
      <c r="G365" s="186"/>
      <c r="H365" s="186"/>
      <c r="I365" s="186"/>
      <c r="J365" s="186"/>
      <c r="K365" s="186"/>
      <c r="L365" s="186"/>
      <c r="M365" s="186"/>
    </row>
    <row r="366" spans="1:13" s="166" customFormat="1" ht="18">
      <c r="A366" s="186"/>
      <c r="B366" s="186"/>
      <c r="C366" s="186"/>
      <c r="D366" s="186"/>
      <c r="E366" s="186"/>
      <c r="F366" s="186"/>
      <c r="G366" s="186"/>
      <c r="H366" s="186"/>
      <c r="I366" s="186"/>
      <c r="J366" s="186"/>
      <c r="K366" s="186"/>
      <c r="L366" s="186"/>
      <c r="M366" s="186"/>
    </row>
    <row r="367" spans="1:13" s="166" customFormat="1" ht="18">
      <c r="A367" s="186"/>
      <c r="B367" s="186"/>
      <c r="C367" s="186"/>
      <c r="D367" s="186"/>
      <c r="E367" s="186"/>
      <c r="F367" s="186"/>
      <c r="G367" s="186"/>
      <c r="H367" s="186"/>
      <c r="I367" s="186"/>
      <c r="J367" s="186"/>
      <c r="K367" s="186"/>
      <c r="L367" s="186"/>
      <c r="M367" s="186"/>
    </row>
    <row r="368" spans="1:13" s="166" customFormat="1" ht="18">
      <c r="A368" s="186"/>
      <c r="B368" s="186"/>
      <c r="C368" s="186"/>
      <c r="D368" s="186"/>
      <c r="E368" s="186"/>
      <c r="F368" s="186"/>
      <c r="G368" s="186"/>
      <c r="H368" s="186"/>
      <c r="I368" s="186"/>
      <c r="J368" s="186"/>
      <c r="K368" s="186"/>
      <c r="L368" s="186"/>
      <c r="M368" s="186"/>
    </row>
    <row r="369" spans="1:13" s="166" customFormat="1" ht="18">
      <c r="A369" s="186"/>
      <c r="B369" s="186"/>
      <c r="C369" s="186"/>
      <c r="D369" s="186"/>
      <c r="E369" s="186"/>
      <c r="F369" s="186"/>
      <c r="G369" s="186"/>
      <c r="H369" s="186"/>
      <c r="I369" s="186"/>
      <c r="J369" s="186"/>
      <c r="K369" s="186"/>
      <c r="L369" s="186"/>
      <c r="M369" s="186"/>
    </row>
    <row r="370" spans="1:13" s="166" customFormat="1" ht="18">
      <c r="A370" s="186"/>
      <c r="B370" s="186"/>
      <c r="C370" s="186"/>
      <c r="D370" s="186"/>
      <c r="E370" s="186"/>
      <c r="F370" s="186"/>
      <c r="G370" s="186"/>
      <c r="H370" s="186"/>
      <c r="I370" s="186"/>
      <c r="J370" s="186"/>
      <c r="K370" s="186"/>
      <c r="L370" s="186"/>
      <c r="M370" s="186"/>
    </row>
    <row r="371" spans="1:13" s="166" customFormat="1" ht="18">
      <c r="A371" s="186"/>
      <c r="B371" s="186"/>
      <c r="C371" s="186"/>
      <c r="D371" s="186"/>
      <c r="E371" s="186"/>
      <c r="F371" s="186"/>
      <c r="G371" s="186"/>
      <c r="H371" s="186"/>
      <c r="I371" s="186"/>
      <c r="J371" s="186"/>
      <c r="K371" s="186"/>
      <c r="L371" s="186"/>
      <c r="M371" s="186"/>
    </row>
    <row r="372" spans="1:13" s="166" customFormat="1" ht="18">
      <c r="A372" s="186"/>
      <c r="B372" s="186"/>
      <c r="C372" s="186"/>
      <c r="D372" s="186"/>
      <c r="E372" s="186"/>
      <c r="F372" s="186"/>
      <c r="G372" s="186"/>
      <c r="H372" s="186"/>
      <c r="I372" s="186"/>
      <c r="J372" s="186"/>
      <c r="K372" s="186"/>
      <c r="L372" s="186"/>
      <c r="M372" s="186"/>
    </row>
    <row r="373" spans="1:13" s="166" customFormat="1" ht="18">
      <c r="A373" s="186"/>
      <c r="B373" s="186"/>
      <c r="C373" s="186"/>
      <c r="D373" s="186"/>
      <c r="E373" s="186"/>
      <c r="F373" s="186"/>
      <c r="G373" s="186"/>
      <c r="H373" s="186"/>
      <c r="I373" s="186"/>
      <c r="J373" s="186"/>
      <c r="K373" s="186"/>
      <c r="L373" s="186"/>
      <c r="M373" s="186"/>
    </row>
    <row r="374" spans="1:13" s="166" customFormat="1" ht="17.399999999999999"/>
    <row r="375" spans="1:13" s="166" customFormat="1" ht="17.399999999999999"/>
    <row r="376" spans="1:13" s="166" customFormat="1" ht="17.399999999999999"/>
    <row r="377" spans="1:13" s="166" customFormat="1" ht="17.399999999999999"/>
    <row r="378" spans="1:13" s="166" customFormat="1" ht="17.399999999999999"/>
    <row r="379" spans="1:13" s="166" customFormat="1" ht="17.399999999999999"/>
    <row r="380" spans="1:13" s="166" customFormat="1" ht="17.399999999999999"/>
    <row r="381" spans="1:13" s="166" customFormat="1" ht="17.399999999999999"/>
    <row r="382" spans="1:13" s="166" customFormat="1" ht="17.399999999999999"/>
    <row r="383" spans="1:13" s="166" customFormat="1" ht="17.399999999999999"/>
    <row r="384" spans="1:13" s="166" customFormat="1" ht="17.399999999999999"/>
    <row r="385" s="166" customFormat="1" ht="17.399999999999999"/>
    <row r="386" s="166" customFormat="1" ht="17.399999999999999"/>
    <row r="387" s="166" customFormat="1" ht="17.399999999999999"/>
    <row r="388" s="166" customFormat="1" ht="17.399999999999999"/>
    <row r="389" s="166" customFormat="1" ht="17.399999999999999"/>
    <row r="390" s="166" customFormat="1" ht="17.399999999999999"/>
    <row r="391" s="166" customFormat="1" ht="17.399999999999999"/>
    <row r="392" s="166" customFormat="1" ht="17.399999999999999"/>
    <row r="393" s="166" customFormat="1" ht="17.399999999999999"/>
    <row r="394" s="166" customFormat="1" ht="17.399999999999999"/>
    <row r="395" s="166" customFormat="1" ht="17.399999999999999"/>
    <row r="396" s="166" customFormat="1" ht="17.399999999999999"/>
    <row r="397" s="166" customFormat="1" ht="17.399999999999999"/>
    <row r="398" s="166" customFormat="1" ht="17.399999999999999"/>
    <row r="399" s="166" customFormat="1" ht="17.399999999999999"/>
    <row r="400" s="166" customFormat="1" ht="17.399999999999999"/>
    <row r="401" s="166" customFormat="1" ht="17.399999999999999"/>
    <row r="402" s="166" customFormat="1" ht="17.399999999999999"/>
    <row r="403" s="166" customFormat="1" ht="17.399999999999999"/>
    <row r="404" s="166" customFormat="1" ht="17.399999999999999"/>
    <row r="405" s="166" customFormat="1" ht="17.399999999999999"/>
    <row r="406" s="166" customFormat="1" ht="17.399999999999999"/>
    <row r="407" s="166" customFormat="1" ht="17.399999999999999"/>
    <row r="408" s="166" customFormat="1" ht="17.399999999999999"/>
    <row r="409" s="166" customFormat="1" ht="17.399999999999999"/>
    <row r="410" s="166" customFormat="1" ht="17.399999999999999"/>
    <row r="411" s="166" customFormat="1" ht="17.399999999999999"/>
    <row r="412" s="166" customFormat="1" ht="17.399999999999999"/>
    <row r="413" s="166" customFormat="1" ht="17.399999999999999"/>
    <row r="414" s="166" customFormat="1" ht="17.399999999999999"/>
    <row r="415" s="166" customFormat="1" ht="17.399999999999999"/>
    <row r="416" s="166" customFormat="1" ht="17.399999999999999"/>
    <row r="417" spans="3:13" s="166" customFormat="1" ht="17.399999999999999"/>
    <row r="418" spans="3:13" s="166" customFormat="1" ht="17.399999999999999"/>
    <row r="419" spans="3:13" s="166" customFormat="1" ht="17.399999999999999"/>
    <row r="420" spans="3:13" s="166" customFormat="1" ht="17.399999999999999"/>
    <row r="421" spans="3:13" s="166" customFormat="1" ht="17.399999999999999"/>
    <row r="422" spans="3:13" s="166" customFormat="1" ht="17.399999999999999"/>
    <row r="423" spans="3:13" s="166" customFormat="1" ht="17.399999999999999"/>
    <row r="424" spans="3:13" s="166" customFormat="1" ht="17.399999999999999"/>
    <row r="425" spans="3:13" s="166" customFormat="1" ht="17.399999999999999"/>
    <row r="426" spans="3:13" s="166" customFormat="1" ht="17.399999999999999"/>
    <row r="427" spans="3:13" s="166" customFormat="1" ht="17.399999999999999"/>
    <row r="428" spans="3:13" s="166" customFormat="1" ht="17.399999999999999"/>
    <row r="429" spans="3:13" s="166" customFormat="1" ht="17.399999999999999"/>
    <row r="430" spans="3:13" s="166" customFormat="1" ht="17.399999999999999"/>
    <row r="431" spans="3:13">
      <c r="C431" s="138"/>
      <c r="D431" s="138"/>
      <c r="E431" s="138"/>
      <c r="F431" s="138"/>
      <c r="G431" s="138"/>
      <c r="H431" s="138"/>
      <c r="I431" s="138"/>
      <c r="J431" s="138"/>
      <c r="K431" s="138"/>
      <c r="L431" s="138"/>
      <c r="M431" s="138"/>
    </row>
    <row r="432" spans="3:13">
      <c r="C432" s="138"/>
      <c r="D432" s="138"/>
      <c r="E432" s="138"/>
      <c r="F432" s="138"/>
      <c r="G432" s="138"/>
      <c r="H432" s="138"/>
      <c r="I432" s="138"/>
      <c r="J432" s="138"/>
      <c r="K432" s="138"/>
      <c r="L432" s="138"/>
      <c r="M432" s="138"/>
    </row>
    <row r="433" spans="3:13">
      <c r="C433" s="138"/>
      <c r="D433" s="138"/>
      <c r="E433" s="138"/>
      <c r="F433" s="138"/>
      <c r="G433" s="138"/>
      <c r="H433" s="138"/>
      <c r="I433" s="138"/>
      <c r="J433" s="138"/>
      <c r="K433" s="138"/>
      <c r="L433" s="138"/>
      <c r="M433" s="138"/>
    </row>
    <row r="434" spans="3:13">
      <c r="C434" s="138"/>
      <c r="D434" s="138"/>
      <c r="E434" s="138"/>
      <c r="F434" s="138"/>
      <c r="G434" s="138"/>
      <c r="H434" s="138"/>
      <c r="I434" s="138"/>
      <c r="J434" s="138"/>
      <c r="K434" s="138"/>
      <c r="L434" s="138"/>
      <c r="M434" s="138"/>
    </row>
    <row r="435" spans="3:13">
      <c r="C435" s="138"/>
      <c r="D435" s="138"/>
      <c r="E435" s="138"/>
      <c r="F435" s="138"/>
      <c r="G435" s="138"/>
      <c r="H435" s="138"/>
      <c r="I435" s="138"/>
      <c r="J435" s="138"/>
      <c r="K435" s="138"/>
      <c r="L435" s="138"/>
      <c r="M435" s="138"/>
    </row>
    <row r="436" spans="3:13">
      <c r="C436" s="138"/>
      <c r="D436" s="138"/>
      <c r="E436" s="138"/>
      <c r="F436" s="138"/>
      <c r="G436" s="138"/>
      <c r="H436" s="138"/>
      <c r="I436" s="138"/>
      <c r="J436" s="138"/>
      <c r="K436" s="138"/>
      <c r="L436" s="138"/>
      <c r="M436" s="138"/>
    </row>
    <row r="437" spans="3:13">
      <c r="C437" s="138"/>
      <c r="D437" s="138"/>
      <c r="E437" s="138"/>
      <c r="F437" s="138"/>
      <c r="G437" s="138"/>
      <c r="H437" s="138"/>
      <c r="I437" s="138"/>
      <c r="J437" s="138"/>
      <c r="K437" s="138"/>
      <c r="L437" s="138"/>
      <c r="M437" s="138"/>
    </row>
    <row r="438" spans="3:13">
      <c r="C438" s="138"/>
      <c r="D438" s="138"/>
      <c r="E438" s="138"/>
      <c r="F438" s="138"/>
      <c r="G438" s="138"/>
      <c r="H438" s="138"/>
      <c r="I438" s="138"/>
      <c r="J438" s="138"/>
      <c r="K438" s="138"/>
      <c r="L438" s="138"/>
      <c r="M438" s="138"/>
    </row>
    <row r="439" spans="3:13">
      <c r="C439" s="138"/>
      <c r="D439" s="138"/>
      <c r="E439" s="138"/>
      <c r="F439" s="138"/>
      <c r="G439" s="138"/>
      <c r="H439" s="138"/>
      <c r="I439" s="138"/>
      <c r="J439" s="138"/>
      <c r="K439" s="138"/>
      <c r="L439" s="138"/>
      <c r="M439" s="138"/>
    </row>
    <row r="440" spans="3:13">
      <c r="C440" s="138"/>
      <c r="D440" s="138"/>
      <c r="E440" s="138"/>
      <c r="F440" s="138"/>
      <c r="G440" s="138"/>
      <c r="H440" s="138"/>
      <c r="I440" s="138"/>
      <c r="J440" s="138"/>
      <c r="K440" s="138"/>
      <c r="L440" s="138"/>
      <c r="M440" s="138"/>
    </row>
    <row r="441" spans="3:13">
      <c r="C441" s="138"/>
      <c r="D441" s="138"/>
      <c r="E441" s="138"/>
      <c r="F441" s="138"/>
      <c r="G441" s="138"/>
      <c r="H441" s="138"/>
      <c r="I441" s="138"/>
      <c r="J441" s="138"/>
      <c r="K441" s="138"/>
      <c r="L441" s="138"/>
      <c r="M441" s="138"/>
    </row>
    <row r="442" spans="3:13">
      <c r="C442" s="138"/>
      <c r="D442" s="138"/>
      <c r="E442" s="138"/>
      <c r="F442" s="138"/>
      <c r="G442" s="138"/>
      <c r="H442" s="138"/>
      <c r="I442" s="138"/>
      <c r="J442" s="138"/>
      <c r="K442" s="138"/>
      <c r="L442" s="138"/>
      <c r="M442" s="138"/>
    </row>
    <row r="443" spans="3:13">
      <c r="C443" s="138"/>
      <c r="D443" s="138"/>
      <c r="E443" s="138"/>
      <c r="F443" s="138"/>
      <c r="G443" s="138"/>
      <c r="H443" s="138"/>
      <c r="I443" s="138"/>
      <c r="J443" s="138"/>
      <c r="K443" s="138"/>
      <c r="L443" s="138"/>
      <c r="M443" s="138"/>
    </row>
    <row r="444" spans="3:13">
      <c r="C444" s="138"/>
      <c r="D444" s="138"/>
      <c r="E444" s="138"/>
      <c r="F444" s="138"/>
      <c r="G444" s="138"/>
      <c r="H444" s="138"/>
      <c r="I444" s="138"/>
      <c r="J444" s="138"/>
      <c r="K444" s="138"/>
      <c r="L444" s="138"/>
      <c r="M444" s="138"/>
    </row>
    <row r="445" spans="3:13">
      <c r="C445" s="138"/>
      <c r="D445" s="138"/>
      <c r="E445" s="138"/>
      <c r="F445" s="138"/>
      <c r="G445" s="138"/>
      <c r="H445" s="138"/>
      <c r="I445" s="138"/>
      <c r="J445" s="138"/>
      <c r="K445" s="138"/>
      <c r="L445" s="138"/>
      <c r="M445" s="138"/>
    </row>
    <row r="446" spans="3:13">
      <c r="C446" s="138"/>
      <c r="D446" s="138"/>
      <c r="E446" s="138"/>
      <c r="F446" s="138"/>
      <c r="G446" s="138"/>
      <c r="H446" s="138"/>
      <c r="I446" s="138"/>
      <c r="J446" s="138"/>
      <c r="K446" s="138"/>
      <c r="L446" s="138"/>
      <c r="M446" s="138"/>
    </row>
    <row r="447" spans="3:13">
      <c r="C447" s="138"/>
      <c r="D447" s="138"/>
      <c r="E447" s="138"/>
      <c r="F447" s="138"/>
      <c r="G447" s="138"/>
      <c r="H447" s="138"/>
      <c r="I447" s="138"/>
      <c r="J447" s="138"/>
      <c r="K447" s="138"/>
      <c r="L447" s="138"/>
      <c r="M447" s="138"/>
    </row>
    <row r="448" spans="3:13">
      <c r="C448" s="138"/>
      <c r="D448" s="138"/>
      <c r="E448" s="138"/>
      <c r="F448" s="138"/>
      <c r="G448" s="138"/>
      <c r="H448" s="138"/>
      <c r="I448" s="138"/>
      <c r="J448" s="138"/>
      <c r="K448" s="138"/>
      <c r="L448" s="138"/>
      <c r="M448" s="138"/>
    </row>
    <row r="449" spans="3:13">
      <c r="C449" s="138"/>
      <c r="D449" s="138"/>
      <c r="E449" s="138"/>
      <c r="F449" s="138"/>
      <c r="G449" s="138"/>
      <c r="H449" s="138"/>
      <c r="I449" s="138"/>
      <c r="J449" s="138"/>
      <c r="K449" s="138"/>
      <c r="L449" s="138"/>
      <c r="M449" s="138"/>
    </row>
    <row r="450" spans="3:13">
      <c r="C450" s="138"/>
      <c r="D450" s="138"/>
      <c r="E450" s="138"/>
      <c r="F450" s="138"/>
      <c r="G450" s="138"/>
      <c r="H450" s="138"/>
      <c r="I450" s="138"/>
      <c r="J450" s="138"/>
      <c r="K450" s="138"/>
      <c r="L450" s="138"/>
      <c r="M450" s="138"/>
    </row>
    <row r="451" spans="3:13">
      <c r="C451" s="138"/>
      <c r="D451" s="138"/>
      <c r="E451" s="138"/>
      <c r="F451" s="138"/>
      <c r="G451" s="138"/>
      <c r="H451" s="138"/>
      <c r="I451" s="138"/>
      <c r="J451" s="138"/>
      <c r="K451" s="138"/>
      <c r="L451" s="138"/>
      <c r="M451" s="138"/>
    </row>
    <row r="452" spans="3:13">
      <c r="C452" s="138"/>
      <c r="D452" s="138"/>
      <c r="E452" s="138"/>
      <c r="F452" s="138"/>
      <c r="G452" s="138"/>
      <c r="H452" s="138"/>
      <c r="I452" s="138"/>
      <c r="J452" s="138"/>
      <c r="K452" s="138"/>
      <c r="L452" s="138"/>
      <c r="M452" s="138"/>
    </row>
    <row r="453" spans="3:13">
      <c r="C453" s="138"/>
      <c r="D453" s="138"/>
      <c r="E453" s="138"/>
      <c r="F453" s="138"/>
      <c r="G453" s="138"/>
      <c r="H453" s="138"/>
      <c r="I453" s="138"/>
      <c r="J453" s="138"/>
      <c r="K453" s="138"/>
      <c r="L453" s="138"/>
      <c r="M453" s="138"/>
    </row>
    <row r="454" spans="3:13">
      <c r="C454" s="138"/>
      <c r="D454" s="138"/>
      <c r="E454" s="138"/>
      <c r="F454" s="138"/>
      <c r="G454" s="138"/>
      <c r="H454" s="138"/>
      <c r="I454" s="138"/>
      <c r="J454" s="138"/>
      <c r="K454" s="138"/>
      <c r="L454" s="138"/>
      <c r="M454" s="138"/>
    </row>
    <row r="455" spans="3:13">
      <c r="C455" s="138"/>
      <c r="D455" s="138"/>
      <c r="E455" s="138"/>
      <c r="F455" s="138"/>
      <c r="G455" s="138"/>
      <c r="H455" s="138"/>
      <c r="I455" s="138"/>
      <c r="J455" s="138"/>
      <c r="K455" s="138"/>
      <c r="L455" s="138"/>
      <c r="M455" s="138"/>
    </row>
    <row r="456" spans="3:13">
      <c r="C456" s="138"/>
      <c r="D456" s="138"/>
      <c r="E456" s="138"/>
      <c r="F456" s="138"/>
      <c r="G456" s="138"/>
      <c r="H456" s="138"/>
      <c r="I456" s="138"/>
      <c r="J456" s="138"/>
      <c r="K456" s="138"/>
      <c r="L456" s="138"/>
      <c r="M456" s="138"/>
    </row>
    <row r="457" spans="3:13">
      <c r="C457" s="138"/>
      <c r="D457" s="138"/>
      <c r="E457" s="138"/>
      <c r="F457" s="138"/>
      <c r="G457" s="138"/>
      <c r="H457" s="138"/>
      <c r="I457" s="138"/>
      <c r="J457" s="138"/>
      <c r="K457" s="138"/>
      <c r="L457" s="138"/>
      <c r="M457" s="138"/>
    </row>
    <row r="458" spans="3:13">
      <c r="C458" s="138"/>
      <c r="D458" s="138"/>
      <c r="E458" s="138"/>
      <c r="F458" s="138"/>
      <c r="G458" s="138"/>
      <c r="H458" s="138"/>
      <c r="I458" s="138"/>
      <c r="J458" s="138"/>
      <c r="K458" s="138"/>
      <c r="L458" s="138"/>
      <c r="M458" s="138"/>
    </row>
    <row r="459" spans="3:13">
      <c r="C459" s="138"/>
      <c r="D459" s="138"/>
      <c r="E459" s="138"/>
      <c r="F459" s="138"/>
      <c r="G459" s="138"/>
      <c r="H459" s="138"/>
      <c r="I459" s="138"/>
      <c r="J459" s="138"/>
      <c r="K459" s="138"/>
      <c r="L459" s="138"/>
      <c r="M459" s="138"/>
    </row>
    <row r="460" spans="3:13">
      <c r="C460" s="138"/>
      <c r="D460" s="138"/>
      <c r="E460" s="138"/>
      <c r="F460" s="138"/>
      <c r="G460" s="138"/>
      <c r="H460" s="138"/>
      <c r="I460" s="138"/>
      <c r="J460" s="138"/>
      <c r="K460" s="138"/>
      <c r="L460" s="138"/>
      <c r="M460" s="138"/>
    </row>
    <row r="461" spans="3:13">
      <c r="C461" s="138"/>
      <c r="D461" s="138"/>
      <c r="E461" s="138"/>
      <c r="F461" s="138"/>
      <c r="G461" s="138"/>
      <c r="H461" s="138"/>
      <c r="I461" s="138"/>
      <c r="J461" s="138"/>
      <c r="K461" s="138"/>
      <c r="L461" s="138"/>
      <c r="M461" s="138"/>
    </row>
    <row r="462" spans="3:13">
      <c r="C462" s="138"/>
      <c r="D462" s="138"/>
      <c r="E462" s="138"/>
      <c r="F462" s="138"/>
      <c r="G462" s="138"/>
      <c r="H462" s="138"/>
      <c r="I462" s="138"/>
      <c r="J462" s="138"/>
      <c r="K462" s="138"/>
      <c r="L462" s="138"/>
      <c r="M462" s="138"/>
    </row>
    <row r="463" spans="3:13">
      <c r="C463" s="138"/>
      <c r="D463" s="138"/>
      <c r="E463" s="138"/>
      <c r="F463" s="138"/>
      <c r="G463" s="138"/>
      <c r="H463" s="138"/>
      <c r="I463" s="138"/>
      <c r="J463" s="138"/>
      <c r="K463" s="138"/>
      <c r="L463" s="138"/>
      <c r="M463" s="138"/>
    </row>
    <row r="464" spans="3:13">
      <c r="C464" s="138"/>
      <c r="D464" s="138"/>
      <c r="E464" s="138"/>
      <c r="F464" s="138"/>
      <c r="G464" s="138"/>
      <c r="H464" s="138"/>
      <c r="I464" s="138"/>
      <c r="J464" s="138"/>
      <c r="K464" s="138"/>
      <c r="L464" s="138"/>
      <c r="M464" s="138"/>
    </row>
    <row r="465" spans="3:13">
      <c r="C465" s="138"/>
      <c r="D465" s="138"/>
      <c r="E465" s="138"/>
      <c r="F465" s="138"/>
      <c r="G465" s="138"/>
      <c r="H465" s="138"/>
      <c r="I465" s="138"/>
      <c r="J465" s="138"/>
      <c r="K465" s="138"/>
      <c r="L465" s="138"/>
      <c r="M465" s="138"/>
    </row>
    <row r="466" spans="3:13">
      <c r="C466" s="138"/>
      <c r="D466" s="138"/>
      <c r="E466" s="138"/>
      <c r="F466" s="138"/>
      <c r="G466" s="138"/>
      <c r="H466" s="138"/>
      <c r="I466" s="138"/>
      <c r="J466" s="138"/>
      <c r="K466" s="138"/>
      <c r="L466" s="138"/>
      <c r="M466" s="138"/>
    </row>
    <row r="467" spans="3:13">
      <c r="C467" s="138"/>
      <c r="D467" s="138"/>
      <c r="E467" s="138"/>
      <c r="F467" s="138"/>
      <c r="G467" s="138"/>
      <c r="H467" s="138"/>
      <c r="I467" s="138"/>
      <c r="J467" s="138"/>
      <c r="K467" s="138"/>
      <c r="L467" s="138"/>
      <c r="M467" s="138"/>
    </row>
    <row r="468" spans="3:13">
      <c r="C468" s="138"/>
      <c r="D468" s="138"/>
      <c r="E468" s="138"/>
      <c r="F468" s="138"/>
      <c r="G468" s="138"/>
      <c r="H468" s="138"/>
      <c r="I468" s="138"/>
      <c r="J468" s="138"/>
      <c r="K468" s="138"/>
      <c r="L468" s="138"/>
      <c r="M468" s="138"/>
    </row>
    <row r="469" spans="3:13">
      <c r="C469" s="138"/>
      <c r="D469" s="138"/>
      <c r="E469" s="138"/>
      <c r="F469" s="138"/>
      <c r="G469" s="138"/>
      <c r="H469" s="138"/>
      <c r="I469" s="138"/>
      <c r="J469" s="138"/>
      <c r="K469" s="138"/>
      <c r="L469" s="138"/>
      <c r="M469" s="138"/>
    </row>
    <row r="470" spans="3:13">
      <c r="C470" s="138"/>
      <c r="D470" s="138"/>
      <c r="E470" s="138"/>
      <c r="F470" s="138"/>
      <c r="G470" s="138"/>
      <c r="H470" s="138"/>
      <c r="I470" s="138"/>
      <c r="J470" s="138"/>
      <c r="K470" s="138"/>
      <c r="L470" s="138"/>
      <c r="M470" s="138"/>
    </row>
    <row r="471" spans="3:13">
      <c r="C471" s="138"/>
      <c r="D471" s="138"/>
      <c r="E471" s="138"/>
      <c r="F471" s="138"/>
      <c r="G471" s="138"/>
      <c r="H471" s="138"/>
      <c r="I471" s="138"/>
      <c r="J471" s="138"/>
      <c r="K471" s="138"/>
      <c r="L471" s="138"/>
      <c r="M471" s="138"/>
    </row>
    <row r="472" spans="3:13">
      <c r="C472" s="138"/>
      <c r="D472" s="138"/>
      <c r="E472" s="138"/>
      <c r="F472" s="138"/>
      <c r="G472" s="138"/>
      <c r="H472" s="138"/>
      <c r="I472" s="138"/>
      <c r="J472" s="138"/>
      <c r="K472" s="138"/>
      <c r="L472" s="138"/>
      <c r="M472" s="138"/>
    </row>
    <row r="473" spans="3:13">
      <c r="C473" s="138"/>
      <c r="D473" s="138"/>
      <c r="E473" s="138"/>
      <c r="F473" s="138"/>
      <c r="G473" s="138"/>
      <c r="H473" s="138"/>
      <c r="I473" s="138"/>
      <c r="J473" s="138"/>
      <c r="K473" s="138"/>
      <c r="L473" s="138"/>
      <c r="M473" s="138"/>
    </row>
    <row r="474" spans="3:13">
      <c r="C474" s="138"/>
      <c r="D474" s="138"/>
      <c r="E474" s="138"/>
      <c r="F474" s="138"/>
      <c r="G474" s="138"/>
      <c r="H474" s="138"/>
      <c r="I474" s="138"/>
      <c r="J474" s="138"/>
      <c r="K474" s="138"/>
      <c r="L474" s="138"/>
      <c r="M474" s="138"/>
    </row>
    <row r="475" spans="3:13">
      <c r="C475" s="138"/>
      <c r="D475" s="138"/>
      <c r="E475" s="138"/>
      <c r="F475" s="138"/>
      <c r="G475" s="138"/>
      <c r="H475" s="138"/>
      <c r="I475" s="138"/>
      <c r="J475" s="138"/>
      <c r="K475" s="138"/>
      <c r="L475" s="138"/>
      <c r="M475" s="138"/>
    </row>
    <row r="476" spans="3:13">
      <c r="C476" s="138"/>
      <c r="D476" s="138"/>
      <c r="E476" s="138"/>
      <c r="F476" s="138"/>
      <c r="G476" s="138"/>
      <c r="H476" s="138"/>
      <c r="I476" s="138"/>
      <c r="J476" s="138"/>
      <c r="K476" s="138"/>
      <c r="L476" s="138"/>
      <c r="M476" s="138"/>
    </row>
    <row r="477" spans="3:13">
      <c r="C477" s="138"/>
      <c r="D477" s="138"/>
      <c r="E477" s="138"/>
      <c r="F477" s="138"/>
      <c r="G477" s="138"/>
      <c r="H477" s="138"/>
      <c r="I477" s="138"/>
      <c r="J477" s="138"/>
      <c r="K477" s="138"/>
      <c r="L477" s="138"/>
      <c r="M477" s="138"/>
    </row>
    <row r="478" spans="3:13">
      <c r="C478" s="138"/>
      <c r="D478" s="138"/>
      <c r="E478" s="138"/>
      <c r="F478" s="138"/>
      <c r="G478" s="138"/>
      <c r="H478" s="138"/>
      <c r="I478" s="138"/>
      <c r="J478" s="138"/>
      <c r="K478" s="138"/>
      <c r="L478" s="138"/>
      <c r="M478" s="138"/>
    </row>
    <row r="479" spans="3:13">
      <c r="C479" s="138"/>
      <c r="D479" s="138"/>
      <c r="E479" s="138"/>
      <c r="F479" s="138"/>
      <c r="G479" s="138"/>
      <c r="H479" s="138"/>
      <c r="I479" s="138"/>
      <c r="J479" s="138"/>
      <c r="K479" s="138"/>
      <c r="L479" s="138"/>
      <c r="M479" s="138"/>
    </row>
    <row r="480" spans="3:13">
      <c r="C480" s="138"/>
      <c r="D480" s="138"/>
      <c r="E480" s="138"/>
      <c r="F480" s="138"/>
      <c r="G480" s="138"/>
      <c r="H480" s="138"/>
      <c r="I480" s="138"/>
      <c r="J480" s="138"/>
      <c r="K480" s="138"/>
      <c r="L480" s="138"/>
      <c r="M480" s="138"/>
    </row>
    <row r="481" spans="3:13">
      <c r="C481" s="138"/>
      <c r="D481" s="138"/>
      <c r="E481" s="138"/>
      <c r="F481" s="138"/>
      <c r="G481" s="138"/>
      <c r="H481" s="138"/>
      <c r="I481" s="138"/>
      <c r="J481" s="138"/>
      <c r="K481" s="138"/>
      <c r="L481" s="138"/>
      <c r="M481" s="138"/>
    </row>
    <row r="482" spans="3:13">
      <c r="C482" s="138"/>
      <c r="D482" s="138"/>
      <c r="E482" s="138"/>
      <c r="F482" s="138"/>
      <c r="G482" s="138"/>
      <c r="H482" s="138"/>
      <c r="I482" s="138"/>
      <c r="J482" s="138"/>
      <c r="K482" s="138"/>
      <c r="L482" s="138"/>
      <c r="M482" s="138"/>
    </row>
    <row r="483" spans="3:13">
      <c r="C483" s="138"/>
      <c r="D483" s="138"/>
      <c r="E483" s="138"/>
      <c r="F483" s="138"/>
      <c r="G483" s="138"/>
      <c r="H483" s="138"/>
      <c r="I483" s="138"/>
      <c r="J483" s="138"/>
      <c r="K483" s="138"/>
      <c r="L483" s="138"/>
      <c r="M483" s="138"/>
    </row>
    <row r="484" spans="3:13">
      <c r="C484" s="138"/>
      <c r="D484" s="138"/>
      <c r="E484" s="138"/>
      <c r="F484" s="138"/>
      <c r="G484" s="138"/>
      <c r="H484" s="138"/>
      <c r="I484" s="138"/>
      <c r="J484" s="138"/>
      <c r="K484" s="138"/>
      <c r="L484" s="138"/>
      <c r="M484" s="138"/>
    </row>
    <row r="485" spans="3:13">
      <c r="C485" s="138"/>
      <c r="D485" s="138"/>
      <c r="E485" s="138"/>
      <c r="F485" s="138"/>
      <c r="G485" s="138"/>
      <c r="H485" s="138"/>
      <c r="I485" s="138"/>
      <c r="J485" s="138"/>
      <c r="K485" s="138"/>
      <c r="L485" s="138"/>
      <c r="M485" s="138"/>
    </row>
    <row r="486" spans="3:13">
      <c r="C486" s="138"/>
      <c r="D486" s="138"/>
      <c r="E486" s="138"/>
      <c r="F486" s="138"/>
      <c r="G486" s="138"/>
      <c r="H486" s="138"/>
      <c r="I486" s="138"/>
      <c r="J486" s="138"/>
      <c r="K486" s="138"/>
      <c r="L486" s="138"/>
      <c r="M486" s="138"/>
    </row>
    <row r="487" spans="3:13">
      <c r="C487" s="138"/>
      <c r="D487" s="138"/>
      <c r="E487" s="138"/>
      <c r="F487" s="138"/>
      <c r="G487" s="138"/>
      <c r="H487" s="138"/>
      <c r="I487" s="138"/>
      <c r="J487" s="138"/>
      <c r="K487" s="138"/>
      <c r="L487" s="138"/>
      <c r="M487" s="138"/>
    </row>
    <row r="488" spans="3:13">
      <c r="C488" s="138"/>
      <c r="D488" s="138"/>
      <c r="E488" s="138"/>
      <c r="F488" s="138"/>
      <c r="G488" s="138"/>
      <c r="H488" s="138"/>
      <c r="I488" s="138"/>
      <c r="J488" s="138"/>
      <c r="K488" s="138"/>
      <c r="L488" s="138"/>
      <c r="M488" s="138"/>
    </row>
    <row r="489" spans="3:13">
      <c r="C489" s="138"/>
      <c r="D489" s="138"/>
      <c r="E489" s="138"/>
      <c r="F489" s="138"/>
      <c r="G489" s="138"/>
      <c r="H489" s="138"/>
      <c r="I489" s="138"/>
      <c r="J489" s="138"/>
      <c r="K489" s="138"/>
      <c r="L489" s="138"/>
      <c r="M489" s="138"/>
    </row>
    <row r="490" spans="3:13">
      <c r="C490" s="138"/>
      <c r="D490" s="138"/>
      <c r="E490" s="138"/>
      <c r="F490" s="138"/>
      <c r="G490" s="138"/>
      <c r="H490" s="138"/>
      <c r="I490" s="138"/>
      <c r="J490" s="138"/>
      <c r="K490" s="138"/>
      <c r="L490" s="138"/>
      <c r="M490" s="138"/>
    </row>
    <row r="491" spans="3:13">
      <c r="C491" s="138"/>
      <c r="D491" s="138"/>
      <c r="E491" s="138"/>
      <c r="F491" s="138"/>
      <c r="G491" s="138"/>
      <c r="H491" s="138"/>
      <c r="I491" s="138"/>
      <c r="J491" s="138"/>
      <c r="K491" s="138"/>
      <c r="L491" s="138"/>
      <c r="M491" s="138"/>
    </row>
    <row r="492" spans="3:13">
      <c r="C492" s="138"/>
      <c r="D492" s="138"/>
      <c r="E492" s="138"/>
      <c r="F492" s="138"/>
      <c r="G492" s="138"/>
      <c r="H492" s="138"/>
      <c r="I492" s="138"/>
      <c r="J492" s="138"/>
      <c r="K492" s="138"/>
      <c r="L492" s="138"/>
      <c r="M492" s="138"/>
    </row>
    <row r="493" spans="3:13">
      <c r="C493" s="138"/>
      <c r="D493" s="138"/>
      <c r="E493" s="138"/>
      <c r="F493" s="138"/>
      <c r="G493" s="138"/>
      <c r="H493" s="138"/>
      <c r="I493" s="138"/>
      <c r="J493" s="138"/>
      <c r="K493" s="138"/>
      <c r="L493" s="138"/>
      <c r="M493" s="138"/>
    </row>
    <row r="494" spans="3:13">
      <c r="C494" s="138"/>
      <c r="D494" s="138"/>
      <c r="E494" s="138"/>
      <c r="F494" s="138"/>
      <c r="G494" s="138"/>
      <c r="H494" s="138"/>
      <c r="I494" s="138"/>
      <c r="J494" s="138"/>
      <c r="K494" s="138"/>
      <c r="L494" s="138"/>
      <c r="M494" s="138"/>
    </row>
    <row r="495" spans="3:13">
      <c r="C495" s="138"/>
      <c r="D495" s="138"/>
      <c r="E495" s="138"/>
      <c r="F495" s="138"/>
      <c r="G495" s="138"/>
      <c r="H495" s="138"/>
      <c r="I495" s="138"/>
      <c r="J495" s="138"/>
      <c r="K495" s="138"/>
      <c r="L495" s="138"/>
      <c r="M495" s="138"/>
    </row>
    <row r="496" spans="3:13">
      <c r="C496" s="138"/>
      <c r="D496" s="138"/>
      <c r="E496" s="138"/>
      <c r="F496" s="138"/>
      <c r="G496" s="138"/>
      <c r="H496" s="138"/>
      <c r="I496" s="138"/>
      <c r="J496" s="138"/>
      <c r="K496" s="138"/>
      <c r="L496" s="138"/>
      <c r="M496" s="138"/>
    </row>
    <row r="497" spans="3:13">
      <c r="C497" s="138"/>
      <c r="D497" s="138"/>
      <c r="E497" s="138"/>
      <c r="F497" s="138"/>
      <c r="G497" s="138"/>
      <c r="H497" s="138"/>
      <c r="I497" s="138"/>
      <c r="J497" s="138"/>
      <c r="K497" s="138"/>
      <c r="L497" s="138"/>
      <c r="M497" s="138"/>
    </row>
    <row r="498" spans="3:13">
      <c r="C498" s="138"/>
      <c r="D498" s="138"/>
      <c r="E498" s="138"/>
      <c r="F498" s="138"/>
      <c r="G498" s="138"/>
      <c r="H498" s="138"/>
      <c r="I498" s="138"/>
      <c r="J498" s="138"/>
      <c r="K498" s="138"/>
      <c r="L498" s="138"/>
      <c r="M498" s="138"/>
    </row>
    <row r="499" spans="3:13">
      <c r="C499" s="138"/>
      <c r="D499" s="138"/>
      <c r="E499" s="138"/>
      <c r="F499" s="138"/>
      <c r="G499" s="138"/>
      <c r="H499" s="138"/>
      <c r="I499" s="138"/>
      <c r="J499" s="138"/>
      <c r="K499" s="138"/>
      <c r="L499" s="138"/>
      <c r="M499" s="138"/>
    </row>
    <row r="500" spans="3:13">
      <c r="C500" s="138"/>
      <c r="D500" s="138"/>
      <c r="E500" s="138"/>
      <c r="F500" s="138"/>
      <c r="G500" s="138"/>
      <c r="H500" s="138"/>
      <c r="I500" s="138"/>
      <c r="J500" s="138"/>
      <c r="K500" s="138"/>
      <c r="L500" s="138"/>
      <c r="M500" s="138"/>
    </row>
    <row r="501" spans="3:13">
      <c r="C501" s="138"/>
      <c r="D501" s="138"/>
      <c r="E501" s="138"/>
      <c r="F501" s="138"/>
      <c r="G501" s="138"/>
      <c r="H501" s="138"/>
      <c r="I501" s="138"/>
      <c r="J501" s="138"/>
      <c r="K501" s="138"/>
      <c r="L501" s="138"/>
      <c r="M501" s="138"/>
    </row>
    <row r="502" spans="3:13">
      <c r="C502" s="138"/>
      <c r="D502" s="138"/>
      <c r="E502" s="138"/>
      <c r="F502" s="138"/>
      <c r="G502" s="138"/>
      <c r="H502" s="138"/>
      <c r="I502" s="138"/>
      <c r="J502" s="138"/>
      <c r="K502" s="138"/>
      <c r="L502" s="138"/>
      <c r="M502" s="138"/>
    </row>
    <row r="503" spans="3:13">
      <c r="C503" s="138"/>
      <c r="D503" s="138"/>
      <c r="E503" s="138"/>
      <c r="F503" s="138"/>
      <c r="G503" s="138"/>
      <c r="H503" s="138"/>
      <c r="I503" s="138"/>
      <c r="J503" s="138"/>
      <c r="K503" s="138"/>
      <c r="L503" s="138"/>
      <c r="M503" s="138"/>
    </row>
    <row r="504" spans="3:13">
      <c r="C504" s="138"/>
      <c r="D504" s="138"/>
      <c r="E504" s="138"/>
      <c r="F504" s="138"/>
      <c r="G504" s="138"/>
      <c r="H504" s="138"/>
      <c r="I504" s="138"/>
      <c r="J504" s="138"/>
      <c r="K504" s="138"/>
      <c r="L504" s="138"/>
      <c r="M504" s="138"/>
    </row>
    <row r="505" spans="3:13">
      <c r="C505" s="138"/>
      <c r="D505" s="138"/>
      <c r="E505" s="138"/>
      <c r="F505" s="138"/>
      <c r="G505" s="138"/>
      <c r="H505" s="138"/>
      <c r="I505" s="138"/>
      <c r="J505" s="138"/>
      <c r="K505" s="138"/>
      <c r="L505" s="138"/>
      <c r="M505" s="138"/>
    </row>
    <row r="506" spans="3:13">
      <c r="C506" s="138"/>
      <c r="D506" s="138"/>
      <c r="E506" s="138"/>
      <c r="F506" s="138"/>
      <c r="G506" s="138"/>
      <c r="H506" s="138"/>
      <c r="I506" s="138"/>
      <c r="J506" s="138"/>
      <c r="K506" s="138"/>
      <c r="L506" s="138"/>
      <c r="M506" s="138"/>
    </row>
    <row r="507" spans="3:13">
      <c r="C507" s="138"/>
      <c r="D507" s="138"/>
      <c r="E507" s="138"/>
      <c r="F507" s="138"/>
      <c r="G507" s="138"/>
      <c r="H507" s="138"/>
      <c r="I507" s="138"/>
      <c r="J507" s="138"/>
      <c r="K507" s="138"/>
      <c r="L507" s="138"/>
      <c r="M507" s="138"/>
    </row>
    <row r="508" spans="3:13">
      <c r="C508" s="138"/>
      <c r="D508" s="138"/>
      <c r="E508" s="138"/>
      <c r="F508" s="138"/>
      <c r="G508" s="138"/>
      <c r="H508" s="138"/>
      <c r="I508" s="138"/>
      <c r="J508" s="138"/>
      <c r="K508" s="138"/>
      <c r="L508" s="138"/>
      <c r="M508" s="138"/>
    </row>
    <row r="509" spans="3:13">
      <c r="C509" s="138"/>
      <c r="D509" s="138"/>
      <c r="E509" s="138"/>
      <c r="F509" s="138"/>
      <c r="G509" s="138"/>
      <c r="H509" s="138"/>
      <c r="I509" s="138"/>
      <c r="J509" s="138"/>
      <c r="K509" s="138"/>
      <c r="L509" s="138"/>
      <c r="M509" s="138"/>
    </row>
    <row r="510" spans="3:13">
      <c r="C510" s="138"/>
      <c r="D510" s="138"/>
      <c r="E510" s="138"/>
      <c r="F510" s="138"/>
      <c r="G510" s="138"/>
      <c r="H510" s="138"/>
      <c r="I510" s="138"/>
      <c r="J510" s="138"/>
      <c r="K510" s="138"/>
      <c r="L510" s="138"/>
      <c r="M510" s="138"/>
    </row>
    <row r="511" spans="3:13">
      <c r="C511" s="138"/>
      <c r="D511" s="138"/>
      <c r="E511" s="138"/>
      <c r="F511" s="138"/>
      <c r="G511" s="138"/>
      <c r="H511" s="138"/>
      <c r="I511" s="138"/>
      <c r="J511" s="138"/>
      <c r="K511" s="138"/>
      <c r="L511" s="138"/>
      <c r="M511" s="138"/>
    </row>
    <row r="512" spans="3:13">
      <c r="C512" s="138"/>
      <c r="D512" s="138"/>
      <c r="E512" s="138"/>
      <c r="F512" s="138"/>
      <c r="G512" s="138"/>
      <c r="H512" s="138"/>
      <c r="I512" s="138"/>
      <c r="J512" s="138"/>
      <c r="K512" s="138"/>
      <c r="L512" s="138"/>
      <c r="M512" s="138"/>
    </row>
    <row r="513" spans="3:13">
      <c r="C513" s="138"/>
      <c r="D513" s="138"/>
      <c r="E513" s="138"/>
      <c r="F513" s="138"/>
      <c r="G513" s="138"/>
      <c r="H513" s="138"/>
      <c r="I513" s="138"/>
      <c r="J513" s="138"/>
      <c r="K513" s="138"/>
      <c r="L513" s="138"/>
      <c r="M513" s="138"/>
    </row>
    <row r="514" spans="3:13">
      <c r="C514" s="138"/>
      <c r="D514" s="138"/>
      <c r="E514" s="138"/>
      <c r="F514" s="138"/>
      <c r="G514" s="138"/>
      <c r="H514" s="138"/>
      <c r="I514" s="138"/>
      <c r="J514" s="138"/>
      <c r="K514" s="138"/>
      <c r="L514" s="138"/>
      <c r="M514" s="138"/>
    </row>
    <row r="515" spans="3:13">
      <c r="C515" s="138"/>
      <c r="D515" s="138"/>
      <c r="E515" s="138"/>
      <c r="F515" s="138"/>
      <c r="G515" s="138"/>
      <c r="H515" s="138"/>
      <c r="I515" s="138"/>
      <c r="J515" s="138"/>
      <c r="K515" s="138"/>
      <c r="L515" s="138"/>
      <c r="M515" s="138"/>
    </row>
    <row r="516" spans="3:13">
      <c r="C516" s="138"/>
      <c r="D516" s="138"/>
      <c r="E516" s="138"/>
      <c r="F516" s="138"/>
      <c r="G516" s="138"/>
      <c r="H516" s="138"/>
      <c r="I516" s="138"/>
      <c r="J516" s="138"/>
      <c r="K516" s="138"/>
      <c r="L516" s="138"/>
      <c r="M516" s="138"/>
    </row>
    <row r="517" spans="3:13">
      <c r="C517" s="138"/>
      <c r="D517" s="138"/>
      <c r="E517" s="138"/>
      <c r="F517" s="138"/>
      <c r="G517" s="138"/>
      <c r="H517" s="138"/>
      <c r="I517" s="138"/>
      <c r="J517" s="138"/>
      <c r="K517" s="138"/>
      <c r="L517" s="138"/>
      <c r="M517" s="138"/>
    </row>
    <row r="518" spans="3:13">
      <c r="C518" s="138"/>
      <c r="D518" s="138"/>
      <c r="E518" s="138"/>
      <c r="F518" s="138"/>
      <c r="G518" s="138"/>
      <c r="H518" s="138"/>
      <c r="I518" s="138"/>
      <c r="J518" s="138"/>
      <c r="K518" s="138"/>
      <c r="L518" s="138"/>
      <c r="M518" s="138"/>
    </row>
    <row r="519" spans="3:13">
      <c r="C519" s="138"/>
      <c r="D519" s="138"/>
      <c r="E519" s="138"/>
      <c r="F519" s="138"/>
      <c r="G519" s="138"/>
      <c r="H519" s="138"/>
      <c r="I519" s="138"/>
      <c r="J519" s="138"/>
      <c r="K519" s="138"/>
      <c r="L519" s="138"/>
      <c r="M519" s="138"/>
    </row>
    <row r="520" spans="3:13">
      <c r="C520" s="138"/>
      <c r="D520" s="138"/>
      <c r="E520" s="138"/>
      <c r="F520" s="138"/>
      <c r="G520" s="138"/>
      <c r="H520" s="138"/>
      <c r="I520" s="138"/>
      <c r="J520" s="138"/>
      <c r="K520" s="138"/>
      <c r="L520" s="138"/>
      <c r="M520" s="138"/>
    </row>
    <row r="521" spans="3:13">
      <c r="C521" s="138"/>
      <c r="D521" s="138"/>
      <c r="E521" s="138"/>
      <c r="F521" s="138"/>
      <c r="G521" s="138"/>
      <c r="H521" s="138"/>
      <c r="I521" s="138"/>
      <c r="J521" s="138"/>
      <c r="K521" s="138"/>
      <c r="L521" s="138"/>
      <c r="M521" s="138"/>
    </row>
    <row r="522" spans="3:13">
      <c r="C522" s="138"/>
      <c r="D522" s="138"/>
      <c r="E522" s="138"/>
      <c r="F522" s="138"/>
      <c r="G522" s="138"/>
      <c r="H522" s="138"/>
      <c r="I522" s="138"/>
      <c r="J522" s="138"/>
      <c r="K522" s="138"/>
      <c r="L522" s="138"/>
      <c r="M522" s="138"/>
    </row>
    <row r="523" spans="3:13">
      <c r="C523" s="138"/>
      <c r="D523" s="138"/>
      <c r="E523" s="138"/>
      <c r="F523" s="138"/>
      <c r="G523" s="138"/>
      <c r="H523" s="138"/>
      <c r="I523" s="138"/>
      <c r="J523" s="138"/>
      <c r="K523" s="138"/>
      <c r="L523" s="138"/>
      <c r="M523" s="138"/>
    </row>
    <row r="524" spans="3:13">
      <c r="C524" s="138"/>
      <c r="D524" s="138"/>
      <c r="E524" s="138"/>
      <c r="F524" s="138"/>
      <c r="G524" s="138"/>
      <c r="H524" s="138"/>
      <c r="I524" s="138"/>
      <c r="J524" s="138"/>
      <c r="K524" s="138"/>
      <c r="L524" s="138"/>
      <c r="M524" s="138"/>
    </row>
    <row r="525" spans="3:13">
      <c r="C525" s="138"/>
      <c r="D525" s="138"/>
      <c r="E525" s="138"/>
      <c r="F525" s="138"/>
      <c r="G525" s="138"/>
      <c r="H525" s="138"/>
      <c r="I525" s="138"/>
      <c r="J525" s="138"/>
      <c r="K525" s="138"/>
      <c r="L525" s="138"/>
      <c r="M525" s="138"/>
    </row>
    <row r="526" spans="3:13">
      <c r="C526" s="138"/>
      <c r="D526" s="138"/>
      <c r="E526" s="138"/>
      <c r="F526" s="138"/>
      <c r="G526" s="138"/>
      <c r="H526" s="138"/>
      <c r="I526" s="138"/>
      <c r="J526" s="138"/>
      <c r="K526" s="138"/>
      <c r="L526" s="138"/>
      <c r="M526" s="138"/>
    </row>
    <row r="527" spans="3:13">
      <c r="C527" s="138"/>
      <c r="D527" s="138"/>
      <c r="E527" s="138"/>
      <c r="F527" s="138"/>
      <c r="G527" s="138"/>
      <c r="H527" s="138"/>
      <c r="I527" s="138"/>
      <c r="J527" s="138"/>
      <c r="K527" s="138"/>
      <c r="L527" s="138"/>
      <c r="M527" s="138"/>
    </row>
    <row r="528" spans="3:13">
      <c r="C528" s="138"/>
      <c r="D528" s="138"/>
      <c r="E528" s="138"/>
      <c r="F528" s="138"/>
      <c r="G528" s="138"/>
      <c r="H528" s="138"/>
      <c r="I528" s="138"/>
      <c r="J528" s="138"/>
      <c r="K528" s="138"/>
      <c r="L528" s="138"/>
      <c r="M528" s="138"/>
    </row>
    <row r="529" spans="3:13">
      <c r="C529" s="138"/>
      <c r="D529" s="138"/>
      <c r="E529" s="138"/>
      <c r="F529" s="138"/>
      <c r="G529" s="138"/>
      <c r="H529" s="138"/>
      <c r="I529" s="138"/>
      <c r="J529" s="138"/>
      <c r="K529" s="138"/>
      <c r="L529" s="138"/>
      <c r="M529" s="138"/>
    </row>
    <row r="530" spans="3:13">
      <c r="C530" s="138"/>
      <c r="D530" s="138"/>
      <c r="E530" s="138"/>
      <c r="F530" s="138"/>
      <c r="G530" s="138"/>
      <c r="H530" s="138"/>
      <c r="I530" s="138"/>
      <c r="J530" s="138"/>
      <c r="K530" s="138"/>
      <c r="L530" s="138"/>
      <c r="M530" s="138"/>
    </row>
    <row r="531" spans="3:13">
      <c r="C531" s="138"/>
      <c r="D531" s="138"/>
      <c r="E531" s="138"/>
      <c r="F531" s="138"/>
      <c r="G531" s="138"/>
      <c r="H531" s="138"/>
      <c r="I531" s="138"/>
      <c r="J531" s="138"/>
      <c r="K531" s="138"/>
      <c r="L531" s="138"/>
      <c r="M531" s="138"/>
    </row>
    <row r="532" spans="3:13">
      <c r="C532" s="138"/>
      <c r="D532" s="138"/>
      <c r="E532" s="138"/>
      <c r="F532" s="138"/>
      <c r="G532" s="138"/>
      <c r="H532" s="138"/>
      <c r="I532" s="138"/>
      <c r="J532" s="138"/>
      <c r="K532" s="138"/>
      <c r="L532" s="138"/>
      <c r="M532" s="138"/>
    </row>
    <row r="533" spans="3:13">
      <c r="C533" s="138"/>
      <c r="D533" s="138"/>
      <c r="E533" s="138"/>
      <c r="F533" s="138"/>
      <c r="G533" s="138"/>
      <c r="H533" s="138"/>
      <c r="I533" s="138"/>
      <c r="J533" s="138"/>
      <c r="K533" s="138"/>
      <c r="L533" s="138"/>
      <c r="M533" s="138"/>
    </row>
  </sheetData>
  <mergeCells count="6">
    <mergeCell ref="C304:L304"/>
    <mergeCell ref="L4:M4"/>
    <mergeCell ref="D83:D84"/>
    <mergeCell ref="D90:D91"/>
    <mergeCell ref="D97:D98"/>
    <mergeCell ref="C295:K297"/>
  </mergeCells>
  <pageMargins left="0.25" right="0.25" top="0.75" bottom="0.75" header="0.3" footer="0.3"/>
  <pageSetup scale="44" fitToHeight="5" orientation="landscape" r:id="rId1"/>
  <headerFooter alignWithMargins="0">
    <oddHeader xml:space="preserve">&amp;R&amp;"Times New Roman,Regular"
</oddHeader>
  </headerFooter>
  <rowBreaks count="4" manualBreakCount="4">
    <brk id="62" max="16383" man="1"/>
    <brk id="127" max="16383" man="1"/>
    <brk id="197" max="12" man="1"/>
    <brk id="249" max="16383" man="1"/>
  </rowBreaks>
  <customProperties>
    <customPr name="_pios_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606E39-34B6-4879-9BD8-A3F217C1B3EE}">
  <sheetPr>
    <tabColor theme="9" tint="0.79998168889431442"/>
    <pageSetUpPr fitToPage="1"/>
  </sheetPr>
  <dimension ref="A1:H265"/>
  <sheetViews>
    <sheetView zoomScaleNormal="100" zoomScaleSheetLayoutView="100" workbookViewId="0">
      <selection activeCell="K12" sqref="K12"/>
    </sheetView>
  </sheetViews>
  <sheetFormatPr defaultColWidth="8.81640625" defaultRowHeight="15.6"/>
  <cols>
    <col min="1" max="1" width="7.1796875" style="207" customWidth="1"/>
    <col min="2" max="2" width="57.81640625" style="207" customWidth="1"/>
    <col min="3" max="3" width="28.1796875" style="207" customWidth="1"/>
    <col min="4" max="4" width="10.81640625" style="211" bestFit="1" customWidth="1"/>
    <col min="5" max="5" width="9.1796875" style="207" bestFit="1" customWidth="1"/>
    <col min="6" max="6" width="8.81640625" style="207"/>
    <col min="7" max="16384" width="8.81640625" style="209"/>
  </cols>
  <sheetData>
    <row r="1" spans="1:7">
      <c r="A1" s="207" t="s">
        <v>256</v>
      </c>
      <c r="B1" s="208"/>
      <c r="C1" s="208"/>
      <c r="D1" s="208"/>
    </row>
    <row r="2" spans="1:7">
      <c r="A2" s="1164" t="str">
        <f>'Appendix A'!$E$9</f>
        <v>NextEra Energy Transmission New York, Inc.</v>
      </c>
      <c r="B2" s="1164"/>
      <c r="C2" s="1164"/>
      <c r="D2" s="1164"/>
    </row>
    <row r="5" spans="1:7">
      <c r="B5" s="210" t="s">
        <v>257</v>
      </c>
      <c r="C5" s="207" t="s">
        <v>258</v>
      </c>
    </row>
    <row r="6" spans="1:7">
      <c r="A6" s="207">
        <v>1</v>
      </c>
      <c r="B6" s="207" t="s">
        <v>259</v>
      </c>
      <c r="D6" s="212">
        <v>0</v>
      </c>
    </row>
    <row r="7" spans="1:7">
      <c r="D7" s="213"/>
    </row>
    <row r="8" spans="1:7">
      <c r="B8" s="210" t="s">
        <v>260</v>
      </c>
      <c r="C8" s="207" t="s">
        <v>258</v>
      </c>
      <c r="G8" s="214"/>
    </row>
    <row r="9" spans="1:7">
      <c r="A9" s="215">
        <f>+A6+1</f>
        <v>2</v>
      </c>
      <c r="B9" s="207" t="s">
        <v>261</v>
      </c>
      <c r="D9" s="212">
        <v>0</v>
      </c>
      <c r="G9" s="214"/>
    </row>
    <row r="10" spans="1:7">
      <c r="A10" s="215">
        <f>+A9+1</f>
        <v>3</v>
      </c>
      <c r="B10" s="207" t="s">
        <v>262</v>
      </c>
      <c r="D10" s="212">
        <v>0</v>
      </c>
      <c r="G10" s="216"/>
    </row>
    <row r="11" spans="1:7">
      <c r="A11" s="215">
        <f>+A10+1</f>
        <v>4</v>
      </c>
      <c r="B11" s="207" t="s">
        <v>263</v>
      </c>
      <c r="D11" s="212">
        <v>0</v>
      </c>
    </row>
    <row r="12" spans="1:7">
      <c r="A12" s="215">
        <f>+A11+1</f>
        <v>5</v>
      </c>
      <c r="B12" s="207" t="s">
        <v>264</v>
      </c>
      <c r="D12" s="212">
        <v>0</v>
      </c>
    </row>
    <row r="13" spans="1:7">
      <c r="D13" s="217"/>
    </row>
    <row r="14" spans="1:7">
      <c r="A14" s="207">
        <f>+A12+1</f>
        <v>6</v>
      </c>
      <c r="B14" s="207" t="s">
        <v>265</v>
      </c>
      <c r="C14" s="207" t="str">
        <f>"Sum lines "&amp;A9&amp;"-"&amp;A12&amp;" + line "&amp;A6&amp;""</f>
        <v>Sum lines 2-5 + line 1</v>
      </c>
      <c r="D14" s="218">
        <f>SUM(D9:D13)+D6</f>
        <v>0</v>
      </c>
    </row>
    <row r="15" spans="1:7">
      <c r="D15" s="218"/>
    </row>
    <row r="16" spans="1:7">
      <c r="D16" s="219"/>
      <c r="E16" s="220"/>
    </row>
    <row r="17" spans="1:8" s="223" customFormat="1">
      <c r="A17" s="207"/>
      <c r="B17" s="207"/>
      <c r="C17" s="207"/>
      <c r="D17" s="221"/>
      <c r="E17" s="217"/>
      <c r="F17" s="222"/>
    </row>
    <row r="18" spans="1:8" ht="82.5" customHeight="1">
      <c r="A18" s="215" t="s">
        <v>266</v>
      </c>
      <c r="B18" s="1165" t="s">
        <v>267</v>
      </c>
      <c r="C18" s="1165"/>
      <c r="D18" s="1165"/>
      <c r="E18" s="1165"/>
      <c r="F18" s="1165"/>
    </row>
    <row r="19" spans="1:8" ht="38.25" customHeight="1">
      <c r="A19" s="215" t="s">
        <v>268</v>
      </c>
      <c r="B19" s="1165" t="s">
        <v>269</v>
      </c>
      <c r="C19" s="1165"/>
      <c r="D19" s="1165"/>
      <c r="E19" s="1165"/>
      <c r="F19" s="1165"/>
    </row>
    <row r="21" spans="1:8">
      <c r="A21" s="215" t="s">
        <v>270</v>
      </c>
      <c r="B21" s="207" t="s">
        <v>271</v>
      </c>
      <c r="D21" s="218"/>
    </row>
    <row r="22" spans="1:8">
      <c r="A22" s="224"/>
      <c r="B22" s="224"/>
      <c r="C22" s="224"/>
      <c r="D22" s="224"/>
      <c r="E22" s="224"/>
      <c r="F22" s="224"/>
      <c r="G22" s="225"/>
      <c r="H22" s="225"/>
    </row>
    <row r="23" spans="1:8">
      <c r="A23" s="226" t="s">
        <v>272</v>
      </c>
      <c r="B23" s="224"/>
      <c r="C23" s="224"/>
      <c r="D23" s="224"/>
      <c r="E23" s="224"/>
      <c r="F23" s="227"/>
      <c r="G23" s="228"/>
      <c r="H23" s="228"/>
    </row>
    <row r="24" spans="1:8">
      <c r="A24" s="229">
        <v>1</v>
      </c>
      <c r="B24" s="207" t="s">
        <v>273</v>
      </c>
      <c r="C24" s="230" t="s">
        <v>274</v>
      </c>
      <c r="D24" s="230" t="s">
        <v>275</v>
      </c>
      <c r="E24" s="230" t="s">
        <v>276</v>
      </c>
      <c r="F24" s="230" t="s">
        <v>277</v>
      </c>
    </row>
    <row r="25" spans="1:8">
      <c r="A25" s="231" t="s">
        <v>278</v>
      </c>
      <c r="B25" s="232"/>
      <c r="C25" s="233">
        <f>SUM(D25:F25)</f>
        <v>0</v>
      </c>
      <c r="D25" s="234">
        <v>0</v>
      </c>
      <c r="E25" s="234">
        <v>0</v>
      </c>
      <c r="F25" s="234">
        <v>0</v>
      </c>
    </row>
    <row r="26" spans="1:8">
      <c r="A26" s="231" t="s">
        <v>279</v>
      </c>
      <c r="B26" s="232"/>
      <c r="C26" s="233">
        <f>SUM(D26:F26)</f>
        <v>0</v>
      </c>
      <c r="D26" s="234">
        <v>0</v>
      </c>
      <c r="E26" s="234">
        <v>0</v>
      </c>
      <c r="F26" s="234">
        <v>0</v>
      </c>
    </row>
    <row r="27" spans="1:8">
      <c r="A27" s="231" t="s">
        <v>280</v>
      </c>
      <c r="B27" s="232"/>
      <c r="C27" s="233">
        <f>SUM(D27:F27)</f>
        <v>0</v>
      </c>
      <c r="D27" s="234">
        <v>0</v>
      </c>
      <c r="E27" s="234">
        <v>0</v>
      </c>
      <c r="F27" s="234">
        <v>0</v>
      </c>
    </row>
    <row r="28" spans="1:8">
      <c r="A28" s="231">
        <v>2</v>
      </c>
      <c r="B28" s="232"/>
      <c r="C28" s="233">
        <f>SUM(D28:F28)</f>
        <v>0</v>
      </c>
      <c r="D28" s="234">
        <v>0</v>
      </c>
      <c r="E28" s="234">
        <v>0</v>
      </c>
      <c r="F28" s="234">
        <v>0</v>
      </c>
    </row>
    <row r="29" spans="1:8">
      <c r="A29" s="229">
        <v>3</v>
      </c>
      <c r="B29" s="235" t="s">
        <v>37</v>
      </c>
      <c r="C29" s="236">
        <f>SUM(C25:C28)</f>
        <v>0</v>
      </c>
      <c r="D29" s="236">
        <f t="shared" ref="D29:F29" si="0">SUM(D25:D28)</f>
        <v>0</v>
      </c>
      <c r="E29" s="236">
        <f t="shared" si="0"/>
        <v>0</v>
      </c>
      <c r="F29" s="236">
        <f t="shared" si="0"/>
        <v>0</v>
      </c>
    </row>
    <row r="30" spans="1:8">
      <c r="A30" s="229">
        <v>4</v>
      </c>
      <c r="B30" s="235" t="s">
        <v>281</v>
      </c>
      <c r="C30" s="233"/>
      <c r="D30" s="233"/>
      <c r="E30" s="233"/>
      <c r="F30" s="233"/>
    </row>
    <row r="31" spans="1:8">
      <c r="A31" s="229">
        <v>5</v>
      </c>
      <c r="B31" s="235" t="s">
        <v>282</v>
      </c>
      <c r="C31" s="233">
        <f>SUM(D31:F31)</f>
        <v>0</v>
      </c>
      <c r="D31" s="234">
        <v>0</v>
      </c>
      <c r="E31" s="234">
        <v>0</v>
      </c>
      <c r="F31" s="234">
        <v>0</v>
      </c>
    </row>
    <row r="32" spans="1:8">
      <c r="A32" s="229">
        <v>6</v>
      </c>
      <c r="B32" s="237" t="s">
        <v>283</v>
      </c>
      <c r="C32" s="236">
        <f>+C29-C31</f>
        <v>0</v>
      </c>
      <c r="D32" s="236">
        <f>+D29-D31</f>
        <v>0</v>
      </c>
      <c r="E32" s="236">
        <f>+E29-E31</f>
        <v>0</v>
      </c>
      <c r="F32" s="236">
        <f>+F29-F31</f>
        <v>0</v>
      </c>
    </row>
    <row r="33" spans="1:6">
      <c r="A33" s="229">
        <v>7</v>
      </c>
      <c r="B33" s="235" t="s">
        <v>284</v>
      </c>
      <c r="C33" s="234">
        <v>0</v>
      </c>
      <c r="D33" s="234">
        <v>0</v>
      </c>
      <c r="E33" s="234">
        <v>0</v>
      </c>
      <c r="F33" s="234">
        <v>0</v>
      </c>
    </row>
    <row r="34" spans="1:6">
      <c r="A34" s="220">
        <v>8</v>
      </c>
      <c r="B34" s="207" t="s">
        <v>285</v>
      </c>
      <c r="C34" s="221">
        <f>+C32+C33</f>
        <v>0</v>
      </c>
      <c r="D34" s="221">
        <f>+D32+D33</f>
        <v>0</v>
      </c>
      <c r="E34" s="221">
        <f>+E32+E33</f>
        <v>0</v>
      </c>
      <c r="F34" s="221">
        <f>+F32+F33</f>
        <v>0</v>
      </c>
    </row>
    <row r="35" spans="1:6">
      <c r="A35" s="220"/>
    </row>
    <row r="36" spans="1:6">
      <c r="A36" s="220">
        <v>9</v>
      </c>
      <c r="B36" s="207" t="s">
        <v>286</v>
      </c>
      <c r="C36" s="238" t="s">
        <v>153</v>
      </c>
      <c r="D36" s="207"/>
    </row>
    <row r="37" spans="1:6">
      <c r="A37" s="220" t="s">
        <v>287</v>
      </c>
      <c r="B37" s="239"/>
      <c r="C37" s="212">
        <v>0</v>
      </c>
      <c r="D37" s="207"/>
    </row>
    <row r="38" spans="1:6">
      <c r="A38" s="220" t="s">
        <v>288</v>
      </c>
      <c r="B38" s="239"/>
      <c r="C38" s="212">
        <v>0</v>
      </c>
      <c r="D38" s="207"/>
    </row>
    <row r="39" spans="1:6">
      <c r="A39" s="220" t="s">
        <v>289</v>
      </c>
      <c r="B39" s="239"/>
      <c r="C39" s="212">
        <v>0</v>
      </c>
      <c r="D39" s="207"/>
    </row>
    <row r="40" spans="1:6">
      <c r="A40" s="220" t="s">
        <v>290</v>
      </c>
      <c r="B40" s="239"/>
      <c r="C40" s="212">
        <v>0</v>
      </c>
      <c r="D40" s="207"/>
    </row>
    <row r="41" spans="1:6">
      <c r="A41" s="220" t="s">
        <v>291</v>
      </c>
      <c r="B41" s="239"/>
      <c r="C41" s="212">
        <v>0</v>
      </c>
      <c r="D41" s="207"/>
    </row>
    <row r="42" spans="1:6">
      <c r="A42" s="220" t="s">
        <v>292</v>
      </c>
      <c r="B42" s="239"/>
      <c r="C42" s="212">
        <v>0</v>
      </c>
      <c r="D42" s="207"/>
    </row>
    <row r="43" spans="1:6">
      <c r="A43" s="220" t="s">
        <v>293</v>
      </c>
      <c r="B43" s="239"/>
      <c r="C43" s="212">
        <v>0</v>
      </c>
      <c r="D43" s="207"/>
    </row>
    <row r="44" spans="1:6">
      <c r="A44" s="220" t="s">
        <v>279</v>
      </c>
      <c r="B44" s="239"/>
      <c r="C44" s="212"/>
      <c r="D44" s="207"/>
    </row>
    <row r="45" spans="1:6">
      <c r="A45" s="220" t="s">
        <v>294</v>
      </c>
      <c r="B45" s="239"/>
      <c r="C45" s="212">
        <v>0</v>
      </c>
      <c r="D45" s="207"/>
    </row>
    <row r="46" spans="1:6">
      <c r="A46" s="220">
        <v>10</v>
      </c>
      <c r="B46" s="207" t="s">
        <v>295</v>
      </c>
      <c r="C46" s="240">
        <f>SUM(C37:C45)</f>
        <v>0</v>
      </c>
      <c r="D46" s="207"/>
    </row>
    <row r="48" spans="1:6" ht="99" customHeight="1">
      <c r="A48" s="215"/>
    </row>
    <row r="50" spans="2:6">
      <c r="B50" s="1166"/>
      <c r="C50" s="1166"/>
      <c r="D50" s="1166"/>
      <c r="E50" s="1166"/>
      <c r="F50" s="1166"/>
    </row>
    <row r="123" spans="4:4">
      <c r="D123" s="241"/>
    </row>
    <row r="242" spans="7:7">
      <c r="G242" s="207"/>
    </row>
    <row r="243" spans="7:7" ht="99.75" customHeight="1">
      <c r="G243" s="207"/>
    </row>
    <row r="244" spans="7:7">
      <c r="G244" s="207"/>
    </row>
    <row r="245" spans="7:7">
      <c r="G245" s="207"/>
    </row>
    <row r="246" spans="7:7">
      <c r="G246" s="207"/>
    </row>
    <row r="247" spans="7:7">
      <c r="G247" s="207"/>
    </row>
    <row r="248" spans="7:7">
      <c r="G248" s="207"/>
    </row>
    <row r="249" spans="7:7">
      <c r="G249" s="207"/>
    </row>
    <row r="250" spans="7:7">
      <c r="G250" s="207"/>
    </row>
    <row r="251" spans="7:7">
      <c r="G251" s="207"/>
    </row>
    <row r="252" spans="7:7">
      <c r="G252" s="207"/>
    </row>
    <row r="253" spans="7:7">
      <c r="G253" s="207"/>
    </row>
    <row r="254" spans="7:7">
      <c r="G254" s="207"/>
    </row>
    <row r="255" spans="7:7">
      <c r="G255" s="207"/>
    </row>
    <row r="256" spans="7:7">
      <c r="G256" s="207"/>
    </row>
    <row r="257" spans="7:7">
      <c r="G257" s="207"/>
    </row>
    <row r="258" spans="7:7">
      <c r="G258" s="207"/>
    </row>
    <row r="259" spans="7:7">
      <c r="G259" s="207"/>
    </row>
    <row r="260" spans="7:7">
      <c r="G260" s="207"/>
    </row>
    <row r="261" spans="7:7">
      <c r="G261" s="207"/>
    </row>
    <row r="262" spans="7:7">
      <c r="G262" s="207"/>
    </row>
    <row r="263" spans="7:7">
      <c r="G263" s="207"/>
    </row>
    <row r="264" spans="7:7" ht="40.5" customHeight="1">
      <c r="G264" s="207"/>
    </row>
    <row r="265" spans="7:7">
      <c r="G265" s="207"/>
    </row>
  </sheetData>
  <mergeCells count="4">
    <mergeCell ref="A2:D2"/>
    <mergeCell ref="B18:F18"/>
    <mergeCell ref="B19:F19"/>
    <mergeCell ref="B50:F50"/>
  </mergeCells>
  <pageMargins left="0.75" right="0.75" top="1.28" bottom="1" header="0.5" footer="0.5"/>
  <pageSetup scale="61" orientation="portrait" r:id="rId1"/>
  <headerFooter alignWithMargins="0"/>
  <rowBreaks count="1" manualBreakCount="1">
    <brk id="65" max="3" man="1"/>
  </rowBreaks>
  <customProperties>
    <customPr name="_pios_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A07B4C-2222-43A3-BF99-9D14A5069304}">
  <sheetPr>
    <tabColor theme="9" tint="0.79998168889431442"/>
  </sheetPr>
  <dimension ref="A1:M196"/>
  <sheetViews>
    <sheetView zoomScaleNormal="100" zoomScaleSheetLayoutView="100" workbookViewId="0">
      <selection activeCell="K12" sqref="K12"/>
    </sheetView>
  </sheetViews>
  <sheetFormatPr defaultColWidth="8.81640625" defaultRowHeight="15.6"/>
  <cols>
    <col min="1" max="1" width="5" style="220" customWidth="1"/>
    <col min="2" max="2" width="3.1796875" style="207" customWidth="1"/>
    <col min="3" max="3" width="48.1796875" style="207" customWidth="1"/>
    <col min="4" max="4" width="21" style="207" customWidth="1"/>
    <col min="5" max="5" width="13.81640625" style="245" customWidth="1"/>
    <col min="6" max="6" width="18.08984375" style="207" customWidth="1"/>
    <col min="7" max="7" width="6.90625" style="209" customWidth="1"/>
    <col min="8" max="8" width="11.81640625" style="246" customWidth="1"/>
    <col min="9" max="9" width="13" style="209" customWidth="1"/>
    <col min="10" max="10" width="10.81640625" style="209" customWidth="1"/>
    <col min="11" max="11" width="9" style="209" customWidth="1"/>
    <col min="12" max="13" width="7.54296875" style="209" customWidth="1"/>
    <col min="14" max="16384" width="8.81640625" style="209"/>
  </cols>
  <sheetData>
    <row r="1" spans="1:13" ht="22.5" customHeight="1">
      <c r="A1" s="207" t="s">
        <v>296</v>
      </c>
      <c r="B1" s="208"/>
      <c r="C1" s="208"/>
      <c r="D1" s="208"/>
      <c r="E1" s="208"/>
      <c r="F1" s="208"/>
      <c r="G1" s="242"/>
      <c r="H1" s="243"/>
      <c r="I1" s="242"/>
      <c r="J1" s="242"/>
      <c r="K1" s="242"/>
      <c r="L1" s="242"/>
      <c r="M1" s="242"/>
    </row>
    <row r="2" spans="1:13" ht="17.399999999999999">
      <c r="A2" s="1164" t="str">
        <f>'Appendix A'!$E$9</f>
        <v>NextEra Energy Transmission New York, Inc.</v>
      </c>
      <c r="B2" s="1164"/>
      <c r="C2" s="1164"/>
      <c r="D2" s="1164"/>
      <c r="E2" s="1164"/>
      <c r="F2" s="1164"/>
      <c r="G2" s="242"/>
      <c r="H2" s="243"/>
      <c r="I2" s="242"/>
      <c r="J2" s="242"/>
      <c r="K2" s="242"/>
      <c r="L2" s="242"/>
      <c r="M2" s="242"/>
    </row>
    <row r="4" spans="1:13" ht="16.2" thickBot="1">
      <c r="A4" s="244" t="s">
        <v>297</v>
      </c>
    </row>
    <row r="5" spans="1:13">
      <c r="A5" s="1167"/>
      <c r="B5" s="1168"/>
      <c r="C5" s="1168"/>
      <c r="D5" s="1168"/>
      <c r="E5" s="1168"/>
      <c r="F5" s="1169"/>
      <c r="G5" s="1059"/>
      <c r="H5" s="1060"/>
      <c r="I5" s="1059"/>
      <c r="J5" s="1170"/>
      <c r="K5" s="1171"/>
      <c r="L5" s="1171"/>
      <c r="M5" s="1171"/>
    </row>
    <row r="6" spans="1:13">
      <c r="A6" s="247">
        <v>1</v>
      </c>
      <c r="C6" s="248" t="s">
        <v>298</v>
      </c>
      <c r="D6" s="207" t="s">
        <v>299</v>
      </c>
      <c r="E6" s="249" t="s">
        <v>300</v>
      </c>
      <c r="F6" s="250" t="s">
        <v>301</v>
      </c>
      <c r="G6" s="251"/>
      <c r="J6" s="252"/>
      <c r="K6" s="252"/>
      <c r="L6" s="252"/>
      <c r="M6" s="252"/>
    </row>
    <row r="7" spans="1:13">
      <c r="A7" s="247">
        <f t="shared" ref="A7:A20" si="0">+A6+1</f>
        <v>2</v>
      </c>
      <c r="C7" s="207" t="s">
        <v>302</v>
      </c>
      <c r="D7" s="253" t="s">
        <v>303</v>
      </c>
      <c r="E7" s="254">
        <f>RIGHT('Appendix A'!M8,4)-1</f>
        <v>2024</v>
      </c>
      <c r="F7" s="255">
        <v>214342915.69371092</v>
      </c>
      <c r="G7" s="256"/>
      <c r="H7" s="257"/>
      <c r="I7" s="258"/>
      <c r="J7" s="252"/>
      <c r="K7" s="252"/>
      <c r="L7" s="252"/>
      <c r="M7" s="252"/>
    </row>
    <row r="8" spans="1:13">
      <c r="A8" s="247">
        <f t="shared" si="0"/>
        <v>3</v>
      </c>
      <c r="C8" s="259" t="s">
        <v>304</v>
      </c>
      <c r="D8" s="207" t="s">
        <v>305</v>
      </c>
      <c r="E8" s="254">
        <f>+E7+1</f>
        <v>2025</v>
      </c>
      <c r="F8" s="255">
        <v>214342915.69371092</v>
      </c>
      <c r="G8" s="260"/>
      <c r="H8" s="276"/>
      <c r="J8" s="252"/>
      <c r="K8" s="252"/>
      <c r="L8" s="252"/>
      <c r="M8" s="252"/>
    </row>
    <row r="9" spans="1:13">
      <c r="A9" s="247">
        <f t="shared" si="0"/>
        <v>4</v>
      </c>
      <c r="B9" s="220"/>
      <c r="C9" s="259" t="s">
        <v>306</v>
      </c>
      <c r="D9" s="207" t="s">
        <v>305</v>
      </c>
      <c r="E9" s="254">
        <f>+$E$8</f>
        <v>2025</v>
      </c>
      <c r="F9" s="255">
        <v>214342915.69371092</v>
      </c>
      <c r="G9" s="256"/>
      <c r="H9" s="276"/>
      <c r="I9" s="261"/>
      <c r="J9" s="252"/>
      <c r="K9" s="252"/>
      <c r="L9" s="252"/>
      <c r="M9" s="252"/>
    </row>
    <row r="10" spans="1:13">
      <c r="A10" s="247">
        <f t="shared" si="0"/>
        <v>5</v>
      </c>
      <c r="B10" s="220"/>
      <c r="C10" s="259" t="s">
        <v>307</v>
      </c>
      <c r="D10" s="207" t="s">
        <v>305</v>
      </c>
      <c r="E10" s="254">
        <f t="shared" ref="E10:E19" si="1">+$E$8</f>
        <v>2025</v>
      </c>
      <c r="F10" s="255">
        <v>214342915.69371092</v>
      </c>
      <c r="G10" s="256"/>
      <c r="H10" s="276"/>
      <c r="I10" s="261"/>
      <c r="J10" s="252"/>
      <c r="K10" s="252"/>
      <c r="L10" s="252"/>
      <c r="M10" s="252"/>
    </row>
    <row r="11" spans="1:13">
      <c r="A11" s="247">
        <f t="shared" si="0"/>
        <v>6</v>
      </c>
      <c r="C11" s="259" t="s">
        <v>308</v>
      </c>
      <c r="D11" s="207" t="s">
        <v>305</v>
      </c>
      <c r="E11" s="254">
        <f t="shared" si="1"/>
        <v>2025</v>
      </c>
      <c r="F11" s="255">
        <v>214342915.69371092</v>
      </c>
      <c r="G11" s="256"/>
      <c r="H11" s="276"/>
      <c r="I11" s="261"/>
      <c r="J11" s="252"/>
      <c r="K11" s="252"/>
      <c r="L11" s="252"/>
      <c r="M11" s="252"/>
    </row>
    <row r="12" spans="1:13">
      <c r="A12" s="247">
        <f t="shared" si="0"/>
        <v>7</v>
      </c>
      <c r="C12" s="259" t="s">
        <v>309</v>
      </c>
      <c r="D12" s="207" t="s">
        <v>305</v>
      </c>
      <c r="E12" s="254">
        <f t="shared" si="1"/>
        <v>2025</v>
      </c>
      <c r="F12" s="255">
        <v>214342915.69371092</v>
      </c>
      <c r="H12" s="276"/>
    </row>
    <row r="13" spans="1:13">
      <c r="A13" s="247">
        <f t="shared" si="0"/>
        <v>8</v>
      </c>
      <c r="C13" s="259" t="s">
        <v>310</v>
      </c>
      <c r="D13" s="207" t="s">
        <v>305</v>
      </c>
      <c r="E13" s="254">
        <f t="shared" si="1"/>
        <v>2025</v>
      </c>
      <c r="F13" s="255">
        <v>214342915.69371092</v>
      </c>
      <c r="G13" s="256"/>
      <c r="H13" s="276"/>
      <c r="I13" s="258"/>
      <c r="J13" s="252"/>
      <c r="K13" s="252"/>
      <c r="L13" s="252"/>
      <c r="M13" s="252"/>
    </row>
    <row r="14" spans="1:13">
      <c r="A14" s="247">
        <f t="shared" si="0"/>
        <v>9</v>
      </c>
      <c r="C14" s="259" t="s">
        <v>311</v>
      </c>
      <c r="D14" s="207" t="s">
        <v>305</v>
      </c>
      <c r="E14" s="254">
        <f t="shared" si="1"/>
        <v>2025</v>
      </c>
      <c r="F14" s="255">
        <v>214342915.69371092</v>
      </c>
      <c r="G14" s="260"/>
      <c r="H14" s="276"/>
      <c r="J14" s="252"/>
      <c r="K14" s="252"/>
      <c r="L14" s="252"/>
      <c r="M14" s="252"/>
    </row>
    <row r="15" spans="1:13">
      <c r="A15" s="247">
        <f t="shared" si="0"/>
        <v>10</v>
      </c>
      <c r="B15" s="220"/>
      <c r="C15" s="259" t="s">
        <v>312</v>
      </c>
      <c r="D15" s="207" t="s">
        <v>305</v>
      </c>
      <c r="E15" s="254">
        <f t="shared" si="1"/>
        <v>2025</v>
      </c>
      <c r="F15" s="255">
        <v>214342915.69371092</v>
      </c>
      <c r="G15" s="256"/>
      <c r="H15" s="276"/>
      <c r="I15" s="261"/>
      <c r="J15" s="252"/>
      <c r="K15" s="252"/>
      <c r="L15" s="252"/>
      <c r="M15" s="252"/>
    </row>
    <row r="16" spans="1:13">
      <c r="A16" s="247">
        <f t="shared" si="0"/>
        <v>11</v>
      </c>
      <c r="B16" s="220"/>
      <c r="C16" s="259" t="s">
        <v>313</v>
      </c>
      <c r="D16" s="207" t="s">
        <v>305</v>
      </c>
      <c r="E16" s="254">
        <f t="shared" si="1"/>
        <v>2025</v>
      </c>
      <c r="F16" s="255">
        <v>214342915.69371092</v>
      </c>
      <c r="G16" s="256"/>
      <c r="H16" s="276"/>
      <c r="I16" s="261"/>
      <c r="J16" s="252"/>
      <c r="K16" s="252"/>
      <c r="L16" s="252"/>
      <c r="M16" s="252"/>
    </row>
    <row r="17" spans="1:13">
      <c r="A17" s="247">
        <f t="shared" si="0"/>
        <v>12</v>
      </c>
      <c r="C17" s="259" t="s">
        <v>314</v>
      </c>
      <c r="D17" s="207" t="s">
        <v>305</v>
      </c>
      <c r="E17" s="254">
        <f t="shared" si="1"/>
        <v>2025</v>
      </c>
      <c r="F17" s="255">
        <v>214342915.69371092</v>
      </c>
      <c r="G17" s="256"/>
      <c r="H17" s="276"/>
      <c r="I17" s="261"/>
      <c r="J17" s="252"/>
      <c r="K17" s="252"/>
      <c r="L17" s="252"/>
      <c r="M17" s="252"/>
    </row>
    <row r="18" spans="1:13">
      <c r="A18" s="247">
        <f t="shared" si="0"/>
        <v>13</v>
      </c>
      <c r="C18" s="259" t="s">
        <v>315</v>
      </c>
      <c r="D18" s="207" t="s">
        <v>305</v>
      </c>
      <c r="E18" s="254">
        <f t="shared" si="1"/>
        <v>2025</v>
      </c>
      <c r="F18" s="255">
        <v>214342915.69371092</v>
      </c>
      <c r="G18" s="256"/>
      <c r="H18" s="276"/>
      <c r="I18" s="261"/>
      <c r="J18" s="252"/>
      <c r="K18" s="252"/>
      <c r="L18" s="252"/>
      <c r="M18" s="252"/>
    </row>
    <row r="19" spans="1:13">
      <c r="A19" s="247">
        <f t="shared" si="0"/>
        <v>14</v>
      </c>
      <c r="C19" s="262" t="s">
        <v>302</v>
      </c>
      <c r="D19" s="263" t="s">
        <v>316</v>
      </c>
      <c r="E19" s="264">
        <f t="shared" si="1"/>
        <v>2025</v>
      </c>
      <c r="F19" s="265">
        <v>222349776.45373315</v>
      </c>
      <c r="G19" s="266"/>
      <c r="H19" s="276"/>
    </row>
    <row r="20" spans="1:13">
      <c r="A20" s="247">
        <f t="shared" si="0"/>
        <v>15</v>
      </c>
      <c r="C20" s="267" t="s">
        <v>317</v>
      </c>
      <c r="D20" s="207" t="str">
        <f>"(sum lines "&amp;A7&amp;"-"&amp;A19&amp;") /13"</f>
        <v>(sum lines 2-14) /13</v>
      </c>
      <c r="E20" s="268"/>
      <c r="F20" s="269">
        <f>SUM(F7:F19)/13</f>
        <v>214958828.05986643</v>
      </c>
      <c r="G20" s="270"/>
      <c r="J20" s="252"/>
      <c r="K20" s="252"/>
      <c r="L20" s="252"/>
      <c r="M20" s="252"/>
    </row>
    <row r="21" spans="1:13">
      <c r="A21" s="247"/>
      <c r="B21" s="220"/>
      <c r="C21" s="259"/>
      <c r="E21" s="268"/>
      <c r="F21" s="271"/>
      <c r="G21" s="256"/>
      <c r="H21" s="257"/>
      <c r="I21" s="261"/>
      <c r="J21" s="252"/>
      <c r="K21" s="252"/>
      <c r="L21" s="252"/>
      <c r="M21" s="252"/>
    </row>
    <row r="22" spans="1:13">
      <c r="A22" s="247">
        <f>+A20+1</f>
        <v>16</v>
      </c>
      <c r="C22" s="248" t="s">
        <v>318</v>
      </c>
      <c r="D22" s="207" t="s">
        <v>299</v>
      </c>
      <c r="E22" s="249"/>
      <c r="F22" s="272"/>
      <c r="J22" s="252"/>
      <c r="K22" s="252"/>
      <c r="L22" s="252"/>
      <c r="M22" s="252"/>
    </row>
    <row r="23" spans="1:13">
      <c r="A23" s="247">
        <f t="shared" ref="A23:A36" si="2">+A22+1</f>
        <v>17</v>
      </c>
      <c r="C23" s="207" t="s">
        <v>302</v>
      </c>
      <c r="D23" s="253" t="s">
        <v>319</v>
      </c>
      <c r="E23" s="254">
        <f>+$E$7</f>
        <v>2024</v>
      </c>
      <c r="F23" s="255"/>
      <c r="G23" s="256"/>
      <c r="H23" s="257"/>
      <c r="I23" s="258"/>
      <c r="J23" s="252"/>
      <c r="K23" s="252"/>
      <c r="L23" s="252"/>
      <c r="M23" s="252"/>
    </row>
    <row r="24" spans="1:13">
      <c r="A24" s="247">
        <f t="shared" si="2"/>
        <v>18</v>
      </c>
      <c r="C24" s="259" t="s">
        <v>304</v>
      </c>
      <c r="D24" s="207" t="s">
        <v>305</v>
      </c>
      <c r="E24" s="254">
        <f>+$E$8</f>
        <v>2025</v>
      </c>
      <c r="F24" s="255"/>
      <c r="G24" s="260"/>
      <c r="J24" s="252"/>
      <c r="K24" s="252"/>
      <c r="L24" s="252"/>
      <c r="M24" s="252"/>
    </row>
    <row r="25" spans="1:13">
      <c r="A25" s="247">
        <f t="shared" si="2"/>
        <v>19</v>
      </c>
      <c r="B25" s="220"/>
      <c r="C25" s="259" t="s">
        <v>306</v>
      </c>
      <c r="D25" s="207" t="s">
        <v>305</v>
      </c>
      <c r="E25" s="254">
        <f t="shared" ref="E25:E35" si="3">+$E$8</f>
        <v>2025</v>
      </c>
      <c r="F25" s="255"/>
      <c r="G25" s="256"/>
      <c r="H25" s="257"/>
      <c r="I25" s="261"/>
      <c r="J25" s="252"/>
      <c r="K25" s="252"/>
      <c r="L25" s="252"/>
      <c r="M25" s="252"/>
    </row>
    <row r="26" spans="1:13">
      <c r="A26" s="247">
        <f t="shared" si="2"/>
        <v>20</v>
      </c>
      <c r="B26" s="220"/>
      <c r="C26" s="259" t="s">
        <v>307</v>
      </c>
      <c r="D26" s="207" t="s">
        <v>305</v>
      </c>
      <c r="E26" s="254">
        <f t="shared" si="3"/>
        <v>2025</v>
      </c>
      <c r="F26" s="255"/>
      <c r="G26" s="256"/>
      <c r="H26" s="257"/>
      <c r="I26" s="261"/>
      <c r="J26" s="252"/>
      <c r="K26" s="252"/>
      <c r="L26" s="252"/>
      <c r="M26" s="252"/>
    </row>
    <row r="27" spans="1:13">
      <c r="A27" s="247">
        <f t="shared" si="2"/>
        <v>21</v>
      </c>
      <c r="C27" s="259" t="s">
        <v>308</v>
      </c>
      <c r="D27" s="207" t="s">
        <v>305</v>
      </c>
      <c r="E27" s="254">
        <f t="shared" si="3"/>
        <v>2025</v>
      </c>
      <c r="F27" s="255"/>
      <c r="G27" s="256"/>
      <c r="H27" s="257"/>
      <c r="I27" s="261"/>
      <c r="J27" s="252"/>
      <c r="K27" s="252"/>
      <c r="L27" s="252"/>
      <c r="M27" s="252"/>
    </row>
    <row r="28" spans="1:13">
      <c r="A28" s="247">
        <f t="shared" si="2"/>
        <v>22</v>
      </c>
      <c r="C28" s="259" t="s">
        <v>309</v>
      </c>
      <c r="D28" s="207" t="s">
        <v>305</v>
      </c>
      <c r="E28" s="254">
        <f t="shared" si="3"/>
        <v>2025</v>
      </c>
      <c r="F28" s="255"/>
    </row>
    <row r="29" spans="1:13">
      <c r="A29" s="247">
        <f t="shared" si="2"/>
        <v>23</v>
      </c>
      <c r="C29" s="259" t="s">
        <v>310</v>
      </c>
      <c r="D29" s="207" t="s">
        <v>305</v>
      </c>
      <c r="E29" s="254">
        <f t="shared" si="3"/>
        <v>2025</v>
      </c>
      <c r="F29" s="255"/>
      <c r="G29" s="256"/>
      <c r="H29" s="257"/>
      <c r="I29" s="258"/>
      <c r="J29" s="252"/>
      <c r="K29" s="252"/>
      <c r="L29" s="252"/>
      <c r="M29" s="252"/>
    </row>
    <row r="30" spans="1:13">
      <c r="A30" s="247">
        <f t="shared" si="2"/>
        <v>24</v>
      </c>
      <c r="C30" s="259" t="s">
        <v>311</v>
      </c>
      <c r="D30" s="207" t="s">
        <v>305</v>
      </c>
      <c r="E30" s="254">
        <f t="shared" si="3"/>
        <v>2025</v>
      </c>
      <c r="F30" s="255"/>
      <c r="G30" s="260"/>
      <c r="J30" s="252"/>
      <c r="K30" s="252"/>
      <c r="L30" s="252"/>
      <c r="M30" s="252"/>
    </row>
    <row r="31" spans="1:13">
      <c r="A31" s="247">
        <f t="shared" si="2"/>
        <v>25</v>
      </c>
      <c r="B31" s="220"/>
      <c r="C31" s="259" t="s">
        <v>312</v>
      </c>
      <c r="D31" s="207" t="s">
        <v>305</v>
      </c>
      <c r="E31" s="254">
        <f t="shared" si="3"/>
        <v>2025</v>
      </c>
      <c r="F31" s="255"/>
      <c r="G31" s="256"/>
      <c r="H31" s="257"/>
      <c r="I31" s="261"/>
      <c r="J31" s="252"/>
      <c r="K31" s="252"/>
      <c r="L31" s="252"/>
      <c r="M31" s="252"/>
    </row>
    <row r="32" spans="1:13">
      <c r="A32" s="247">
        <f t="shared" si="2"/>
        <v>26</v>
      </c>
      <c r="B32" s="220"/>
      <c r="C32" s="259" t="s">
        <v>313</v>
      </c>
      <c r="D32" s="207" t="s">
        <v>305</v>
      </c>
      <c r="E32" s="254">
        <f t="shared" si="3"/>
        <v>2025</v>
      </c>
      <c r="F32" s="255"/>
      <c r="G32" s="256"/>
      <c r="H32" s="257"/>
      <c r="I32" s="261"/>
      <c r="J32" s="252"/>
      <c r="K32" s="252"/>
      <c r="L32" s="252"/>
      <c r="M32" s="252"/>
    </row>
    <row r="33" spans="1:13">
      <c r="A33" s="247">
        <f t="shared" si="2"/>
        <v>27</v>
      </c>
      <c r="C33" s="259" t="s">
        <v>320</v>
      </c>
      <c r="D33" s="207" t="s">
        <v>305</v>
      </c>
      <c r="E33" s="254">
        <f t="shared" si="3"/>
        <v>2025</v>
      </c>
      <c r="F33" s="255"/>
      <c r="G33" s="256"/>
      <c r="H33" s="257"/>
      <c r="I33" s="261"/>
      <c r="J33" s="252"/>
      <c r="K33" s="252"/>
      <c r="L33" s="252"/>
      <c r="M33" s="252"/>
    </row>
    <row r="34" spans="1:13">
      <c r="A34" s="247">
        <f t="shared" si="2"/>
        <v>28</v>
      </c>
      <c r="C34" s="259" t="s">
        <v>315</v>
      </c>
      <c r="D34" s="207" t="s">
        <v>305</v>
      </c>
      <c r="E34" s="254">
        <f t="shared" si="3"/>
        <v>2025</v>
      </c>
      <c r="F34" s="255"/>
      <c r="G34" s="256"/>
      <c r="H34" s="257"/>
      <c r="I34" s="261"/>
      <c r="J34" s="252"/>
      <c r="K34" s="252"/>
      <c r="L34" s="252"/>
      <c r="M34" s="252"/>
    </row>
    <row r="35" spans="1:13">
      <c r="A35" s="247">
        <f t="shared" si="2"/>
        <v>29</v>
      </c>
      <c r="C35" s="262" t="s">
        <v>302</v>
      </c>
      <c r="D35" s="263" t="s">
        <v>321</v>
      </c>
      <c r="E35" s="264">
        <f t="shared" si="3"/>
        <v>2025</v>
      </c>
      <c r="F35" s="265"/>
      <c r="G35" s="266"/>
    </row>
    <row r="36" spans="1:13">
      <c r="A36" s="247">
        <f t="shared" si="2"/>
        <v>30</v>
      </c>
      <c r="C36" s="267" t="s">
        <v>322</v>
      </c>
      <c r="D36" s="207" t="str">
        <f>"(sum lines "&amp;A23&amp;"-"&amp;A35&amp;") /13"</f>
        <v>(sum lines 17-29) /13</v>
      </c>
      <c r="E36" s="268"/>
      <c r="F36" s="269">
        <f>SUM(F23:F35)/13</f>
        <v>0</v>
      </c>
      <c r="G36" s="270"/>
      <c r="J36" s="252"/>
      <c r="K36" s="252"/>
      <c r="L36" s="252"/>
      <c r="M36" s="252"/>
    </row>
    <row r="37" spans="1:13">
      <c r="A37" s="247"/>
      <c r="B37" s="220"/>
      <c r="C37" s="259"/>
      <c r="E37" s="268"/>
      <c r="F37" s="271"/>
      <c r="G37" s="256"/>
      <c r="H37" s="257"/>
      <c r="I37" s="261"/>
      <c r="J37" s="252"/>
      <c r="K37" s="252"/>
      <c r="L37" s="252"/>
      <c r="M37" s="252"/>
    </row>
    <row r="38" spans="1:13">
      <c r="A38" s="247">
        <f>+A36+1</f>
        <v>31</v>
      </c>
      <c r="C38" s="248" t="s">
        <v>323</v>
      </c>
      <c r="D38" s="207" t="s">
        <v>299</v>
      </c>
      <c r="E38" s="249"/>
      <c r="F38" s="272"/>
      <c r="J38" s="252"/>
      <c r="K38" s="252"/>
      <c r="L38" s="252"/>
      <c r="M38" s="252"/>
    </row>
    <row r="39" spans="1:13">
      <c r="A39" s="247">
        <f>+A38+1</f>
        <v>32</v>
      </c>
      <c r="C39" s="207" t="s">
        <v>302</v>
      </c>
      <c r="D39" s="253" t="s">
        <v>324</v>
      </c>
      <c r="E39" s="254">
        <f>+$E$7</f>
        <v>2024</v>
      </c>
      <c r="F39" s="255">
        <v>45786944.467900977</v>
      </c>
      <c r="G39" s="256"/>
      <c r="J39" s="252"/>
      <c r="K39" s="252"/>
      <c r="L39" s="252"/>
      <c r="M39" s="252"/>
    </row>
    <row r="40" spans="1:13">
      <c r="A40" s="247">
        <f t="shared" ref="A40:A51" si="4">+A39+1</f>
        <v>33</v>
      </c>
      <c r="C40" s="259" t="s">
        <v>304</v>
      </c>
      <c r="D40" s="207" t="s">
        <v>305</v>
      </c>
      <c r="E40" s="254">
        <f>+$E$8</f>
        <v>2025</v>
      </c>
      <c r="F40" s="255">
        <v>45786944.467900977</v>
      </c>
      <c r="G40" s="256"/>
      <c r="H40" s="276"/>
      <c r="J40" s="252"/>
      <c r="K40" s="252"/>
      <c r="L40" s="252"/>
      <c r="M40" s="252"/>
    </row>
    <row r="41" spans="1:13">
      <c r="A41" s="247">
        <f t="shared" si="4"/>
        <v>34</v>
      </c>
      <c r="C41" s="259" t="s">
        <v>306</v>
      </c>
      <c r="D41" s="207" t="s">
        <v>305</v>
      </c>
      <c r="E41" s="254">
        <f t="shared" ref="E41:E51" si="5">+$E$8</f>
        <v>2025</v>
      </c>
      <c r="F41" s="255">
        <v>45786944.467900977</v>
      </c>
      <c r="G41" s="256"/>
      <c r="H41" s="276"/>
      <c r="J41" s="252"/>
      <c r="K41" s="252"/>
      <c r="L41" s="252"/>
      <c r="M41" s="252"/>
    </row>
    <row r="42" spans="1:13">
      <c r="A42" s="247">
        <f t="shared" si="4"/>
        <v>35</v>
      </c>
      <c r="C42" s="259" t="s">
        <v>307</v>
      </c>
      <c r="D42" s="207" t="s">
        <v>305</v>
      </c>
      <c r="E42" s="254">
        <f t="shared" si="5"/>
        <v>2025</v>
      </c>
      <c r="F42" s="255">
        <v>45786944.467900977</v>
      </c>
      <c r="G42" s="256"/>
      <c r="H42" s="276"/>
      <c r="J42" s="252"/>
      <c r="K42" s="252"/>
      <c r="L42" s="252"/>
      <c r="M42" s="252"/>
    </row>
    <row r="43" spans="1:13">
      <c r="A43" s="247">
        <f t="shared" si="4"/>
        <v>36</v>
      </c>
      <c r="C43" s="259" t="s">
        <v>308</v>
      </c>
      <c r="D43" s="207" t="s">
        <v>305</v>
      </c>
      <c r="E43" s="254">
        <f t="shared" si="5"/>
        <v>2025</v>
      </c>
      <c r="F43" s="255">
        <v>45786944.467900977</v>
      </c>
      <c r="G43" s="256"/>
      <c r="H43" s="276"/>
      <c r="J43" s="252"/>
      <c r="K43" s="252"/>
      <c r="L43" s="252"/>
      <c r="M43" s="252"/>
    </row>
    <row r="44" spans="1:13">
      <c r="A44" s="247">
        <f t="shared" si="4"/>
        <v>37</v>
      </c>
      <c r="C44" s="259" t="s">
        <v>309</v>
      </c>
      <c r="D44" s="207" t="s">
        <v>305</v>
      </c>
      <c r="E44" s="254">
        <f t="shared" si="5"/>
        <v>2025</v>
      </c>
      <c r="F44" s="255">
        <v>45786944.467900977</v>
      </c>
      <c r="G44" s="256"/>
      <c r="H44" s="276"/>
      <c r="J44" s="252"/>
      <c r="K44" s="252"/>
      <c r="L44" s="252"/>
      <c r="M44" s="252"/>
    </row>
    <row r="45" spans="1:13">
      <c r="A45" s="247">
        <f t="shared" si="4"/>
        <v>38</v>
      </c>
      <c r="C45" s="259" t="s">
        <v>310</v>
      </c>
      <c r="D45" s="207" t="s">
        <v>305</v>
      </c>
      <c r="E45" s="254">
        <f t="shared" si="5"/>
        <v>2025</v>
      </c>
      <c r="F45" s="255">
        <v>45786944.467900977</v>
      </c>
      <c r="G45" s="256"/>
      <c r="H45" s="276"/>
      <c r="J45" s="252"/>
      <c r="K45" s="252"/>
      <c r="L45" s="252"/>
      <c r="M45" s="252"/>
    </row>
    <row r="46" spans="1:13">
      <c r="A46" s="247">
        <f t="shared" si="4"/>
        <v>39</v>
      </c>
      <c r="C46" s="259" t="s">
        <v>311</v>
      </c>
      <c r="D46" s="207" t="s">
        <v>305</v>
      </c>
      <c r="E46" s="254">
        <f t="shared" si="5"/>
        <v>2025</v>
      </c>
      <c r="F46" s="255">
        <v>45786944.467900977</v>
      </c>
      <c r="G46" s="256"/>
      <c r="H46" s="276"/>
      <c r="J46" s="252"/>
      <c r="K46" s="252"/>
      <c r="L46" s="252"/>
      <c r="M46" s="252"/>
    </row>
    <row r="47" spans="1:13">
      <c r="A47" s="247">
        <f t="shared" si="4"/>
        <v>40</v>
      </c>
      <c r="C47" s="259" t="s">
        <v>312</v>
      </c>
      <c r="D47" s="207" t="s">
        <v>305</v>
      </c>
      <c r="E47" s="254">
        <f t="shared" si="5"/>
        <v>2025</v>
      </c>
      <c r="F47" s="255">
        <v>45786944.467900977</v>
      </c>
      <c r="G47" s="256"/>
      <c r="H47" s="276"/>
      <c r="J47" s="252"/>
      <c r="K47" s="252"/>
      <c r="L47" s="252"/>
      <c r="M47" s="252"/>
    </row>
    <row r="48" spans="1:13">
      <c r="A48" s="247">
        <f t="shared" si="4"/>
        <v>41</v>
      </c>
      <c r="C48" s="259" t="s">
        <v>313</v>
      </c>
      <c r="D48" s="207" t="s">
        <v>305</v>
      </c>
      <c r="E48" s="254">
        <f t="shared" si="5"/>
        <v>2025</v>
      </c>
      <c r="F48" s="255">
        <v>45786944.467900977</v>
      </c>
      <c r="G48" s="256"/>
      <c r="H48" s="276"/>
      <c r="J48" s="252"/>
      <c r="K48" s="252"/>
      <c r="L48" s="252"/>
      <c r="M48" s="252"/>
    </row>
    <row r="49" spans="1:13">
      <c r="A49" s="247">
        <f t="shared" si="4"/>
        <v>42</v>
      </c>
      <c r="C49" s="259" t="s">
        <v>320</v>
      </c>
      <c r="D49" s="207" t="s">
        <v>305</v>
      </c>
      <c r="E49" s="254">
        <f t="shared" si="5"/>
        <v>2025</v>
      </c>
      <c r="F49" s="255">
        <v>45786944.467900977</v>
      </c>
      <c r="G49" s="256"/>
      <c r="H49" s="276"/>
      <c r="J49" s="252"/>
      <c r="K49" s="252"/>
      <c r="L49" s="252"/>
      <c r="M49" s="252"/>
    </row>
    <row r="50" spans="1:13">
      <c r="A50" s="247">
        <f t="shared" si="4"/>
        <v>43</v>
      </c>
      <c r="C50" s="259" t="s">
        <v>315</v>
      </c>
      <c r="D50" s="207" t="s">
        <v>305</v>
      </c>
      <c r="E50" s="254">
        <f t="shared" si="5"/>
        <v>2025</v>
      </c>
      <c r="F50" s="255">
        <v>45786944.467900977</v>
      </c>
      <c r="G50" s="256"/>
      <c r="H50" s="276"/>
      <c r="J50" s="252"/>
      <c r="K50" s="252"/>
      <c r="L50" s="252"/>
      <c r="M50" s="252"/>
    </row>
    <row r="51" spans="1:13">
      <c r="A51" s="247">
        <f t="shared" si="4"/>
        <v>44</v>
      </c>
      <c r="C51" s="262" t="s">
        <v>302</v>
      </c>
      <c r="D51" s="263" t="s">
        <v>325</v>
      </c>
      <c r="E51" s="264">
        <f t="shared" si="5"/>
        <v>2025</v>
      </c>
      <c r="F51" s="265">
        <v>47497333.112166815</v>
      </c>
      <c r="G51" s="266"/>
      <c r="H51" s="276"/>
    </row>
    <row r="52" spans="1:13">
      <c r="A52" s="247">
        <f>+A51+1</f>
        <v>45</v>
      </c>
      <c r="C52" s="267" t="s">
        <v>326</v>
      </c>
      <c r="D52" s="207" t="str">
        <f>"(sum lines "&amp;A39&amp;"-"&amp;A51&amp;") /13"</f>
        <v>(sum lines 32-44) /13</v>
      </c>
      <c r="E52" s="268"/>
      <c r="F52" s="269">
        <f>SUM(F39:F51)/13</f>
        <v>45918512.825152196</v>
      </c>
      <c r="G52" s="270"/>
      <c r="I52" s="273"/>
      <c r="J52" s="252"/>
      <c r="K52" s="252"/>
      <c r="L52" s="252"/>
      <c r="M52" s="252"/>
    </row>
    <row r="53" spans="1:13">
      <c r="A53" s="247"/>
      <c r="C53" s="259"/>
      <c r="E53" s="274"/>
      <c r="F53" s="271"/>
      <c r="G53" s="256"/>
      <c r="H53" s="257"/>
      <c r="I53" s="261"/>
      <c r="J53" s="252"/>
      <c r="K53" s="252"/>
      <c r="L53" s="252"/>
      <c r="M53" s="252"/>
    </row>
    <row r="54" spans="1:13">
      <c r="A54" s="247">
        <f>+A52+1</f>
        <v>46</v>
      </c>
      <c r="C54" s="248" t="s">
        <v>327</v>
      </c>
      <c r="D54" s="207" t="s">
        <v>299</v>
      </c>
      <c r="E54" s="249"/>
      <c r="F54" s="272"/>
      <c r="J54" s="252"/>
      <c r="K54" s="252"/>
      <c r="L54" s="252"/>
      <c r="M54" s="252"/>
    </row>
    <row r="55" spans="1:13">
      <c r="A55" s="247">
        <f>+A54+1</f>
        <v>47</v>
      </c>
      <c r="C55" s="207" t="s">
        <v>302</v>
      </c>
      <c r="D55" s="253" t="s">
        <v>328</v>
      </c>
      <c r="E55" s="254">
        <f>+$E$7</f>
        <v>2024</v>
      </c>
      <c r="F55" s="255">
        <v>4404479.4083313635</v>
      </c>
      <c r="G55" s="256"/>
      <c r="H55" s="257"/>
      <c r="I55" s="258"/>
      <c r="J55" s="252"/>
      <c r="K55" s="252"/>
      <c r="L55" s="252"/>
      <c r="M55" s="252"/>
    </row>
    <row r="56" spans="1:13">
      <c r="A56" s="247">
        <f t="shared" ref="A56:A66" si="6">+A55+1</f>
        <v>48</v>
      </c>
      <c r="C56" s="259" t="s">
        <v>304</v>
      </c>
      <c r="D56" s="207" t="s">
        <v>305</v>
      </c>
      <c r="E56" s="254">
        <f>+$E$8</f>
        <v>2025</v>
      </c>
      <c r="F56" s="255">
        <v>4404479.4083313635</v>
      </c>
      <c r="G56" s="256"/>
      <c r="H56" s="276"/>
      <c r="I56" s="258"/>
      <c r="J56" s="252"/>
      <c r="K56" s="252"/>
      <c r="L56" s="252"/>
      <c r="M56" s="252"/>
    </row>
    <row r="57" spans="1:13">
      <c r="A57" s="247">
        <f t="shared" si="6"/>
        <v>49</v>
      </c>
      <c r="C57" s="259" t="s">
        <v>306</v>
      </c>
      <c r="D57" s="207" t="s">
        <v>305</v>
      </c>
      <c r="E57" s="254">
        <f t="shared" ref="E57:E67" si="7">+$E$8</f>
        <v>2025</v>
      </c>
      <c r="F57" s="255">
        <v>4404479.4083313635</v>
      </c>
      <c r="G57" s="256"/>
      <c r="H57" s="276"/>
      <c r="I57" s="258"/>
      <c r="J57" s="252"/>
      <c r="K57" s="252"/>
      <c r="L57" s="252"/>
      <c r="M57" s="252"/>
    </row>
    <row r="58" spans="1:13">
      <c r="A58" s="247">
        <f t="shared" si="6"/>
        <v>50</v>
      </c>
      <c r="C58" s="259" t="s">
        <v>307</v>
      </c>
      <c r="D58" s="207" t="s">
        <v>305</v>
      </c>
      <c r="E58" s="254">
        <f t="shared" si="7"/>
        <v>2025</v>
      </c>
      <c r="F58" s="255">
        <v>4404479.4083313635</v>
      </c>
      <c r="G58" s="256"/>
      <c r="H58" s="276"/>
      <c r="I58" s="258"/>
      <c r="J58" s="252"/>
      <c r="K58" s="252"/>
      <c r="L58" s="252"/>
      <c r="M58" s="252"/>
    </row>
    <row r="59" spans="1:13">
      <c r="A59" s="247">
        <f t="shared" si="6"/>
        <v>51</v>
      </c>
      <c r="C59" s="259" t="s">
        <v>308</v>
      </c>
      <c r="D59" s="207" t="s">
        <v>305</v>
      </c>
      <c r="E59" s="254">
        <f t="shared" si="7"/>
        <v>2025</v>
      </c>
      <c r="F59" s="255">
        <v>4404479.4083313635</v>
      </c>
      <c r="G59" s="256"/>
      <c r="H59" s="276"/>
      <c r="I59" s="258"/>
      <c r="J59" s="252"/>
      <c r="K59" s="252"/>
      <c r="L59" s="252"/>
      <c r="M59" s="252"/>
    </row>
    <row r="60" spans="1:13">
      <c r="A60" s="247">
        <f t="shared" si="6"/>
        <v>52</v>
      </c>
      <c r="C60" s="259" t="s">
        <v>309</v>
      </c>
      <c r="D60" s="207" t="s">
        <v>305</v>
      </c>
      <c r="E60" s="254">
        <f t="shared" si="7"/>
        <v>2025</v>
      </c>
      <c r="F60" s="255">
        <v>4404479.4083313635</v>
      </c>
      <c r="G60" s="256"/>
      <c r="H60" s="276"/>
      <c r="I60" s="258"/>
      <c r="J60" s="252"/>
      <c r="K60" s="252"/>
      <c r="L60" s="252"/>
      <c r="M60" s="252"/>
    </row>
    <row r="61" spans="1:13">
      <c r="A61" s="247">
        <f t="shared" si="6"/>
        <v>53</v>
      </c>
      <c r="C61" s="259" t="s">
        <v>310</v>
      </c>
      <c r="D61" s="207" t="s">
        <v>305</v>
      </c>
      <c r="E61" s="254">
        <f t="shared" si="7"/>
        <v>2025</v>
      </c>
      <c r="F61" s="255">
        <v>4404479.4083313635</v>
      </c>
      <c r="G61" s="256"/>
      <c r="H61" s="276"/>
      <c r="I61" s="258"/>
      <c r="J61" s="252"/>
      <c r="K61" s="252"/>
      <c r="L61" s="252"/>
      <c r="M61" s="252"/>
    </row>
    <row r="62" spans="1:13">
      <c r="A62" s="247">
        <f t="shared" si="6"/>
        <v>54</v>
      </c>
      <c r="C62" s="259" t="s">
        <v>311</v>
      </c>
      <c r="D62" s="207" t="s">
        <v>305</v>
      </c>
      <c r="E62" s="254">
        <f t="shared" si="7"/>
        <v>2025</v>
      </c>
      <c r="F62" s="255">
        <v>4404479.4083313635</v>
      </c>
      <c r="G62" s="256"/>
      <c r="H62" s="276"/>
      <c r="I62" s="258"/>
      <c r="J62" s="252"/>
      <c r="K62" s="252"/>
      <c r="L62" s="252"/>
      <c r="M62" s="252"/>
    </row>
    <row r="63" spans="1:13">
      <c r="A63" s="247">
        <f t="shared" si="6"/>
        <v>55</v>
      </c>
      <c r="C63" s="259" t="s">
        <v>312</v>
      </c>
      <c r="D63" s="207" t="s">
        <v>305</v>
      </c>
      <c r="E63" s="254">
        <f t="shared" si="7"/>
        <v>2025</v>
      </c>
      <c r="F63" s="255">
        <v>4404479.4083313635</v>
      </c>
      <c r="G63" s="256"/>
      <c r="H63" s="276"/>
      <c r="I63" s="258"/>
      <c r="J63" s="252"/>
      <c r="K63" s="252"/>
      <c r="L63" s="252"/>
      <c r="M63" s="252"/>
    </row>
    <row r="64" spans="1:13">
      <c r="A64" s="247">
        <f t="shared" si="6"/>
        <v>56</v>
      </c>
      <c r="C64" s="259" t="s">
        <v>313</v>
      </c>
      <c r="D64" s="207" t="s">
        <v>305</v>
      </c>
      <c r="E64" s="254">
        <f t="shared" si="7"/>
        <v>2025</v>
      </c>
      <c r="F64" s="255">
        <v>4404479.4083313635</v>
      </c>
      <c r="G64" s="256"/>
      <c r="H64" s="276"/>
      <c r="I64" s="258"/>
      <c r="J64" s="252"/>
      <c r="K64" s="252"/>
      <c r="L64" s="252"/>
      <c r="M64" s="252"/>
    </row>
    <row r="65" spans="1:13">
      <c r="A65" s="247">
        <f t="shared" si="6"/>
        <v>57</v>
      </c>
      <c r="C65" s="259" t="s">
        <v>320</v>
      </c>
      <c r="D65" s="207" t="s">
        <v>305</v>
      </c>
      <c r="E65" s="254">
        <f t="shared" si="7"/>
        <v>2025</v>
      </c>
      <c r="F65" s="255">
        <v>4404479.4083313635</v>
      </c>
      <c r="G65" s="256"/>
      <c r="H65" s="276"/>
      <c r="I65" s="258"/>
      <c r="J65" s="252"/>
      <c r="K65" s="252"/>
      <c r="L65" s="252"/>
      <c r="M65" s="252"/>
    </row>
    <row r="66" spans="1:13">
      <c r="A66" s="247">
        <f t="shared" si="6"/>
        <v>58</v>
      </c>
      <c r="C66" s="259" t="s">
        <v>315</v>
      </c>
      <c r="D66" s="207" t="s">
        <v>305</v>
      </c>
      <c r="E66" s="254">
        <f t="shared" si="7"/>
        <v>2025</v>
      </c>
      <c r="F66" s="255">
        <v>4404479.4083313635</v>
      </c>
      <c r="G66" s="256"/>
      <c r="H66" s="276"/>
      <c r="I66" s="258"/>
      <c r="J66" s="252"/>
      <c r="K66" s="252"/>
      <c r="L66" s="252"/>
      <c r="M66" s="252"/>
    </row>
    <row r="67" spans="1:13">
      <c r="A67" s="247">
        <f>+A66+1</f>
        <v>59</v>
      </c>
      <c r="C67" s="262" t="s">
        <v>302</v>
      </c>
      <c r="D67" s="263" t="s">
        <v>329</v>
      </c>
      <c r="E67" s="264">
        <f t="shared" si="7"/>
        <v>2025</v>
      </c>
      <c r="F67" s="265">
        <v>4569010.4040433383</v>
      </c>
      <c r="G67" s="266"/>
      <c r="H67" s="276"/>
    </row>
    <row r="68" spans="1:13">
      <c r="A68" s="247">
        <f>+A67+1</f>
        <v>60</v>
      </c>
      <c r="C68" s="267" t="s">
        <v>330</v>
      </c>
      <c r="D68" s="207" t="str">
        <f>"(sum lines "&amp;A55&amp;"-"&amp;A67&amp;") /13"</f>
        <v>(sum lines 47-59) /13</v>
      </c>
      <c r="E68" s="268"/>
      <c r="F68" s="269">
        <f>SUM(F55:F67)/13</f>
        <v>4417135.6387707461</v>
      </c>
      <c r="G68" s="270"/>
      <c r="I68" s="273"/>
      <c r="J68" s="252"/>
      <c r="K68" s="252"/>
      <c r="L68" s="252"/>
      <c r="M68" s="252"/>
    </row>
    <row r="69" spans="1:13">
      <c r="A69" s="247"/>
      <c r="C69" s="259"/>
      <c r="D69" s="253"/>
      <c r="E69" s="274"/>
      <c r="F69" s="275"/>
    </row>
    <row r="70" spans="1:13">
      <c r="A70" s="247">
        <f>+A68+1</f>
        <v>61</v>
      </c>
      <c r="C70" s="248" t="s">
        <v>331</v>
      </c>
      <c r="D70" s="207" t="s">
        <v>299</v>
      </c>
      <c r="E70" s="249"/>
      <c r="F70" s="272"/>
      <c r="J70" s="252"/>
      <c r="K70" s="252"/>
      <c r="L70" s="252"/>
      <c r="M70" s="252"/>
    </row>
    <row r="71" spans="1:13">
      <c r="A71" s="247">
        <f t="shared" ref="A71:A84" si="8">+A70+1</f>
        <v>62</v>
      </c>
      <c r="C71" s="207" t="s">
        <v>302</v>
      </c>
      <c r="D71" s="253" t="s">
        <v>332</v>
      </c>
      <c r="E71" s="254">
        <f>+$E$7</f>
        <v>2024</v>
      </c>
      <c r="F71" s="255"/>
      <c r="J71" s="252"/>
      <c r="K71" s="252"/>
      <c r="L71" s="252"/>
      <c r="M71" s="252"/>
    </row>
    <row r="72" spans="1:13">
      <c r="A72" s="247">
        <f t="shared" si="8"/>
        <v>63</v>
      </c>
      <c r="C72" s="259" t="s">
        <v>304</v>
      </c>
      <c r="D72" s="207" t="s">
        <v>305</v>
      </c>
      <c r="E72" s="254">
        <f>+$E$8</f>
        <v>2025</v>
      </c>
      <c r="F72" s="255"/>
      <c r="J72" s="252"/>
      <c r="K72" s="252"/>
      <c r="L72" s="252"/>
      <c r="M72" s="252"/>
    </row>
    <row r="73" spans="1:13">
      <c r="A73" s="247">
        <f t="shared" si="8"/>
        <v>64</v>
      </c>
      <c r="C73" s="259" t="s">
        <v>306</v>
      </c>
      <c r="D73" s="207" t="s">
        <v>305</v>
      </c>
      <c r="E73" s="254">
        <f t="shared" ref="E73:E83" si="9">+$E$8</f>
        <v>2025</v>
      </c>
      <c r="F73" s="255"/>
      <c r="J73" s="252"/>
      <c r="K73" s="252"/>
      <c r="L73" s="252"/>
      <c r="M73" s="252"/>
    </row>
    <row r="74" spans="1:13">
      <c r="A74" s="247">
        <f t="shared" si="8"/>
        <v>65</v>
      </c>
      <c r="C74" s="259" t="s">
        <v>307</v>
      </c>
      <c r="D74" s="207" t="s">
        <v>305</v>
      </c>
      <c r="E74" s="254">
        <f t="shared" si="9"/>
        <v>2025</v>
      </c>
      <c r="F74" s="255"/>
      <c r="J74" s="252"/>
      <c r="K74" s="252"/>
      <c r="L74" s="252"/>
      <c r="M74" s="252"/>
    </row>
    <row r="75" spans="1:13">
      <c r="A75" s="247">
        <f t="shared" si="8"/>
        <v>66</v>
      </c>
      <c r="C75" s="259" t="s">
        <v>308</v>
      </c>
      <c r="D75" s="207" t="s">
        <v>305</v>
      </c>
      <c r="E75" s="254">
        <f t="shared" si="9"/>
        <v>2025</v>
      </c>
      <c r="F75" s="255"/>
      <c r="J75" s="252"/>
      <c r="K75" s="252"/>
      <c r="L75" s="252"/>
      <c r="M75" s="252"/>
    </row>
    <row r="76" spans="1:13">
      <c r="A76" s="247">
        <f t="shared" si="8"/>
        <v>67</v>
      </c>
      <c r="C76" s="259" t="s">
        <v>309</v>
      </c>
      <c r="D76" s="207" t="s">
        <v>305</v>
      </c>
      <c r="E76" s="254">
        <f t="shared" si="9"/>
        <v>2025</v>
      </c>
      <c r="F76" s="255"/>
      <c r="J76" s="252"/>
      <c r="K76" s="252"/>
      <c r="L76" s="252"/>
      <c r="M76" s="252"/>
    </row>
    <row r="77" spans="1:13">
      <c r="A77" s="247">
        <f t="shared" si="8"/>
        <v>68</v>
      </c>
      <c r="C77" s="259" t="s">
        <v>310</v>
      </c>
      <c r="D77" s="207" t="s">
        <v>305</v>
      </c>
      <c r="E77" s="254">
        <f t="shared" si="9"/>
        <v>2025</v>
      </c>
      <c r="F77" s="255"/>
      <c r="J77" s="252"/>
      <c r="K77" s="252"/>
      <c r="L77" s="252"/>
      <c r="M77" s="252"/>
    </row>
    <row r="78" spans="1:13">
      <c r="A78" s="247">
        <f t="shared" si="8"/>
        <v>69</v>
      </c>
      <c r="C78" s="259" t="s">
        <v>311</v>
      </c>
      <c r="D78" s="207" t="s">
        <v>305</v>
      </c>
      <c r="E78" s="254">
        <f t="shared" si="9"/>
        <v>2025</v>
      </c>
      <c r="F78" s="255"/>
      <c r="J78" s="252"/>
      <c r="K78" s="252"/>
      <c r="L78" s="252"/>
      <c r="M78" s="252"/>
    </row>
    <row r="79" spans="1:13">
      <c r="A79" s="247">
        <f t="shared" si="8"/>
        <v>70</v>
      </c>
      <c r="C79" s="259" t="s">
        <v>312</v>
      </c>
      <c r="D79" s="207" t="s">
        <v>305</v>
      </c>
      <c r="E79" s="254">
        <f t="shared" si="9"/>
        <v>2025</v>
      </c>
      <c r="F79" s="255"/>
      <c r="J79" s="252"/>
      <c r="K79" s="252"/>
      <c r="L79" s="252"/>
      <c r="M79" s="252"/>
    </row>
    <row r="80" spans="1:13">
      <c r="A80" s="247">
        <f t="shared" si="8"/>
        <v>71</v>
      </c>
      <c r="C80" s="259" t="s">
        <v>313</v>
      </c>
      <c r="D80" s="207" t="s">
        <v>305</v>
      </c>
      <c r="E80" s="254">
        <f t="shared" si="9"/>
        <v>2025</v>
      </c>
      <c r="F80" s="255"/>
      <c r="J80" s="252"/>
      <c r="K80" s="252"/>
      <c r="L80" s="252"/>
      <c r="M80" s="252"/>
    </row>
    <row r="81" spans="1:13">
      <c r="A81" s="247">
        <f t="shared" si="8"/>
        <v>72</v>
      </c>
      <c r="C81" s="259" t="s">
        <v>320</v>
      </c>
      <c r="D81" s="207" t="s">
        <v>305</v>
      </c>
      <c r="E81" s="254">
        <f t="shared" si="9"/>
        <v>2025</v>
      </c>
      <c r="F81" s="255"/>
      <c r="J81" s="252"/>
      <c r="K81" s="252"/>
      <c r="L81" s="252"/>
      <c r="M81" s="252"/>
    </row>
    <row r="82" spans="1:13">
      <c r="A82" s="247">
        <f t="shared" si="8"/>
        <v>73</v>
      </c>
      <c r="C82" s="259" t="s">
        <v>315</v>
      </c>
      <c r="D82" s="207" t="s">
        <v>305</v>
      </c>
      <c r="E82" s="254">
        <f t="shared" si="9"/>
        <v>2025</v>
      </c>
      <c r="F82" s="255"/>
      <c r="J82" s="252"/>
      <c r="K82" s="252"/>
      <c r="L82" s="252"/>
      <c r="M82" s="252"/>
    </row>
    <row r="83" spans="1:13">
      <c r="A83" s="247">
        <f t="shared" si="8"/>
        <v>74</v>
      </c>
      <c r="C83" s="262" t="s">
        <v>302</v>
      </c>
      <c r="D83" s="263" t="s">
        <v>333</v>
      </c>
      <c r="E83" s="264">
        <f t="shared" si="9"/>
        <v>2025</v>
      </c>
      <c r="F83" s="265"/>
      <c r="G83" s="266"/>
      <c r="H83" s="276"/>
    </row>
    <row r="84" spans="1:13">
      <c r="A84" s="247">
        <f t="shared" si="8"/>
        <v>75</v>
      </c>
      <c r="C84" s="267" t="s">
        <v>334</v>
      </c>
      <c r="D84" s="207" t="str">
        <f>"(sum lines "&amp;A71&amp;"-"&amp;A83&amp;") /13"</f>
        <v>(sum lines 62-74) /13</v>
      </c>
      <c r="E84" s="268"/>
      <c r="F84" s="269">
        <f>SUM(F71:F83)/13</f>
        <v>0</v>
      </c>
      <c r="G84" s="270"/>
      <c r="I84" s="273"/>
      <c r="J84" s="252"/>
      <c r="K84" s="252"/>
      <c r="L84" s="252"/>
      <c r="M84" s="252"/>
    </row>
    <row r="85" spans="1:13">
      <c r="A85" s="247"/>
      <c r="C85" s="259"/>
      <c r="E85" s="268"/>
      <c r="F85" s="271"/>
      <c r="G85" s="256"/>
      <c r="H85" s="257"/>
      <c r="I85" s="258"/>
      <c r="J85" s="252"/>
      <c r="K85" s="252"/>
      <c r="L85" s="252"/>
      <c r="M85" s="252"/>
    </row>
    <row r="86" spans="1:13">
      <c r="A86" s="247">
        <f>+A84+1</f>
        <v>76</v>
      </c>
      <c r="C86" s="248" t="s">
        <v>335</v>
      </c>
      <c r="D86" s="253" t="str">
        <f>"(sum lines "&amp;A20&amp;", "&amp;A36&amp;", "&amp;A52&amp;", "&amp;A68&amp;", &amp; "&amp;A84&amp;")"</f>
        <v>(sum lines 15, 30, 45, 60, &amp; 75)</v>
      </c>
      <c r="E86" s="274"/>
      <c r="F86" s="277">
        <f>F20+F36+F52+F68+F84</f>
        <v>265294476.52378938</v>
      </c>
      <c r="G86" s="278"/>
      <c r="H86" s="279"/>
      <c r="I86" s="273"/>
    </row>
    <row r="87" spans="1:13" ht="16.2" thickBot="1">
      <c r="A87" s="280"/>
      <c r="B87" s="281"/>
      <c r="C87" s="282"/>
      <c r="D87" s="283"/>
      <c r="E87" s="284"/>
      <c r="F87" s="285"/>
      <c r="G87" s="278"/>
      <c r="H87" s="257"/>
      <c r="I87" s="261"/>
      <c r="J87" s="252"/>
      <c r="K87" s="252"/>
      <c r="L87" s="252"/>
      <c r="M87" s="252"/>
    </row>
    <row r="88" spans="1:13">
      <c r="A88" s="247"/>
      <c r="B88" s="220"/>
      <c r="C88" s="259"/>
      <c r="E88" s="268"/>
      <c r="F88" s="271"/>
      <c r="G88" s="278"/>
      <c r="H88" s="257"/>
      <c r="I88" s="261"/>
      <c r="J88" s="252"/>
      <c r="K88" s="252"/>
      <c r="L88" s="252"/>
      <c r="M88" s="252"/>
    </row>
    <row r="89" spans="1:13">
      <c r="A89" s="247"/>
      <c r="B89" s="220"/>
      <c r="C89" s="259"/>
      <c r="E89" s="268"/>
      <c r="F89" s="271"/>
      <c r="G89" s="256"/>
      <c r="H89" s="257"/>
      <c r="I89" s="261"/>
      <c r="J89" s="252"/>
      <c r="K89" s="252"/>
      <c r="L89" s="252"/>
      <c r="M89" s="252"/>
    </row>
    <row r="90" spans="1:13" ht="16.2" thickBot="1">
      <c r="A90" s="286" t="s">
        <v>336</v>
      </c>
      <c r="E90" s="287"/>
      <c r="F90" s="272"/>
    </row>
    <row r="91" spans="1:13">
      <c r="A91" s="1167" t="s">
        <v>337</v>
      </c>
      <c r="B91" s="1168"/>
      <c r="C91" s="1168"/>
      <c r="D91" s="1168"/>
      <c r="E91" s="1168"/>
      <c r="F91" s="1169"/>
      <c r="G91" s="1059"/>
      <c r="H91" s="1060"/>
      <c r="I91" s="1059"/>
      <c r="J91" s="1170"/>
      <c r="K91" s="1171"/>
      <c r="L91" s="1171"/>
      <c r="M91" s="1171"/>
    </row>
    <row r="92" spans="1:13">
      <c r="A92" s="247">
        <f>+A86+1</f>
        <v>77</v>
      </c>
      <c r="C92" s="248" t="s">
        <v>338</v>
      </c>
      <c r="D92" s="207" t="s">
        <v>299</v>
      </c>
      <c r="E92" s="249" t="s">
        <v>300</v>
      </c>
      <c r="F92" s="250" t="s">
        <v>301</v>
      </c>
      <c r="G92" s="251"/>
      <c r="J92" s="252"/>
      <c r="K92" s="252"/>
      <c r="L92" s="252"/>
      <c r="M92" s="252"/>
    </row>
    <row r="93" spans="1:13">
      <c r="A93" s="247">
        <f t="shared" ref="A93:A106" si="10">+A92+1</f>
        <v>78</v>
      </c>
      <c r="C93" s="207" t="s">
        <v>302</v>
      </c>
      <c r="D93" s="253" t="s">
        <v>339</v>
      </c>
      <c r="E93" s="254">
        <f>+$E$7</f>
        <v>2024</v>
      </c>
      <c r="F93" s="255">
        <v>14868471.024083823</v>
      </c>
      <c r="G93" s="256"/>
      <c r="H93" s="257"/>
      <c r="I93" s="258"/>
      <c r="J93" s="252"/>
      <c r="K93" s="252"/>
      <c r="L93" s="252"/>
      <c r="M93" s="252"/>
    </row>
    <row r="94" spans="1:13">
      <c r="A94" s="247">
        <f t="shared" si="10"/>
        <v>79</v>
      </c>
      <c r="C94" s="259" t="s">
        <v>304</v>
      </c>
      <c r="D94" s="207" t="s">
        <v>305</v>
      </c>
      <c r="E94" s="254">
        <f>+$E$8</f>
        <v>2025</v>
      </c>
      <c r="F94" s="255">
        <v>15355111.189676557</v>
      </c>
      <c r="G94" s="260"/>
      <c r="H94" s="276"/>
      <c r="J94" s="252"/>
      <c r="K94" s="252"/>
      <c r="L94" s="252"/>
      <c r="M94" s="252"/>
    </row>
    <row r="95" spans="1:13">
      <c r="A95" s="247">
        <f t="shared" si="10"/>
        <v>80</v>
      </c>
      <c r="B95" s="220"/>
      <c r="C95" s="259" t="s">
        <v>306</v>
      </c>
      <c r="D95" s="207" t="s">
        <v>305</v>
      </c>
      <c r="E95" s="254">
        <f t="shared" ref="E95:E105" si="11">+$E$8</f>
        <v>2025</v>
      </c>
      <c r="F95" s="255">
        <v>15841751.355269291</v>
      </c>
      <c r="G95" s="256"/>
      <c r="H95" s="276"/>
      <c r="I95" s="261"/>
      <c r="J95" s="252"/>
      <c r="K95" s="252"/>
      <c r="L95" s="252"/>
      <c r="M95" s="252"/>
    </row>
    <row r="96" spans="1:13">
      <c r="A96" s="247">
        <f t="shared" si="10"/>
        <v>81</v>
      </c>
      <c r="B96" s="220"/>
      <c r="C96" s="259" t="s">
        <v>307</v>
      </c>
      <c r="D96" s="207" t="s">
        <v>305</v>
      </c>
      <c r="E96" s="254">
        <f t="shared" si="11"/>
        <v>2025</v>
      </c>
      <c r="F96" s="255">
        <v>16328391.52086203</v>
      </c>
      <c r="G96" s="256"/>
      <c r="H96" s="276"/>
      <c r="I96" s="261"/>
      <c r="J96" s="252"/>
      <c r="K96" s="252"/>
      <c r="L96" s="252"/>
      <c r="M96" s="252"/>
    </row>
    <row r="97" spans="1:13">
      <c r="A97" s="247">
        <f t="shared" si="10"/>
        <v>82</v>
      </c>
      <c r="C97" s="259" t="s">
        <v>308</v>
      </c>
      <c r="D97" s="207" t="s">
        <v>305</v>
      </c>
      <c r="E97" s="254">
        <f t="shared" si="11"/>
        <v>2025</v>
      </c>
      <c r="F97" s="255">
        <v>16815031.686454765</v>
      </c>
      <c r="G97" s="256"/>
      <c r="H97" s="276"/>
      <c r="I97" s="261"/>
      <c r="J97" s="252"/>
      <c r="K97" s="252"/>
      <c r="L97" s="252"/>
      <c r="M97" s="252"/>
    </row>
    <row r="98" spans="1:13">
      <c r="A98" s="247">
        <f t="shared" si="10"/>
        <v>83</v>
      </c>
      <c r="C98" s="259" t="s">
        <v>309</v>
      </c>
      <c r="D98" s="207" t="s">
        <v>305</v>
      </c>
      <c r="E98" s="254">
        <f t="shared" si="11"/>
        <v>2025</v>
      </c>
      <c r="F98" s="255">
        <v>17301671.852047499</v>
      </c>
      <c r="H98" s="276"/>
    </row>
    <row r="99" spans="1:13">
      <c r="A99" s="247">
        <f t="shared" si="10"/>
        <v>84</v>
      </c>
      <c r="C99" s="259" t="s">
        <v>310</v>
      </c>
      <c r="D99" s="207" t="s">
        <v>305</v>
      </c>
      <c r="E99" s="254">
        <f t="shared" si="11"/>
        <v>2025</v>
      </c>
      <c r="F99" s="255">
        <v>17788312.017640237</v>
      </c>
      <c r="G99" s="256"/>
      <c r="H99" s="276"/>
      <c r="I99" s="258"/>
      <c r="J99" s="252"/>
      <c r="K99" s="252"/>
      <c r="L99" s="252"/>
      <c r="M99" s="252"/>
    </row>
    <row r="100" spans="1:13">
      <c r="A100" s="247">
        <f t="shared" si="10"/>
        <v>85</v>
      </c>
      <c r="C100" s="259" t="s">
        <v>311</v>
      </c>
      <c r="D100" s="207" t="s">
        <v>305</v>
      </c>
      <c r="E100" s="254">
        <f t="shared" si="11"/>
        <v>2025</v>
      </c>
      <c r="F100" s="255">
        <v>18274952.183232971</v>
      </c>
      <c r="G100" s="260"/>
      <c r="H100" s="276"/>
      <c r="J100" s="252"/>
      <c r="K100" s="252"/>
      <c r="L100" s="252"/>
      <c r="M100" s="252"/>
    </row>
    <row r="101" spans="1:13">
      <c r="A101" s="247">
        <f t="shared" si="10"/>
        <v>86</v>
      </c>
      <c r="B101" s="220"/>
      <c r="C101" s="259" t="s">
        <v>312</v>
      </c>
      <c r="D101" s="207" t="s">
        <v>305</v>
      </c>
      <c r="E101" s="254">
        <f t="shared" si="11"/>
        <v>2025</v>
      </c>
      <c r="F101" s="255">
        <v>18761592.348825704</v>
      </c>
      <c r="G101" s="256"/>
      <c r="H101" s="276"/>
      <c r="I101" s="261"/>
      <c r="J101" s="252"/>
      <c r="K101" s="252"/>
      <c r="L101" s="252"/>
      <c r="M101" s="252"/>
    </row>
    <row r="102" spans="1:13">
      <c r="A102" s="247">
        <f t="shared" si="10"/>
        <v>87</v>
      </c>
      <c r="B102" s="220"/>
      <c r="C102" s="259" t="s">
        <v>313</v>
      </c>
      <c r="D102" s="207" t="s">
        <v>305</v>
      </c>
      <c r="E102" s="254">
        <f t="shared" si="11"/>
        <v>2025</v>
      </c>
      <c r="F102" s="255">
        <v>19248232.514418442</v>
      </c>
      <c r="G102" s="256"/>
      <c r="H102" s="276"/>
      <c r="I102" s="261"/>
      <c r="J102" s="252"/>
      <c r="K102" s="252"/>
      <c r="L102" s="252"/>
      <c r="M102" s="252"/>
    </row>
    <row r="103" spans="1:13">
      <c r="A103" s="247">
        <f t="shared" si="10"/>
        <v>88</v>
      </c>
      <c r="C103" s="259" t="s">
        <v>320</v>
      </c>
      <c r="D103" s="207" t="s">
        <v>305</v>
      </c>
      <c r="E103" s="254">
        <f t="shared" si="11"/>
        <v>2025</v>
      </c>
      <c r="F103" s="255">
        <v>19734872.680011176</v>
      </c>
      <c r="G103" s="256"/>
      <c r="H103" s="276"/>
      <c r="I103" s="261"/>
      <c r="J103" s="252"/>
      <c r="K103" s="252"/>
      <c r="L103" s="252"/>
      <c r="M103" s="252"/>
    </row>
    <row r="104" spans="1:13">
      <c r="A104" s="247">
        <f t="shared" si="10"/>
        <v>89</v>
      </c>
      <c r="C104" s="259" t="s">
        <v>315</v>
      </c>
      <c r="D104" s="207" t="s">
        <v>305</v>
      </c>
      <c r="E104" s="254">
        <f t="shared" si="11"/>
        <v>2025</v>
      </c>
      <c r="F104" s="255">
        <v>20221512.845603913</v>
      </c>
      <c r="H104" s="276"/>
      <c r="I104" s="261"/>
      <c r="J104" s="252"/>
      <c r="K104" s="252"/>
      <c r="L104" s="252"/>
      <c r="M104" s="252"/>
    </row>
    <row r="105" spans="1:13">
      <c r="A105" s="247">
        <f t="shared" si="10"/>
        <v>90</v>
      </c>
      <c r="C105" s="262" t="s">
        <v>302</v>
      </c>
      <c r="D105" s="263" t="s">
        <v>340</v>
      </c>
      <c r="E105" s="264">
        <f t="shared" si="11"/>
        <v>2025</v>
      </c>
      <c r="F105" s="265">
        <v>20717128.057276737</v>
      </c>
      <c r="G105" s="270"/>
      <c r="H105" s="276"/>
    </row>
    <row r="106" spans="1:13">
      <c r="A106" s="247">
        <f t="shared" si="10"/>
        <v>91</v>
      </c>
      <c r="C106" s="267" t="s">
        <v>341</v>
      </c>
      <c r="D106" s="207" t="str">
        <f>"(sum lines "&amp;A93&amp;"-"&amp;A105&amp;") /13"</f>
        <v>(sum lines 78-90) /13</v>
      </c>
      <c r="E106" s="268"/>
      <c r="F106" s="288">
        <f>SUM(F93:F105)/13</f>
        <v>17789002.405800242</v>
      </c>
      <c r="G106" s="266"/>
      <c r="J106" s="252"/>
      <c r="K106" s="252"/>
      <c r="L106" s="252"/>
      <c r="M106" s="252"/>
    </row>
    <row r="107" spans="1:13">
      <c r="A107" s="247"/>
      <c r="B107" s="220"/>
      <c r="C107" s="259"/>
      <c r="E107" s="268"/>
      <c r="F107" s="271"/>
      <c r="G107" s="256"/>
      <c r="H107" s="257"/>
      <c r="I107" s="261"/>
      <c r="J107" s="252"/>
      <c r="K107" s="252"/>
      <c r="L107" s="252"/>
      <c r="M107" s="252"/>
    </row>
    <row r="108" spans="1:13">
      <c r="A108" s="247">
        <f>+A106+1</f>
        <v>92</v>
      </c>
      <c r="C108" s="248" t="s">
        <v>342</v>
      </c>
      <c r="D108" s="207" t="s">
        <v>299</v>
      </c>
      <c r="E108" s="249"/>
      <c r="F108" s="272"/>
      <c r="J108" s="252"/>
      <c r="K108" s="252"/>
      <c r="L108" s="252"/>
      <c r="M108" s="252"/>
    </row>
    <row r="109" spans="1:13">
      <c r="A109" s="247">
        <f t="shared" ref="A109:A122" si="12">+A108+1</f>
        <v>93</v>
      </c>
      <c r="C109" s="207" t="s">
        <v>302</v>
      </c>
      <c r="D109" s="253" t="s">
        <v>343</v>
      </c>
      <c r="E109" s="254">
        <f>+$E$7</f>
        <v>2024</v>
      </c>
      <c r="F109" s="255"/>
      <c r="G109" s="256"/>
      <c r="H109" s="257"/>
      <c r="I109" s="258"/>
      <c r="J109" s="252"/>
      <c r="K109" s="252"/>
      <c r="L109" s="252"/>
      <c r="M109" s="252"/>
    </row>
    <row r="110" spans="1:13">
      <c r="A110" s="247">
        <f t="shared" si="12"/>
        <v>94</v>
      </c>
      <c r="C110" s="259" t="s">
        <v>304</v>
      </c>
      <c r="D110" s="207" t="s">
        <v>305</v>
      </c>
      <c r="E110" s="254">
        <f>+$E$8</f>
        <v>2025</v>
      </c>
      <c r="F110" s="255"/>
      <c r="G110" s="260"/>
      <c r="J110" s="252"/>
      <c r="K110" s="252"/>
      <c r="L110" s="252"/>
      <c r="M110" s="252"/>
    </row>
    <row r="111" spans="1:13">
      <c r="A111" s="247">
        <f t="shared" si="12"/>
        <v>95</v>
      </c>
      <c r="B111" s="220"/>
      <c r="C111" s="259" t="s">
        <v>306</v>
      </c>
      <c r="D111" s="207" t="s">
        <v>305</v>
      </c>
      <c r="E111" s="254">
        <f t="shared" ref="E111:E121" si="13">+$E$8</f>
        <v>2025</v>
      </c>
      <c r="F111" s="255"/>
      <c r="G111" s="256"/>
      <c r="H111" s="257"/>
      <c r="I111" s="261"/>
      <c r="J111" s="252"/>
      <c r="K111" s="252"/>
      <c r="L111" s="252"/>
      <c r="M111" s="252"/>
    </row>
    <row r="112" spans="1:13">
      <c r="A112" s="247">
        <f t="shared" si="12"/>
        <v>96</v>
      </c>
      <c r="B112" s="220"/>
      <c r="C112" s="259" t="s">
        <v>307</v>
      </c>
      <c r="D112" s="207" t="s">
        <v>305</v>
      </c>
      <c r="E112" s="254">
        <f t="shared" si="13"/>
        <v>2025</v>
      </c>
      <c r="F112" s="255"/>
      <c r="G112" s="256"/>
      <c r="H112" s="257"/>
      <c r="I112" s="261"/>
      <c r="J112" s="252"/>
      <c r="K112" s="252"/>
      <c r="L112" s="252"/>
      <c r="M112" s="252"/>
    </row>
    <row r="113" spans="1:13">
      <c r="A113" s="247">
        <f t="shared" si="12"/>
        <v>97</v>
      </c>
      <c r="C113" s="259" t="s">
        <v>308</v>
      </c>
      <c r="D113" s="207" t="s">
        <v>305</v>
      </c>
      <c r="E113" s="254">
        <f t="shared" si="13"/>
        <v>2025</v>
      </c>
      <c r="F113" s="255"/>
      <c r="G113" s="256"/>
      <c r="H113" s="257"/>
      <c r="I113" s="261"/>
      <c r="J113" s="252"/>
      <c r="K113" s="252"/>
      <c r="L113" s="252"/>
      <c r="M113" s="252"/>
    </row>
    <row r="114" spans="1:13">
      <c r="A114" s="247">
        <f t="shared" si="12"/>
        <v>98</v>
      </c>
      <c r="C114" s="259" t="s">
        <v>309</v>
      </c>
      <c r="D114" s="207" t="s">
        <v>305</v>
      </c>
      <c r="E114" s="254">
        <f t="shared" si="13"/>
        <v>2025</v>
      </c>
      <c r="F114" s="255"/>
    </row>
    <row r="115" spans="1:13">
      <c r="A115" s="247">
        <f t="shared" si="12"/>
        <v>99</v>
      </c>
      <c r="C115" s="259" t="s">
        <v>310</v>
      </c>
      <c r="D115" s="207" t="s">
        <v>305</v>
      </c>
      <c r="E115" s="254">
        <f t="shared" si="13"/>
        <v>2025</v>
      </c>
      <c r="F115" s="255"/>
      <c r="G115" s="256"/>
      <c r="H115" s="257"/>
      <c r="I115" s="258"/>
      <c r="J115" s="252"/>
      <c r="K115" s="252"/>
      <c r="L115" s="252"/>
      <c r="M115" s="252"/>
    </row>
    <row r="116" spans="1:13">
      <c r="A116" s="247">
        <f t="shared" si="12"/>
        <v>100</v>
      </c>
      <c r="C116" s="259" t="s">
        <v>311</v>
      </c>
      <c r="D116" s="207" t="s">
        <v>305</v>
      </c>
      <c r="E116" s="254">
        <f t="shared" si="13"/>
        <v>2025</v>
      </c>
      <c r="F116" s="255"/>
      <c r="G116" s="260"/>
      <c r="J116" s="252"/>
      <c r="K116" s="252"/>
      <c r="L116" s="252"/>
      <c r="M116" s="252"/>
    </row>
    <row r="117" spans="1:13">
      <c r="A117" s="247">
        <f t="shared" si="12"/>
        <v>101</v>
      </c>
      <c r="B117" s="220"/>
      <c r="C117" s="259" t="s">
        <v>312</v>
      </c>
      <c r="D117" s="207" t="s">
        <v>305</v>
      </c>
      <c r="E117" s="254">
        <f t="shared" si="13"/>
        <v>2025</v>
      </c>
      <c r="F117" s="255"/>
      <c r="G117" s="256"/>
      <c r="H117" s="257"/>
      <c r="I117" s="261"/>
      <c r="J117" s="252"/>
      <c r="K117" s="252"/>
      <c r="L117" s="252"/>
      <c r="M117" s="252"/>
    </row>
    <row r="118" spans="1:13">
      <c r="A118" s="247">
        <f t="shared" si="12"/>
        <v>102</v>
      </c>
      <c r="B118" s="220"/>
      <c r="C118" s="259" t="s">
        <v>313</v>
      </c>
      <c r="D118" s="207" t="s">
        <v>305</v>
      </c>
      <c r="E118" s="254">
        <f t="shared" si="13"/>
        <v>2025</v>
      </c>
      <c r="F118" s="255"/>
      <c r="G118" s="256"/>
      <c r="H118" s="257"/>
      <c r="I118" s="261"/>
      <c r="J118" s="252"/>
      <c r="K118" s="252"/>
      <c r="L118" s="252"/>
      <c r="M118" s="252"/>
    </row>
    <row r="119" spans="1:13">
      <c r="A119" s="247">
        <f t="shared" si="12"/>
        <v>103</v>
      </c>
      <c r="C119" s="259" t="s">
        <v>314</v>
      </c>
      <c r="D119" s="207" t="s">
        <v>305</v>
      </c>
      <c r="E119" s="254">
        <f t="shared" si="13"/>
        <v>2025</v>
      </c>
      <c r="F119" s="255"/>
      <c r="G119" s="256"/>
      <c r="H119" s="257"/>
      <c r="I119" s="261"/>
      <c r="J119" s="252"/>
      <c r="K119" s="252"/>
      <c r="L119" s="252"/>
      <c r="M119" s="252"/>
    </row>
    <row r="120" spans="1:13">
      <c r="A120" s="247">
        <f t="shared" si="12"/>
        <v>104</v>
      </c>
      <c r="C120" s="259" t="s">
        <v>315</v>
      </c>
      <c r="D120" s="207" t="s">
        <v>305</v>
      </c>
      <c r="E120" s="254">
        <f t="shared" si="13"/>
        <v>2025</v>
      </c>
      <c r="F120" s="255"/>
      <c r="G120" s="256"/>
      <c r="H120" s="257"/>
      <c r="I120" s="261"/>
      <c r="J120" s="252"/>
      <c r="K120" s="252"/>
      <c r="L120" s="252"/>
      <c r="M120" s="252"/>
    </row>
    <row r="121" spans="1:13">
      <c r="A121" s="247">
        <f t="shared" si="12"/>
        <v>105</v>
      </c>
      <c r="C121" s="262" t="s">
        <v>302</v>
      </c>
      <c r="D121" s="263" t="s">
        <v>344</v>
      </c>
      <c r="E121" s="264">
        <f t="shared" si="13"/>
        <v>2025</v>
      </c>
      <c r="F121" s="265"/>
      <c r="G121" s="270"/>
    </row>
    <row r="122" spans="1:13">
      <c r="A122" s="247">
        <f t="shared" si="12"/>
        <v>106</v>
      </c>
      <c r="C122" s="267" t="s">
        <v>345</v>
      </c>
      <c r="D122" s="207" t="str">
        <f>"(sum lines "&amp;A109&amp;"-"&amp;A121&amp;") /13"</f>
        <v>(sum lines 93-105) /13</v>
      </c>
      <c r="E122" s="268"/>
      <c r="F122" s="269">
        <f>SUM(F109:F121)/13</f>
        <v>0</v>
      </c>
      <c r="G122" s="266"/>
      <c r="J122" s="252"/>
      <c r="K122" s="252"/>
      <c r="L122" s="252"/>
      <c r="M122" s="252"/>
    </row>
    <row r="123" spans="1:13">
      <c r="A123" s="247"/>
      <c r="B123" s="220"/>
      <c r="C123" s="259"/>
      <c r="E123" s="268"/>
      <c r="F123" s="271"/>
      <c r="G123" s="256"/>
      <c r="H123" s="257"/>
      <c r="I123" s="261"/>
      <c r="J123" s="252"/>
      <c r="K123" s="252"/>
      <c r="L123" s="252"/>
      <c r="M123" s="252"/>
    </row>
    <row r="124" spans="1:13">
      <c r="A124" s="247">
        <f>+A122+1</f>
        <v>107</v>
      </c>
      <c r="C124" s="248" t="s">
        <v>346</v>
      </c>
      <c r="D124" s="207" t="s">
        <v>299</v>
      </c>
      <c r="E124" s="249"/>
      <c r="F124" s="272"/>
      <c r="J124" s="252"/>
      <c r="K124" s="252"/>
      <c r="L124" s="252"/>
      <c r="M124" s="252"/>
    </row>
    <row r="125" spans="1:13">
      <c r="A125" s="247">
        <f>+A124+1</f>
        <v>108</v>
      </c>
      <c r="C125" s="207" t="s">
        <v>302</v>
      </c>
      <c r="D125" s="253" t="s">
        <v>347</v>
      </c>
      <c r="E125" s="254">
        <f>+$E$7</f>
        <v>2024</v>
      </c>
      <c r="F125" s="255">
        <v>3176134.1628623549</v>
      </c>
      <c r="G125" s="256"/>
      <c r="H125" s="257"/>
      <c r="I125" s="258"/>
      <c r="J125" s="252"/>
      <c r="K125" s="252"/>
      <c r="L125" s="252"/>
      <c r="M125" s="252"/>
    </row>
    <row r="126" spans="1:13">
      <c r="A126" s="247">
        <f t="shared" ref="A126:A137" si="14">+A125+1</f>
        <v>109</v>
      </c>
      <c r="C126" s="259" t="s">
        <v>304</v>
      </c>
      <c r="D126" s="207" t="s">
        <v>305</v>
      </c>
      <c r="E126" s="254">
        <f>+$E$8</f>
        <v>2025</v>
      </c>
      <c r="F126" s="255">
        <v>3280087.9892145377</v>
      </c>
      <c r="G126" s="256"/>
      <c r="H126" s="276"/>
      <c r="I126" s="258"/>
      <c r="J126" s="252"/>
      <c r="K126" s="252"/>
      <c r="L126" s="252"/>
      <c r="M126" s="252"/>
    </row>
    <row r="127" spans="1:13">
      <c r="A127" s="247">
        <f t="shared" si="14"/>
        <v>110</v>
      </c>
      <c r="C127" s="259" t="s">
        <v>306</v>
      </c>
      <c r="D127" s="207" t="s">
        <v>305</v>
      </c>
      <c r="E127" s="254">
        <f t="shared" ref="E127:E137" si="15">+$E$8</f>
        <v>2025</v>
      </c>
      <c r="F127" s="255">
        <v>3384041.8155667209</v>
      </c>
      <c r="G127" s="256"/>
      <c r="H127" s="276"/>
      <c r="I127" s="258"/>
      <c r="J127" s="252"/>
      <c r="K127" s="252"/>
      <c r="L127" s="252"/>
      <c r="M127" s="252"/>
    </row>
    <row r="128" spans="1:13">
      <c r="A128" s="247">
        <f t="shared" si="14"/>
        <v>111</v>
      </c>
      <c r="C128" s="259" t="s">
        <v>307</v>
      </c>
      <c r="D128" s="207" t="s">
        <v>305</v>
      </c>
      <c r="E128" s="254">
        <f t="shared" si="15"/>
        <v>2025</v>
      </c>
      <c r="F128" s="255">
        <v>3487995.6419189051</v>
      </c>
      <c r="G128" s="256"/>
      <c r="H128" s="276"/>
      <c r="I128" s="258"/>
      <c r="J128" s="252"/>
      <c r="K128" s="252"/>
      <c r="L128" s="252"/>
      <c r="M128" s="252"/>
    </row>
    <row r="129" spans="1:13">
      <c r="A129" s="247">
        <f t="shared" si="14"/>
        <v>112</v>
      </c>
      <c r="C129" s="259" t="s">
        <v>308</v>
      </c>
      <c r="D129" s="207" t="s">
        <v>305</v>
      </c>
      <c r="E129" s="254">
        <f t="shared" si="15"/>
        <v>2025</v>
      </c>
      <c r="F129" s="255">
        <v>3591949.4682710883</v>
      </c>
      <c r="G129" s="256"/>
      <c r="H129" s="276"/>
      <c r="I129" s="258"/>
      <c r="J129" s="252"/>
      <c r="K129" s="252"/>
      <c r="L129" s="252"/>
      <c r="M129" s="252"/>
    </row>
    <row r="130" spans="1:13">
      <c r="A130" s="247">
        <f t="shared" si="14"/>
        <v>113</v>
      </c>
      <c r="C130" s="259" t="s">
        <v>309</v>
      </c>
      <c r="D130" s="207" t="s">
        <v>305</v>
      </c>
      <c r="E130" s="254">
        <f t="shared" si="15"/>
        <v>2025</v>
      </c>
      <c r="F130" s="255">
        <v>3695903.2946232716</v>
      </c>
      <c r="G130" s="256"/>
      <c r="H130" s="276"/>
      <c r="I130" s="258"/>
      <c r="J130" s="252"/>
      <c r="K130" s="252"/>
      <c r="L130" s="252"/>
      <c r="M130" s="252"/>
    </row>
    <row r="131" spans="1:13">
      <c r="A131" s="247">
        <f t="shared" si="14"/>
        <v>114</v>
      </c>
      <c r="C131" s="259" t="s">
        <v>310</v>
      </c>
      <c r="D131" s="207" t="s">
        <v>305</v>
      </c>
      <c r="E131" s="254">
        <f t="shared" si="15"/>
        <v>2025</v>
      </c>
      <c r="F131" s="255">
        <v>3799857.1209754553</v>
      </c>
      <c r="G131" s="256"/>
      <c r="H131" s="276"/>
      <c r="I131" s="258"/>
      <c r="J131" s="252"/>
      <c r="K131" s="252"/>
      <c r="L131" s="252"/>
      <c r="M131" s="252"/>
    </row>
    <row r="132" spans="1:13">
      <c r="A132" s="247">
        <f t="shared" si="14"/>
        <v>115</v>
      </c>
      <c r="C132" s="259" t="s">
        <v>311</v>
      </c>
      <c r="D132" s="207" t="s">
        <v>305</v>
      </c>
      <c r="E132" s="254">
        <f t="shared" si="15"/>
        <v>2025</v>
      </c>
      <c r="F132" s="255">
        <v>3903810.9473276385</v>
      </c>
      <c r="G132" s="256"/>
      <c r="H132" s="276"/>
      <c r="I132" s="258"/>
      <c r="J132" s="252"/>
      <c r="K132" s="252"/>
      <c r="L132" s="252"/>
      <c r="M132" s="252"/>
    </row>
    <row r="133" spans="1:13">
      <c r="A133" s="247">
        <f t="shared" si="14"/>
        <v>116</v>
      </c>
      <c r="C133" s="259" t="s">
        <v>312</v>
      </c>
      <c r="D133" s="207" t="s">
        <v>305</v>
      </c>
      <c r="E133" s="254">
        <f t="shared" si="15"/>
        <v>2025</v>
      </c>
      <c r="F133" s="255">
        <v>4007764.7736798218</v>
      </c>
      <c r="G133" s="256"/>
      <c r="H133" s="276"/>
      <c r="I133" s="258"/>
      <c r="J133" s="252"/>
      <c r="K133" s="252"/>
      <c r="L133" s="252"/>
      <c r="M133" s="252"/>
    </row>
    <row r="134" spans="1:13">
      <c r="A134" s="247">
        <f t="shared" si="14"/>
        <v>117</v>
      </c>
      <c r="C134" s="259" t="s">
        <v>313</v>
      </c>
      <c r="D134" s="207" t="s">
        <v>305</v>
      </c>
      <c r="E134" s="254">
        <f t="shared" si="15"/>
        <v>2025</v>
      </c>
      <c r="F134" s="255">
        <v>4111718.600032005</v>
      </c>
      <c r="G134" s="256"/>
      <c r="H134" s="276"/>
      <c r="I134" s="258"/>
      <c r="J134" s="252"/>
      <c r="K134" s="252"/>
      <c r="L134" s="252"/>
      <c r="M134" s="252"/>
    </row>
    <row r="135" spans="1:13">
      <c r="A135" s="247">
        <f t="shared" si="14"/>
        <v>118</v>
      </c>
      <c r="C135" s="259" t="s">
        <v>314</v>
      </c>
      <c r="D135" s="207" t="s">
        <v>305</v>
      </c>
      <c r="E135" s="254">
        <f t="shared" si="15"/>
        <v>2025</v>
      </c>
      <c r="F135" s="255">
        <v>4215672.4263841882</v>
      </c>
      <c r="G135" s="256"/>
      <c r="H135" s="276"/>
      <c r="I135" s="258"/>
      <c r="J135" s="252"/>
      <c r="K135" s="252"/>
      <c r="L135" s="252"/>
      <c r="M135" s="252"/>
    </row>
    <row r="136" spans="1:13">
      <c r="A136" s="247">
        <f t="shared" si="14"/>
        <v>119</v>
      </c>
      <c r="C136" s="259" t="s">
        <v>315</v>
      </c>
      <c r="D136" s="207" t="s">
        <v>305</v>
      </c>
      <c r="E136" s="254">
        <f t="shared" si="15"/>
        <v>2025</v>
      </c>
      <c r="F136" s="255">
        <v>4319626.2527363719</v>
      </c>
      <c r="G136" s="256"/>
      <c r="H136" s="276"/>
      <c r="I136" s="258"/>
      <c r="J136" s="252"/>
      <c r="K136" s="252"/>
      <c r="L136" s="252"/>
      <c r="M136" s="252"/>
    </row>
    <row r="137" spans="1:13">
      <c r="A137" s="247">
        <f t="shared" si="14"/>
        <v>120</v>
      </c>
      <c r="C137" s="262" t="s">
        <v>302</v>
      </c>
      <c r="D137" s="263" t="s">
        <v>348</v>
      </c>
      <c r="E137" s="264">
        <f t="shared" si="15"/>
        <v>2025</v>
      </c>
      <c r="F137" s="265">
        <v>4425497.2870127633</v>
      </c>
      <c r="G137" s="270"/>
      <c r="H137" s="276"/>
    </row>
    <row r="138" spans="1:13">
      <c r="A138" s="247">
        <f>+A137+1</f>
        <v>121</v>
      </c>
      <c r="C138" s="267" t="s">
        <v>349</v>
      </c>
      <c r="D138" s="207" t="str">
        <f>"(sum lines "&amp;A125&amp;"-"&amp;A137&amp;") /13"</f>
        <v>(sum lines 108-120) /13</v>
      </c>
      <c r="E138" s="268"/>
      <c r="F138" s="269">
        <f>SUM(F125:F137)/13</f>
        <v>3800004.598508087</v>
      </c>
      <c r="G138" s="266"/>
      <c r="J138" s="252"/>
      <c r="K138" s="252"/>
      <c r="L138" s="252"/>
      <c r="M138" s="252"/>
    </row>
    <row r="139" spans="1:13">
      <c r="A139" s="247"/>
      <c r="C139" s="259"/>
      <c r="E139" s="274"/>
      <c r="F139" s="271"/>
      <c r="G139" s="256"/>
      <c r="H139" s="257"/>
      <c r="I139" s="261"/>
      <c r="J139" s="252"/>
      <c r="K139" s="252"/>
      <c r="L139" s="252"/>
      <c r="M139" s="252"/>
    </row>
    <row r="140" spans="1:13">
      <c r="A140" s="247">
        <f>+A138+1</f>
        <v>122</v>
      </c>
      <c r="C140" s="248" t="s">
        <v>350</v>
      </c>
      <c r="D140" s="207" t="s">
        <v>299</v>
      </c>
      <c r="E140" s="249"/>
      <c r="F140" s="272"/>
      <c r="J140" s="252"/>
      <c r="K140" s="252"/>
      <c r="L140" s="252"/>
      <c r="M140" s="252"/>
    </row>
    <row r="141" spans="1:13">
      <c r="A141" s="247">
        <f>+A140+1</f>
        <v>123</v>
      </c>
      <c r="C141" s="207" t="s">
        <v>302</v>
      </c>
      <c r="D141" s="253" t="s">
        <v>351</v>
      </c>
      <c r="E141" s="254">
        <f>+$E$7</f>
        <v>2024</v>
      </c>
      <c r="F141" s="255">
        <v>305528.52305381896</v>
      </c>
      <c r="G141" s="256"/>
      <c r="H141" s="257"/>
      <c r="I141" s="258"/>
      <c r="J141" s="252"/>
      <c r="K141" s="252"/>
      <c r="L141" s="252"/>
      <c r="M141" s="252"/>
    </row>
    <row r="142" spans="1:13">
      <c r="A142" s="247">
        <f t="shared" ref="A142:A153" si="16">+A141+1</f>
        <v>124</v>
      </c>
      <c r="C142" s="259" t="s">
        <v>304</v>
      </c>
      <c r="D142" s="207" t="s">
        <v>305</v>
      </c>
      <c r="E142" s="254">
        <f>+$E$8</f>
        <v>2025</v>
      </c>
      <c r="F142" s="255">
        <v>315528.3711089</v>
      </c>
      <c r="G142" s="256"/>
      <c r="H142" s="276"/>
      <c r="I142" s="258"/>
      <c r="J142" s="252"/>
      <c r="K142" s="252"/>
      <c r="L142" s="252"/>
      <c r="M142" s="252"/>
    </row>
    <row r="143" spans="1:13">
      <c r="A143" s="247">
        <f t="shared" si="16"/>
        <v>125</v>
      </c>
      <c r="C143" s="259" t="s">
        <v>306</v>
      </c>
      <c r="D143" s="207" t="s">
        <v>305</v>
      </c>
      <c r="E143" s="254">
        <f t="shared" ref="E143:E153" si="17">+$E$8</f>
        <v>2025</v>
      </c>
      <c r="F143" s="255">
        <v>325528.21916398115</v>
      </c>
      <c r="G143" s="256"/>
      <c r="H143" s="276"/>
      <c r="I143" s="258"/>
      <c r="J143" s="252"/>
      <c r="K143" s="252"/>
      <c r="L143" s="252"/>
      <c r="M143" s="252"/>
    </row>
    <row r="144" spans="1:13">
      <c r="A144" s="247">
        <f t="shared" si="16"/>
        <v>126</v>
      </c>
      <c r="C144" s="259" t="s">
        <v>307</v>
      </c>
      <c r="D144" s="207" t="s">
        <v>305</v>
      </c>
      <c r="E144" s="254">
        <f t="shared" si="17"/>
        <v>2025</v>
      </c>
      <c r="F144" s="255">
        <v>335528.0672190623</v>
      </c>
      <c r="G144" s="256"/>
      <c r="H144" s="276"/>
      <c r="I144" s="258"/>
      <c r="J144" s="252"/>
      <c r="K144" s="252"/>
      <c r="L144" s="252"/>
      <c r="M144" s="252"/>
    </row>
    <row r="145" spans="1:13">
      <c r="A145" s="247">
        <f t="shared" si="16"/>
        <v>127</v>
      </c>
      <c r="C145" s="259" t="s">
        <v>308</v>
      </c>
      <c r="D145" s="207" t="s">
        <v>305</v>
      </c>
      <c r="E145" s="254">
        <f t="shared" si="17"/>
        <v>2025</v>
      </c>
      <c r="F145" s="255">
        <v>345527.91527414339</v>
      </c>
      <c r="G145" s="256"/>
      <c r="H145" s="276"/>
      <c r="I145" s="258"/>
      <c r="J145" s="252"/>
      <c r="K145" s="252"/>
      <c r="L145" s="252"/>
      <c r="M145" s="252"/>
    </row>
    <row r="146" spans="1:13">
      <c r="A146" s="247">
        <f t="shared" si="16"/>
        <v>128</v>
      </c>
      <c r="C146" s="259" t="s">
        <v>309</v>
      </c>
      <c r="D146" s="207" t="s">
        <v>305</v>
      </c>
      <c r="E146" s="254">
        <f t="shared" si="17"/>
        <v>2025</v>
      </c>
      <c r="F146" s="255">
        <v>355527.76332922449</v>
      </c>
      <c r="G146" s="256"/>
      <c r="H146" s="276"/>
      <c r="I146" s="258"/>
      <c r="J146" s="252"/>
      <c r="K146" s="252"/>
      <c r="L146" s="252"/>
      <c r="M146" s="252"/>
    </row>
    <row r="147" spans="1:13">
      <c r="A147" s="247">
        <f t="shared" si="16"/>
        <v>129</v>
      </c>
      <c r="C147" s="259" t="s">
        <v>310</v>
      </c>
      <c r="D147" s="207" t="s">
        <v>305</v>
      </c>
      <c r="E147" s="254">
        <f t="shared" si="17"/>
        <v>2025</v>
      </c>
      <c r="F147" s="255">
        <v>365527.61138430558</v>
      </c>
      <c r="G147" s="256"/>
      <c r="H147" s="276"/>
      <c r="I147" s="258"/>
      <c r="J147" s="252"/>
      <c r="K147" s="252"/>
      <c r="L147" s="252"/>
      <c r="M147" s="252"/>
    </row>
    <row r="148" spans="1:13">
      <c r="A148" s="247">
        <f t="shared" si="16"/>
        <v>130</v>
      </c>
      <c r="C148" s="259" t="s">
        <v>311</v>
      </c>
      <c r="D148" s="207" t="s">
        <v>305</v>
      </c>
      <c r="E148" s="254">
        <f t="shared" si="17"/>
        <v>2025</v>
      </c>
      <c r="F148" s="255">
        <v>375527.45943938667</v>
      </c>
      <c r="G148" s="256"/>
      <c r="H148" s="276"/>
      <c r="I148" s="258"/>
      <c r="J148" s="252"/>
      <c r="K148" s="252"/>
      <c r="L148" s="252"/>
      <c r="M148" s="252"/>
    </row>
    <row r="149" spans="1:13">
      <c r="A149" s="247">
        <f t="shared" si="16"/>
        <v>131</v>
      </c>
      <c r="C149" s="259" t="s">
        <v>312</v>
      </c>
      <c r="D149" s="207" t="s">
        <v>305</v>
      </c>
      <c r="E149" s="254">
        <f t="shared" si="17"/>
        <v>2025</v>
      </c>
      <c r="F149" s="255">
        <v>385527.30749446776</v>
      </c>
      <c r="G149" s="256"/>
      <c r="H149" s="276"/>
      <c r="I149" s="258"/>
      <c r="J149" s="252"/>
      <c r="K149" s="252"/>
      <c r="L149" s="252"/>
      <c r="M149" s="252"/>
    </row>
    <row r="150" spans="1:13">
      <c r="A150" s="247">
        <f t="shared" si="16"/>
        <v>132</v>
      </c>
      <c r="C150" s="259" t="s">
        <v>313</v>
      </c>
      <c r="D150" s="207" t="s">
        <v>305</v>
      </c>
      <c r="E150" s="254">
        <f t="shared" si="17"/>
        <v>2025</v>
      </c>
      <c r="F150" s="255">
        <v>395527.15554954886</v>
      </c>
      <c r="G150" s="256"/>
      <c r="H150" s="276"/>
      <c r="I150" s="258"/>
      <c r="J150" s="252"/>
      <c r="K150" s="252"/>
      <c r="L150" s="252"/>
      <c r="M150" s="252"/>
    </row>
    <row r="151" spans="1:13">
      <c r="A151" s="247">
        <f t="shared" si="16"/>
        <v>133</v>
      </c>
      <c r="C151" s="259" t="s">
        <v>314</v>
      </c>
      <c r="D151" s="207" t="s">
        <v>305</v>
      </c>
      <c r="E151" s="254">
        <f t="shared" si="17"/>
        <v>2025</v>
      </c>
      <c r="F151" s="255">
        <v>405527.00360462995</v>
      </c>
      <c r="G151" s="256"/>
      <c r="H151" s="276"/>
      <c r="I151" s="258"/>
      <c r="J151" s="252"/>
      <c r="K151" s="252"/>
      <c r="L151" s="252"/>
      <c r="M151" s="252"/>
    </row>
    <row r="152" spans="1:13">
      <c r="A152" s="247">
        <f t="shared" si="16"/>
        <v>134</v>
      </c>
      <c r="C152" s="259" t="s">
        <v>315</v>
      </c>
      <c r="D152" s="207" t="s">
        <v>305</v>
      </c>
      <c r="E152" s="254">
        <f t="shared" si="17"/>
        <v>2025</v>
      </c>
      <c r="F152" s="255">
        <v>415526.8516597111</v>
      </c>
      <c r="G152" s="256"/>
      <c r="H152" s="276"/>
      <c r="I152" s="258"/>
      <c r="J152" s="252"/>
      <c r="K152" s="252"/>
      <c r="L152" s="252"/>
      <c r="M152" s="252"/>
    </row>
    <row r="153" spans="1:13">
      <c r="A153" s="247">
        <f t="shared" si="16"/>
        <v>135</v>
      </c>
      <c r="C153" s="262" t="s">
        <v>302</v>
      </c>
      <c r="D153" s="263" t="s">
        <v>352</v>
      </c>
      <c r="E153" s="264">
        <f t="shared" si="17"/>
        <v>2025</v>
      </c>
      <c r="F153" s="265">
        <v>425711.12571049464</v>
      </c>
      <c r="G153" s="270"/>
      <c r="H153" s="276"/>
    </row>
    <row r="154" spans="1:13">
      <c r="A154" s="247">
        <f>+A153+1</f>
        <v>136</v>
      </c>
      <c r="C154" s="267" t="s">
        <v>353</v>
      </c>
      <c r="D154" s="207" t="str">
        <f>"(sum lines "&amp;A141&amp;"-"&amp;A153&amp;") /13"</f>
        <v>(sum lines 123-135) /13</v>
      </c>
      <c r="E154" s="268"/>
      <c r="F154" s="269">
        <f>SUM(F141:F153)/13</f>
        <v>365541.79799935961</v>
      </c>
      <c r="G154" s="266"/>
      <c r="J154" s="252"/>
      <c r="K154" s="252"/>
      <c r="L154" s="252"/>
      <c r="M154" s="252"/>
    </row>
    <row r="155" spans="1:13">
      <c r="A155" s="247"/>
      <c r="C155" s="259"/>
      <c r="D155" s="253"/>
      <c r="E155" s="274"/>
      <c r="F155" s="275"/>
    </row>
    <row r="156" spans="1:13">
      <c r="A156" s="247">
        <f>+A154+1</f>
        <v>137</v>
      </c>
      <c r="C156" s="248" t="s">
        <v>354</v>
      </c>
      <c r="D156" s="207" t="s">
        <v>299</v>
      </c>
      <c r="E156" s="249"/>
      <c r="F156" s="272"/>
      <c r="J156" s="252"/>
      <c r="K156" s="252"/>
      <c r="L156" s="252"/>
      <c r="M156" s="252"/>
    </row>
    <row r="157" spans="1:13">
      <c r="A157" s="247">
        <f t="shared" ref="A157:A170" si="18">+A156+1</f>
        <v>138</v>
      </c>
      <c r="C157" s="207" t="s">
        <v>302</v>
      </c>
      <c r="D157" s="253" t="s">
        <v>355</v>
      </c>
      <c r="E157" s="254">
        <f>+$E$7</f>
        <v>2024</v>
      </c>
      <c r="F157" s="255"/>
      <c r="J157" s="252"/>
      <c r="K157" s="252"/>
      <c r="L157" s="252"/>
      <c r="M157" s="252"/>
    </row>
    <row r="158" spans="1:13">
      <c r="A158" s="247">
        <f t="shared" si="18"/>
        <v>139</v>
      </c>
      <c r="C158" s="259" t="s">
        <v>304</v>
      </c>
      <c r="D158" s="207" t="s">
        <v>305</v>
      </c>
      <c r="E158" s="254">
        <f>+$E$8</f>
        <v>2025</v>
      </c>
      <c r="F158" s="255"/>
      <c r="J158" s="252"/>
      <c r="K158" s="252"/>
      <c r="L158" s="252"/>
      <c r="M158" s="252"/>
    </row>
    <row r="159" spans="1:13">
      <c r="A159" s="247">
        <f t="shared" si="18"/>
        <v>140</v>
      </c>
      <c r="C159" s="259" t="s">
        <v>306</v>
      </c>
      <c r="D159" s="207" t="s">
        <v>305</v>
      </c>
      <c r="E159" s="254">
        <f t="shared" ref="E159:E169" si="19">+$E$8</f>
        <v>2025</v>
      </c>
      <c r="F159" s="255"/>
      <c r="J159" s="252"/>
      <c r="K159" s="252"/>
      <c r="L159" s="252"/>
      <c r="M159" s="252"/>
    </row>
    <row r="160" spans="1:13">
      <c r="A160" s="247">
        <f t="shared" si="18"/>
        <v>141</v>
      </c>
      <c r="C160" s="259" t="s">
        <v>307</v>
      </c>
      <c r="D160" s="207" t="s">
        <v>305</v>
      </c>
      <c r="E160" s="254">
        <f t="shared" si="19"/>
        <v>2025</v>
      </c>
      <c r="F160" s="255"/>
      <c r="J160" s="252"/>
      <c r="K160" s="252"/>
      <c r="L160" s="252"/>
      <c r="M160" s="252"/>
    </row>
    <row r="161" spans="1:13">
      <c r="A161" s="247">
        <f t="shared" si="18"/>
        <v>142</v>
      </c>
      <c r="C161" s="259" t="s">
        <v>308</v>
      </c>
      <c r="D161" s="207" t="s">
        <v>305</v>
      </c>
      <c r="E161" s="254">
        <f t="shared" si="19"/>
        <v>2025</v>
      </c>
      <c r="F161" s="255"/>
      <c r="J161" s="252"/>
      <c r="K161" s="252"/>
      <c r="L161" s="252"/>
      <c r="M161" s="252"/>
    </row>
    <row r="162" spans="1:13">
      <c r="A162" s="247">
        <f t="shared" si="18"/>
        <v>143</v>
      </c>
      <c r="C162" s="259" t="s">
        <v>309</v>
      </c>
      <c r="D162" s="207" t="s">
        <v>305</v>
      </c>
      <c r="E162" s="254">
        <f t="shared" si="19"/>
        <v>2025</v>
      </c>
      <c r="F162" s="255"/>
      <c r="J162" s="252"/>
      <c r="K162" s="252"/>
      <c r="L162" s="252"/>
      <c r="M162" s="252"/>
    </row>
    <row r="163" spans="1:13">
      <c r="A163" s="247">
        <f t="shared" si="18"/>
        <v>144</v>
      </c>
      <c r="C163" s="259" t="s">
        <v>310</v>
      </c>
      <c r="D163" s="207" t="s">
        <v>305</v>
      </c>
      <c r="E163" s="254">
        <f t="shared" si="19"/>
        <v>2025</v>
      </c>
      <c r="F163" s="255"/>
      <c r="J163" s="252"/>
      <c r="K163" s="252"/>
      <c r="L163" s="252"/>
      <c r="M163" s="252"/>
    </row>
    <row r="164" spans="1:13">
      <c r="A164" s="247">
        <f t="shared" si="18"/>
        <v>145</v>
      </c>
      <c r="C164" s="259" t="s">
        <v>311</v>
      </c>
      <c r="D164" s="207" t="s">
        <v>305</v>
      </c>
      <c r="E164" s="254">
        <f t="shared" si="19"/>
        <v>2025</v>
      </c>
      <c r="F164" s="255"/>
      <c r="J164" s="252"/>
      <c r="K164" s="252"/>
      <c r="L164" s="252"/>
      <c r="M164" s="252"/>
    </row>
    <row r="165" spans="1:13">
      <c r="A165" s="247">
        <f t="shared" si="18"/>
        <v>146</v>
      </c>
      <c r="C165" s="259" t="s">
        <v>312</v>
      </c>
      <c r="D165" s="207" t="s">
        <v>305</v>
      </c>
      <c r="E165" s="254">
        <f t="shared" si="19"/>
        <v>2025</v>
      </c>
      <c r="F165" s="255"/>
      <c r="J165" s="252"/>
      <c r="K165" s="252"/>
      <c r="L165" s="252"/>
      <c r="M165" s="252"/>
    </row>
    <row r="166" spans="1:13">
      <c r="A166" s="247">
        <f t="shared" si="18"/>
        <v>147</v>
      </c>
      <c r="C166" s="259" t="s">
        <v>313</v>
      </c>
      <c r="D166" s="207" t="s">
        <v>305</v>
      </c>
      <c r="E166" s="254">
        <f t="shared" si="19"/>
        <v>2025</v>
      </c>
      <c r="F166" s="255"/>
      <c r="J166" s="252"/>
      <c r="K166" s="252"/>
      <c r="L166" s="252"/>
      <c r="M166" s="252"/>
    </row>
    <row r="167" spans="1:13">
      <c r="A167" s="247">
        <f t="shared" si="18"/>
        <v>148</v>
      </c>
      <c r="C167" s="259" t="s">
        <v>314</v>
      </c>
      <c r="D167" s="207" t="s">
        <v>305</v>
      </c>
      <c r="E167" s="254">
        <f t="shared" si="19"/>
        <v>2025</v>
      </c>
      <c r="F167" s="255"/>
      <c r="J167" s="252"/>
      <c r="K167" s="252"/>
      <c r="L167" s="252"/>
      <c r="M167" s="252"/>
    </row>
    <row r="168" spans="1:13">
      <c r="A168" s="247">
        <f t="shared" si="18"/>
        <v>149</v>
      </c>
      <c r="C168" s="259" t="s">
        <v>315</v>
      </c>
      <c r="D168" s="207" t="s">
        <v>305</v>
      </c>
      <c r="E168" s="254">
        <f t="shared" si="19"/>
        <v>2025</v>
      </c>
      <c r="F168" s="255"/>
      <c r="G168" s="256"/>
      <c r="H168" s="257"/>
      <c r="I168" s="258"/>
      <c r="J168" s="252"/>
      <c r="K168" s="252"/>
      <c r="L168" s="252"/>
      <c r="M168" s="252"/>
    </row>
    <row r="169" spans="1:13">
      <c r="A169" s="247">
        <f t="shared" si="18"/>
        <v>150</v>
      </c>
      <c r="C169" s="262" t="s">
        <v>302</v>
      </c>
      <c r="D169" s="263" t="s">
        <v>356</v>
      </c>
      <c r="E169" s="264">
        <f t="shared" si="19"/>
        <v>2025</v>
      </c>
      <c r="F169" s="265"/>
      <c r="G169" s="270"/>
    </row>
    <row r="170" spans="1:13">
      <c r="A170" s="247">
        <f t="shared" si="18"/>
        <v>151</v>
      </c>
      <c r="C170" s="267" t="s">
        <v>357</v>
      </c>
      <c r="D170" s="207" t="str">
        <f>"(sum lines "&amp;A157&amp;"-"&amp;A169&amp;") /13"</f>
        <v>(sum lines 138-150) /13</v>
      </c>
      <c r="E170" s="268"/>
      <c r="F170" s="269">
        <f>SUM(F157:F169)/13</f>
        <v>0</v>
      </c>
      <c r="G170" s="266"/>
      <c r="J170" s="252"/>
      <c r="K170" s="252"/>
      <c r="L170" s="252"/>
      <c r="M170" s="252"/>
    </row>
    <row r="171" spans="1:13">
      <c r="A171" s="247"/>
      <c r="C171" s="259"/>
      <c r="E171" s="268"/>
      <c r="F171" s="271"/>
      <c r="G171" s="256"/>
      <c r="H171" s="257"/>
      <c r="I171" s="258"/>
      <c r="J171" s="252"/>
      <c r="K171" s="252"/>
      <c r="L171" s="252"/>
      <c r="M171" s="252"/>
    </row>
    <row r="172" spans="1:13">
      <c r="A172" s="247"/>
      <c r="C172" s="267"/>
      <c r="E172" s="268"/>
      <c r="F172" s="269"/>
      <c r="G172" s="256"/>
      <c r="H172" s="257"/>
      <c r="I172" s="261"/>
      <c r="J172" s="252"/>
      <c r="K172" s="252"/>
      <c r="L172" s="252"/>
      <c r="M172" s="252"/>
    </row>
    <row r="173" spans="1:13">
      <c r="A173" s="247">
        <f>+A170+1</f>
        <v>152</v>
      </c>
      <c r="C173" s="248" t="s">
        <v>358</v>
      </c>
      <c r="D173" s="253" t="str">
        <f>"(sum lines "&amp;A106&amp;", "&amp;A122&amp;", "&amp;A138&amp;", "&amp;A154&amp;", &amp; "&amp;A170&amp;")"</f>
        <v>(sum lines 91, 106, 121, 136, &amp; 151)</v>
      </c>
      <c r="E173" s="274"/>
      <c r="F173" s="277">
        <f>F106+F122+F138+F154+F170</f>
        <v>21954548.802307688</v>
      </c>
      <c r="G173" s="278"/>
      <c r="H173" s="1117"/>
    </row>
    <row r="174" spans="1:13" ht="16.2" thickBot="1">
      <c r="A174" s="280"/>
      <c r="B174" s="281"/>
      <c r="C174" s="282"/>
      <c r="D174" s="283"/>
      <c r="E174" s="284"/>
      <c r="F174" s="285"/>
      <c r="G174" s="278"/>
      <c r="H174" s="257"/>
      <c r="I174" s="261"/>
      <c r="J174" s="252"/>
      <c r="K174" s="252"/>
      <c r="L174" s="252"/>
      <c r="M174" s="252"/>
    </row>
    <row r="175" spans="1:13">
      <c r="B175" s="220"/>
      <c r="C175" s="259"/>
      <c r="E175" s="268"/>
      <c r="F175" s="259"/>
      <c r="G175" s="278"/>
      <c r="H175" s="257"/>
      <c r="I175" s="261"/>
      <c r="J175" s="252"/>
      <c r="K175" s="252"/>
      <c r="L175" s="252"/>
      <c r="M175" s="252"/>
    </row>
    <row r="176" spans="1:13">
      <c r="E176" s="289"/>
      <c r="F176" s="221"/>
    </row>
    <row r="177" spans="5:6">
      <c r="E177" s="289"/>
      <c r="F177" s="221"/>
    </row>
    <row r="178" spans="5:6">
      <c r="E178" s="289"/>
      <c r="F178" s="221"/>
    </row>
    <row r="179" spans="5:6">
      <c r="E179" s="289"/>
      <c r="F179" s="290"/>
    </row>
    <row r="180" spans="5:6">
      <c r="E180" s="289"/>
      <c r="F180" s="221"/>
    </row>
    <row r="181" spans="5:6">
      <c r="E181" s="289"/>
      <c r="F181" s="221"/>
    </row>
    <row r="182" spans="5:6">
      <c r="E182" s="289"/>
    </row>
    <row r="183" spans="5:6">
      <c r="E183" s="289"/>
      <c r="F183" s="221"/>
    </row>
    <row r="184" spans="5:6">
      <c r="E184" s="289"/>
      <c r="F184" s="221"/>
    </row>
    <row r="185" spans="5:6">
      <c r="E185" s="289"/>
      <c r="F185" s="221"/>
    </row>
    <row r="186" spans="5:6">
      <c r="E186" s="289"/>
    </row>
    <row r="187" spans="5:6">
      <c r="E187" s="289"/>
      <c r="F187" s="221"/>
    </row>
    <row r="188" spans="5:6">
      <c r="E188" s="289"/>
      <c r="F188" s="221"/>
    </row>
    <row r="189" spans="5:6">
      <c r="E189" s="289"/>
      <c r="F189" s="221"/>
    </row>
    <row r="190" spans="5:6">
      <c r="E190" s="289"/>
    </row>
    <row r="191" spans="5:6">
      <c r="E191" s="289"/>
    </row>
    <row r="192" spans="5:6">
      <c r="E192" s="289"/>
      <c r="F192" s="221"/>
    </row>
    <row r="193" spans="5:6">
      <c r="E193" s="289"/>
      <c r="F193" s="221"/>
    </row>
    <row r="194" spans="5:6">
      <c r="E194" s="289"/>
      <c r="F194" s="291"/>
    </row>
    <row r="195" spans="5:6">
      <c r="E195" s="292"/>
    </row>
    <row r="196" spans="5:6">
      <c r="E196" s="292"/>
      <c r="F196" s="221"/>
    </row>
  </sheetData>
  <mergeCells count="5">
    <mergeCell ref="A2:F2"/>
    <mergeCell ref="A5:F5"/>
    <mergeCell ref="J5:M5"/>
    <mergeCell ref="A91:F91"/>
    <mergeCell ref="J91:M91"/>
  </mergeCells>
  <printOptions horizontalCentered="1"/>
  <pageMargins left="0.25" right="0.25" top="0.75" bottom="0.75" header="0.5" footer="0.5"/>
  <pageSetup scale="84" fitToHeight="0" orientation="landscape" r:id="rId1"/>
  <headerFooter alignWithMargins="0"/>
  <rowBreaks count="4" manualBreakCount="4">
    <brk id="36" max="5" man="1"/>
    <brk id="69" max="5" man="1"/>
    <brk id="107" max="5" man="1"/>
    <brk id="139" max="5" man="1"/>
  </rowBreaks>
  <customProperties>
    <customPr name="_pios_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2E1008-55C2-47E4-8E6D-14CDE64B50BF}">
  <sheetPr>
    <tabColor theme="9" tint="0.79998168889431442"/>
  </sheetPr>
  <dimension ref="A1:EV196"/>
  <sheetViews>
    <sheetView zoomScale="90" zoomScaleNormal="90" zoomScaleSheetLayoutView="100" workbookViewId="0">
      <selection activeCell="K12" sqref="K12"/>
    </sheetView>
  </sheetViews>
  <sheetFormatPr defaultColWidth="8.81640625" defaultRowHeight="13.2"/>
  <cols>
    <col min="1" max="1" width="5" style="261" customWidth="1"/>
    <col min="2" max="2" width="3.1796875" style="209" customWidth="1"/>
    <col min="3" max="3" width="48.1796875" style="209" customWidth="1"/>
    <col min="4" max="4" width="20.1796875" style="209" customWidth="1"/>
    <col min="5" max="5" width="13.81640625" style="209" customWidth="1"/>
    <col min="6" max="6" width="18.08984375" style="209" customWidth="1"/>
    <col min="7" max="7" width="15.1796875" style="209" customWidth="1"/>
    <col min="8" max="8" width="15.54296875" style="209" customWidth="1"/>
    <col min="9" max="9" width="13" style="209" customWidth="1"/>
    <col min="10" max="10" width="10.81640625" style="209" customWidth="1"/>
    <col min="11" max="11" width="9" style="209" customWidth="1"/>
    <col min="12" max="12" width="11.81640625" style="209" bestFit="1" customWidth="1"/>
    <col min="13" max="13" width="27.453125" style="209" customWidth="1"/>
    <col min="14" max="16384" width="8.81640625" style="209"/>
  </cols>
  <sheetData>
    <row r="1" spans="1:16" ht="17.399999999999999">
      <c r="A1" s="293"/>
      <c r="B1" s="261"/>
      <c r="C1" s="294"/>
      <c r="D1" s="1204" t="s">
        <v>359</v>
      </c>
      <c r="E1" s="1204"/>
      <c r="F1" s="1204"/>
      <c r="G1" s="1204"/>
      <c r="H1" s="1204"/>
      <c r="I1" s="1204"/>
      <c r="J1" s="252"/>
      <c r="K1" s="252"/>
      <c r="L1" s="252"/>
      <c r="M1" s="252"/>
    </row>
    <row r="2" spans="1:16" ht="18" thickBot="1">
      <c r="A2" s="295"/>
      <c r="D2" s="1204" t="str">
        <f>'Appendix A'!$E$9</f>
        <v>NextEra Energy Transmission New York, Inc.</v>
      </c>
      <c r="E2" s="1204"/>
      <c r="F2" s="1204"/>
      <c r="G2" s="1204"/>
      <c r="H2" s="1204"/>
      <c r="I2" s="1204"/>
    </row>
    <row r="3" spans="1:16" ht="50.25" customHeight="1" thickBot="1">
      <c r="A3" s="1205"/>
      <c r="B3" s="1206"/>
      <c r="C3" s="1206"/>
      <c r="D3" s="1206"/>
      <c r="E3" s="1206"/>
      <c r="F3" s="1207"/>
      <c r="G3" s="296"/>
      <c r="H3" s="296"/>
      <c r="I3" s="296"/>
      <c r="J3" s="1208" t="s">
        <v>360</v>
      </c>
      <c r="K3" s="1209"/>
      <c r="L3" s="1209"/>
      <c r="M3" s="1210"/>
    </row>
    <row r="4" spans="1:16">
      <c r="A4" s="297" t="s">
        <v>361</v>
      </c>
      <c r="B4" s="293"/>
      <c r="C4" s="298"/>
      <c r="D4" s="299"/>
      <c r="E4" s="293" t="s">
        <v>362</v>
      </c>
      <c r="F4" s="293" t="s">
        <v>363</v>
      </c>
      <c r="G4" s="300" t="s">
        <v>364</v>
      </c>
      <c r="H4" s="301"/>
      <c r="I4" s="302"/>
      <c r="J4" s="303"/>
      <c r="K4" s="304"/>
      <c r="L4" s="304"/>
      <c r="M4" s="305"/>
    </row>
    <row r="5" spans="1:16" s="5" customFormat="1" ht="15">
      <c r="A5" s="306">
        <f>+'2 - Cost Support '!A173+1</f>
        <v>153</v>
      </c>
      <c r="B5" s="307"/>
      <c r="C5" s="307" t="s">
        <v>365</v>
      </c>
      <c r="D5" s="307" t="s">
        <v>366</v>
      </c>
      <c r="E5" s="308">
        <v>0</v>
      </c>
      <c r="F5" s="308">
        <v>0</v>
      </c>
      <c r="G5" s="309">
        <f>+E5/2+F5/2</f>
        <v>0</v>
      </c>
      <c r="H5" s="310"/>
      <c r="I5" s="311"/>
      <c r="J5" s="311"/>
      <c r="K5" s="311"/>
      <c r="L5" s="312"/>
      <c r="M5" s="313"/>
      <c r="N5" s="314"/>
      <c r="O5" s="49"/>
      <c r="P5" s="36"/>
    </row>
    <row r="6" spans="1:16" s="5" customFormat="1" ht="15">
      <c r="A6" s="306"/>
      <c r="B6" s="307"/>
      <c r="C6" s="307"/>
      <c r="D6" s="307"/>
      <c r="E6" s="311"/>
      <c r="F6" s="311"/>
      <c r="G6" s="309"/>
      <c r="H6" s="310"/>
      <c r="I6" s="311"/>
      <c r="J6" s="311"/>
      <c r="K6" s="311"/>
      <c r="L6" s="312"/>
      <c r="M6" s="313"/>
      <c r="N6" s="314"/>
      <c r="O6" s="49"/>
      <c r="P6" s="36"/>
    </row>
    <row r="7" spans="1:16" s="5" customFormat="1" ht="15.6">
      <c r="A7" s="306">
        <f>+A5+1</f>
        <v>154</v>
      </c>
      <c r="B7" s="307"/>
      <c r="C7" s="307" t="s">
        <v>90</v>
      </c>
      <c r="D7" s="311" t="s">
        <v>367</v>
      </c>
      <c r="E7" s="315"/>
      <c r="F7" s="315"/>
      <c r="G7" s="316">
        <f>+'8a - Workpaper'!Z41</f>
        <v>0</v>
      </c>
      <c r="H7" s="317"/>
      <c r="I7" s="9"/>
      <c r="J7" s="9"/>
      <c r="K7" s="311"/>
      <c r="L7" s="312"/>
      <c r="M7" s="313"/>
      <c r="N7" s="314"/>
      <c r="O7" s="318"/>
      <c r="P7" s="36"/>
    </row>
    <row r="8" spans="1:16" s="5" customFormat="1" ht="15">
      <c r="A8" s="306"/>
      <c r="B8" s="307"/>
      <c r="C8" s="307" t="s">
        <v>368</v>
      </c>
      <c r="D8" s="311"/>
      <c r="E8" s="311"/>
      <c r="F8" s="311"/>
      <c r="G8" s="319"/>
      <c r="H8" s="310" t="s">
        <v>369</v>
      </c>
      <c r="I8" s="9"/>
      <c r="K8" s="311"/>
      <c r="L8" s="312"/>
      <c r="M8" s="313"/>
      <c r="N8" s="314"/>
      <c r="P8" s="36"/>
    </row>
    <row r="9" spans="1:16" s="5" customFormat="1" ht="15">
      <c r="A9" s="306">
        <f>+A7+1</f>
        <v>155</v>
      </c>
      <c r="B9" s="307"/>
      <c r="C9" s="307" t="s">
        <v>370</v>
      </c>
      <c r="D9" s="311" t="s">
        <v>371</v>
      </c>
      <c r="E9" s="311"/>
      <c r="G9" s="320"/>
      <c r="H9" s="321">
        <f>+'8a - Workpaper'!I41</f>
        <v>0</v>
      </c>
      <c r="I9" s="9"/>
      <c r="K9" s="311"/>
      <c r="L9" s="312"/>
      <c r="M9" s="313"/>
      <c r="N9" s="314"/>
      <c r="O9" s="49"/>
      <c r="P9" s="36"/>
    </row>
    <row r="10" spans="1:16" s="5" customFormat="1" ht="15">
      <c r="A10" s="306"/>
      <c r="B10" s="307"/>
      <c r="C10" s="307"/>
      <c r="D10" s="311"/>
      <c r="E10" s="311"/>
      <c r="F10" s="311"/>
      <c r="G10" s="319"/>
      <c r="H10" s="317"/>
      <c r="I10" s="9"/>
      <c r="K10" s="311"/>
      <c r="L10" s="312"/>
      <c r="M10" s="313"/>
      <c r="N10" s="314"/>
      <c r="O10" s="49"/>
      <c r="P10" s="36"/>
    </row>
    <row r="11" spans="1:16" s="5" customFormat="1" ht="15">
      <c r="A11" s="306">
        <f>+A9+1</f>
        <v>156</v>
      </c>
      <c r="B11" s="307"/>
      <c r="C11" s="307" t="s">
        <v>372</v>
      </c>
      <c r="E11" s="322" t="s">
        <v>196</v>
      </c>
      <c r="F11" s="322" t="s">
        <v>373</v>
      </c>
      <c r="G11" s="319"/>
      <c r="H11" s="317"/>
      <c r="I11" s="9"/>
      <c r="J11" s="9"/>
      <c r="K11" s="311"/>
      <c r="L11" s="312"/>
      <c r="M11" s="313"/>
      <c r="N11" s="314"/>
      <c r="O11" s="49"/>
      <c r="P11" s="36"/>
    </row>
    <row r="12" spans="1:16" s="5" customFormat="1" ht="15">
      <c r="A12" s="306"/>
      <c r="B12" s="307"/>
      <c r="C12" s="307" t="s">
        <v>374</v>
      </c>
      <c r="D12" s="307"/>
      <c r="E12" s="261" t="s">
        <v>300</v>
      </c>
      <c r="F12" s="260" t="s">
        <v>301</v>
      </c>
      <c r="G12" s="323"/>
      <c r="H12" s="310"/>
      <c r="I12" s="311"/>
      <c r="J12" s="311"/>
      <c r="K12" s="311"/>
      <c r="L12" s="312"/>
      <c r="M12" s="313"/>
      <c r="N12" s="314"/>
      <c r="O12" s="49"/>
      <c r="P12" s="36"/>
    </row>
    <row r="13" spans="1:16" s="5" customFormat="1" ht="15">
      <c r="A13" s="324">
        <f>+A11+1</f>
        <v>157</v>
      </c>
      <c r="B13" s="261"/>
      <c r="C13" s="209" t="s">
        <v>302</v>
      </c>
      <c r="D13" s="311" t="s">
        <v>375</v>
      </c>
      <c r="E13" s="325">
        <v>2024</v>
      </c>
      <c r="F13" s="326">
        <v>40689.780000000006</v>
      </c>
      <c r="G13" s="320"/>
      <c r="I13" s="311"/>
      <c r="J13" s="311"/>
      <c r="K13" s="311"/>
      <c r="L13" s="312"/>
      <c r="M13" s="313"/>
      <c r="N13" s="314"/>
      <c r="O13" s="49"/>
      <c r="P13" s="36"/>
    </row>
    <row r="14" spans="1:16" s="5" customFormat="1" ht="15">
      <c r="A14" s="324">
        <f t="shared" ref="A14:A26" si="0">+A13+1</f>
        <v>158</v>
      </c>
      <c r="B14" s="261"/>
      <c r="C14" s="294" t="s">
        <v>304</v>
      </c>
      <c r="D14" s="209" t="s">
        <v>305</v>
      </c>
      <c r="E14" s="325">
        <f>+E13+1</f>
        <v>2025</v>
      </c>
      <c r="F14" s="326">
        <v>40689.769999999997</v>
      </c>
      <c r="G14" s="320"/>
      <c r="I14" s="311"/>
      <c r="J14" s="311"/>
      <c r="K14" s="311"/>
      <c r="L14" s="312"/>
      <c r="M14" s="313"/>
      <c r="N14" s="314"/>
      <c r="O14" s="49"/>
      <c r="P14" s="36"/>
    </row>
    <row r="15" spans="1:16" s="5" customFormat="1" ht="15">
      <c r="A15" s="324">
        <f t="shared" si="0"/>
        <v>159</v>
      </c>
      <c r="B15" s="261"/>
      <c r="C15" s="294" t="s">
        <v>306</v>
      </c>
      <c r="D15" s="209" t="s">
        <v>305</v>
      </c>
      <c r="E15" s="325">
        <f>+E14</f>
        <v>2025</v>
      </c>
      <c r="F15" s="326">
        <v>874023.11333333375</v>
      </c>
      <c r="G15" s="320"/>
      <c r="I15" s="311"/>
      <c r="J15" s="311"/>
      <c r="K15" s="311"/>
      <c r="L15" s="312"/>
      <c r="M15" s="313"/>
      <c r="N15" s="314"/>
      <c r="O15" s="49"/>
      <c r="P15" s="36"/>
    </row>
    <row r="16" spans="1:16" s="5" customFormat="1" ht="15">
      <c r="A16" s="324">
        <f t="shared" si="0"/>
        <v>160</v>
      </c>
      <c r="B16" s="261"/>
      <c r="C16" s="294" t="s">
        <v>307</v>
      </c>
      <c r="D16" s="209" t="s">
        <v>305</v>
      </c>
      <c r="E16" s="325">
        <f t="shared" ref="E16:E25" si="1">+E15</f>
        <v>2025</v>
      </c>
      <c r="F16" s="326">
        <v>790689.78000000038</v>
      </c>
      <c r="G16" s="320"/>
      <c r="I16" s="311"/>
      <c r="J16" s="311"/>
      <c r="K16" s="311"/>
      <c r="L16" s="312"/>
      <c r="M16" s="313"/>
      <c r="N16" s="314"/>
      <c r="O16" s="49"/>
      <c r="P16" s="36"/>
    </row>
    <row r="17" spans="1:16" s="5" customFormat="1" ht="15">
      <c r="A17" s="324">
        <f t="shared" si="0"/>
        <v>161</v>
      </c>
      <c r="B17" s="261"/>
      <c r="C17" s="294" t="s">
        <v>308</v>
      </c>
      <c r="D17" s="209" t="s">
        <v>305</v>
      </c>
      <c r="E17" s="325">
        <f t="shared" si="1"/>
        <v>2025</v>
      </c>
      <c r="F17" s="326">
        <v>707356.44666666701</v>
      </c>
      <c r="G17" s="320"/>
      <c r="I17" s="311"/>
      <c r="J17" s="311"/>
      <c r="K17" s="311"/>
      <c r="L17" s="312"/>
      <c r="M17" s="313"/>
      <c r="N17" s="314"/>
      <c r="O17" s="49"/>
      <c r="P17" s="36"/>
    </row>
    <row r="18" spans="1:16" s="5" customFormat="1" ht="15">
      <c r="A18" s="324">
        <f t="shared" si="0"/>
        <v>162</v>
      </c>
      <c r="B18" s="261"/>
      <c r="C18" s="294" t="s">
        <v>309</v>
      </c>
      <c r="D18" s="209" t="s">
        <v>305</v>
      </c>
      <c r="E18" s="325">
        <f t="shared" si="1"/>
        <v>2025</v>
      </c>
      <c r="F18" s="326">
        <v>624023.11333333375</v>
      </c>
      <c r="G18" s="320"/>
      <c r="I18" s="311"/>
      <c r="J18" s="311"/>
      <c r="K18" s="311"/>
      <c r="L18" s="312"/>
      <c r="M18" s="313"/>
      <c r="N18" s="314"/>
      <c r="O18" s="49"/>
      <c r="P18" s="36"/>
    </row>
    <row r="19" spans="1:16" s="5" customFormat="1" ht="15">
      <c r="A19" s="324">
        <f t="shared" si="0"/>
        <v>163</v>
      </c>
      <c r="B19" s="261"/>
      <c r="C19" s="294" t="s">
        <v>310</v>
      </c>
      <c r="D19" s="209" t="s">
        <v>305</v>
      </c>
      <c r="E19" s="325">
        <f t="shared" si="1"/>
        <v>2025</v>
      </c>
      <c r="F19" s="326">
        <v>540689.78000000049</v>
      </c>
      <c r="G19" s="320"/>
      <c r="I19" s="311"/>
      <c r="J19" s="311"/>
      <c r="K19" s="311"/>
      <c r="L19" s="312"/>
      <c r="M19" s="313"/>
      <c r="N19" s="314"/>
      <c r="O19" s="49"/>
      <c r="P19" s="36"/>
    </row>
    <row r="20" spans="1:16" s="5" customFormat="1" ht="15">
      <c r="A20" s="324">
        <f t="shared" si="0"/>
        <v>164</v>
      </c>
      <c r="B20" s="261"/>
      <c r="C20" s="294" t="s">
        <v>311</v>
      </c>
      <c r="D20" s="209" t="s">
        <v>305</v>
      </c>
      <c r="E20" s="325">
        <f t="shared" si="1"/>
        <v>2025</v>
      </c>
      <c r="F20" s="326">
        <v>457356.44666666718</v>
      </c>
      <c r="G20" s="320"/>
      <c r="I20" s="311"/>
      <c r="J20" s="311"/>
      <c r="K20" s="311"/>
      <c r="L20" s="312"/>
      <c r="M20" s="313"/>
      <c r="N20" s="314"/>
      <c r="O20" s="49"/>
      <c r="P20" s="36"/>
    </row>
    <row r="21" spans="1:16" s="5" customFormat="1" ht="15">
      <c r="A21" s="324">
        <f t="shared" si="0"/>
        <v>165</v>
      </c>
      <c r="B21" s="261"/>
      <c r="C21" s="294" t="s">
        <v>312</v>
      </c>
      <c r="D21" s="209" t="s">
        <v>305</v>
      </c>
      <c r="E21" s="325">
        <f t="shared" si="1"/>
        <v>2025</v>
      </c>
      <c r="F21" s="326">
        <v>374023.11333333387</v>
      </c>
      <c r="G21" s="320"/>
      <c r="I21" s="311"/>
      <c r="J21" s="311"/>
      <c r="K21" s="311"/>
      <c r="L21" s="312"/>
      <c r="M21" s="313"/>
      <c r="N21" s="314"/>
      <c r="O21" s="49"/>
      <c r="P21" s="36"/>
    </row>
    <row r="22" spans="1:16" s="5" customFormat="1" ht="15">
      <c r="A22" s="324">
        <f t="shared" si="0"/>
        <v>166</v>
      </c>
      <c r="B22" s="261"/>
      <c r="C22" s="294" t="s">
        <v>313</v>
      </c>
      <c r="D22" s="209" t="s">
        <v>305</v>
      </c>
      <c r="E22" s="325">
        <f t="shared" si="1"/>
        <v>2025</v>
      </c>
      <c r="F22" s="326">
        <v>290689.78000000055</v>
      </c>
      <c r="G22" s="320"/>
      <c r="I22" s="311"/>
      <c r="J22" s="311"/>
      <c r="K22" s="311"/>
      <c r="L22" s="312"/>
      <c r="M22" s="313"/>
      <c r="N22" s="314"/>
      <c r="O22" s="49"/>
      <c r="P22" s="36"/>
    </row>
    <row r="23" spans="1:16" s="5" customFormat="1" ht="15">
      <c r="A23" s="324">
        <f t="shared" si="0"/>
        <v>167</v>
      </c>
      <c r="B23" s="261"/>
      <c r="C23" s="294" t="s">
        <v>314</v>
      </c>
      <c r="D23" s="209" t="s">
        <v>305</v>
      </c>
      <c r="E23" s="325">
        <f t="shared" si="1"/>
        <v>2025</v>
      </c>
      <c r="F23" s="326">
        <v>207356.44666666721</v>
      </c>
      <c r="G23" s="320"/>
      <c r="I23" s="311"/>
      <c r="J23" s="311"/>
      <c r="K23" s="311"/>
      <c r="L23" s="312"/>
      <c r="M23" s="313"/>
      <c r="N23" s="314"/>
      <c r="O23" s="49"/>
      <c r="P23" s="36"/>
    </row>
    <row r="24" spans="1:16" s="5" customFormat="1" ht="15">
      <c r="A24" s="324">
        <f t="shared" si="0"/>
        <v>168</v>
      </c>
      <c r="B24" s="261"/>
      <c r="C24" s="294" t="s">
        <v>315</v>
      </c>
      <c r="D24" s="209" t="s">
        <v>305</v>
      </c>
      <c r="E24" s="325">
        <f t="shared" si="1"/>
        <v>2025</v>
      </c>
      <c r="F24" s="326">
        <v>124023.11333333389</v>
      </c>
      <c r="G24" s="320"/>
      <c r="I24" s="311"/>
      <c r="J24" s="311"/>
      <c r="K24" s="311"/>
      <c r="L24" s="312"/>
      <c r="M24" s="313"/>
      <c r="N24" s="314"/>
      <c r="O24" s="49"/>
      <c r="P24" s="36"/>
    </row>
    <row r="25" spans="1:16" s="5" customFormat="1" ht="15">
      <c r="A25" s="324">
        <f t="shared" si="0"/>
        <v>169</v>
      </c>
      <c r="B25" s="261"/>
      <c r="C25" s="327" t="s">
        <v>302</v>
      </c>
      <c r="D25" s="328" t="s">
        <v>376</v>
      </c>
      <c r="E25" s="329">
        <f t="shared" si="1"/>
        <v>2025</v>
      </c>
      <c r="F25" s="1106">
        <v>40689.780000000588</v>
      </c>
      <c r="G25" s="320"/>
      <c r="I25" s="311"/>
      <c r="J25" s="311"/>
      <c r="K25" s="311"/>
      <c r="L25" s="312"/>
      <c r="M25" s="313"/>
      <c r="N25" s="314"/>
      <c r="O25" s="49"/>
      <c r="P25" s="36"/>
    </row>
    <row r="26" spans="1:16" s="5" customFormat="1" ht="15">
      <c r="A26" s="324">
        <f t="shared" si="0"/>
        <v>170</v>
      </c>
      <c r="B26" s="261"/>
      <c r="C26" s="330" t="s">
        <v>377</v>
      </c>
      <c r="D26" s="209" t="str">
        <f>"(sum lines "&amp;A13&amp;"-"&amp;A25&amp;") /13"</f>
        <v>(sum lines 157-169) /13</v>
      </c>
      <c r="E26" s="331"/>
      <c r="F26" s="278">
        <f>SUM(F13:F25)/13</f>
        <v>393253.88179487229</v>
      </c>
      <c r="G26" s="320"/>
      <c r="I26" s="311"/>
      <c r="J26" s="311"/>
      <c r="K26" s="311"/>
      <c r="L26" s="312"/>
      <c r="M26" s="313"/>
      <c r="N26" s="314"/>
      <c r="O26" s="49"/>
      <c r="P26" s="36"/>
    </row>
    <row r="27" spans="1:16" s="5" customFormat="1" ht="15.6" thickBot="1">
      <c r="A27" s="306"/>
      <c r="B27" s="307"/>
      <c r="C27" s="307"/>
      <c r="D27" s="307"/>
      <c r="E27" s="311"/>
      <c r="F27" s="311"/>
      <c r="G27" s="332"/>
      <c r="H27" s="333"/>
      <c r="I27" s="334"/>
      <c r="J27" s="334"/>
      <c r="K27" s="334"/>
      <c r="L27" s="335"/>
      <c r="M27" s="336"/>
      <c r="N27" s="314"/>
      <c r="O27" s="49"/>
      <c r="P27" s="36"/>
    </row>
    <row r="28" spans="1:16" ht="13.8" thickBot="1">
      <c r="A28" s="337"/>
      <c r="B28" s="338"/>
      <c r="C28" s="339"/>
      <c r="D28" s="340"/>
      <c r="E28" s="341"/>
      <c r="F28" s="342"/>
      <c r="G28" s="343"/>
      <c r="H28" s="344"/>
      <c r="I28" s="345"/>
      <c r="J28" s="346"/>
      <c r="K28" s="347"/>
      <c r="L28" s="347"/>
      <c r="M28" s="348"/>
    </row>
    <row r="29" spans="1:16">
      <c r="A29" s="349"/>
      <c r="B29" s="349"/>
      <c r="C29" s="349"/>
      <c r="D29" s="349"/>
      <c r="F29" s="350"/>
      <c r="G29" s="351"/>
      <c r="H29" s="322"/>
      <c r="I29" s="352"/>
      <c r="J29" s="353"/>
      <c r="K29" s="252"/>
      <c r="L29" s="252"/>
      <c r="M29" s="252"/>
    </row>
    <row r="30" spans="1:16">
      <c r="B30" s="261"/>
      <c r="C30" s="330"/>
      <c r="D30" s="354"/>
      <c r="E30" s="355"/>
      <c r="F30" s="294"/>
      <c r="G30" s="258"/>
      <c r="H30" s="258"/>
      <c r="I30" s="258"/>
      <c r="J30" s="252"/>
      <c r="K30" s="252"/>
      <c r="L30" s="252"/>
      <c r="M30" s="252"/>
    </row>
    <row r="31" spans="1:16" ht="12" customHeight="1"/>
    <row r="32" spans="1:16" ht="13.8" thickBot="1">
      <c r="A32" s="295" t="s">
        <v>378</v>
      </c>
    </row>
    <row r="33" spans="1:13">
      <c r="A33" s="1172"/>
      <c r="B33" s="1173"/>
      <c r="C33" s="1173"/>
      <c r="D33" s="1173"/>
      <c r="E33" s="1173"/>
      <c r="F33" s="1173"/>
      <c r="G33" s="356"/>
      <c r="H33" s="356"/>
      <c r="I33" s="356"/>
      <c r="J33" s="1174"/>
      <c r="K33" s="1211"/>
      <c r="L33" s="1211"/>
      <c r="M33" s="1212"/>
    </row>
    <row r="34" spans="1:13">
      <c r="A34" s="324" t="s">
        <v>379</v>
      </c>
      <c r="B34" s="357"/>
      <c r="C34" s="358" t="s">
        <v>176</v>
      </c>
      <c r="D34" s="358" t="s">
        <v>177</v>
      </c>
      <c r="E34" s="358" t="s">
        <v>380</v>
      </c>
      <c r="F34" s="358" t="s">
        <v>381</v>
      </c>
      <c r="G34" s="358" t="s">
        <v>382</v>
      </c>
      <c r="H34" s="358" t="s">
        <v>383</v>
      </c>
      <c r="I34" s="358" t="s">
        <v>384</v>
      </c>
      <c r="J34" s="1176"/>
      <c r="K34" s="1171"/>
      <c r="L34" s="1171"/>
      <c r="M34" s="1183"/>
    </row>
    <row r="35" spans="1:13" ht="79.2">
      <c r="A35" s="324"/>
      <c r="B35"/>
      <c r="C35" s="359"/>
      <c r="D35" s="360" t="s">
        <v>33</v>
      </c>
      <c r="E35" s="360" t="s">
        <v>385</v>
      </c>
      <c r="F35" s="360" t="s">
        <v>386</v>
      </c>
      <c r="G35" s="360" t="s">
        <v>387</v>
      </c>
      <c r="H35" s="361" t="s">
        <v>388</v>
      </c>
      <c r="I35" s="361" t="s">
        <v>389</v>
      </c>
      <c r="J35"/>
      <c r="K35" s="225"/>
      <c r="L35" s="225"/>
      <c r="M35" s="362"/>
    </row>
    <row r="36" spans="1:13" ht="15">
      <c r="A36" s="324"/>
      <c r="B36"/>
      <c r="C36" s="363" t="s">
        <v>390</v>
      </c>
      <c r="D36" s="364">
        <v>0</v>
      </c>
      <c r="E36" s="364">
        <v>0</v>
      </c>
      <c r="F36" s="364">
        <v>0</v>
      </c>
      <c r="G36" s="364">
        <v>0</v>
      </c>
      <c r="H36" s="364">
        <v>0</v>
      </c>
      <c r="I36" s="365">
        <f t="shared" ref="I36:I41" si="2">+H36*E36*D36*F36*G36</f>
        <v>0</v>
      </c>
      <c r="J36"/>
      <c r="K36" s="225"/>
      <c r="L36" s="225"/>
      <c r="M36" s="362"/>
    </row>
    <row r="37" spans="1:13" ht="15">
      <c r="A37" s="324"/>
      <c r="B37"/>
      <c r="C37" s="363" t="s">
        <v>391</v>
      </c>
      <c r="D37" s="366">
        <v>0</v>
      </c>
      <c r="E37" s="366">
        <v>0</v>
      </c>
      <c r="F37" s="366">
        <v>0</v>
      </c>
      <c r="G37" s="366">
        <v>0</v>
      </c>
      <c r="H37" s="366">
        <v>0</v>
      </c>
      <c r="I37" s="365">
        <f t="shared" si="2"/>
        <v>0</v>
      </c>
      <c r="J37"/>
      <c r="K37" s="225"/>
      <c r="L37" s="225"/>
      <c r="M37" s="362"/>
    </row>
    <row r="38" spans="1:13" ht="15">
      <c r="A38" s="324"/>
      <c r="B38"/>
      <c r="C38" s="363" t="s">
        <v>392</v>
      </c>
      <c r="D38" s="366">
        <v>0</v>
      </c>
      <c r="E38" s="366">
        <v>0</v>
      </c>
      <c r="F38" s="366">
        <v>0</v>
      </c>
      <c r="G38" s="366">
        <v>0</v>
      </c>
      <c r="H38" s="366">
        <v>0</v>
      </c>
      <c r="I38" s="365">
        <f t="shared" si="2"/>
        <v>0</v>
      </c>
      <c r="J38"/>
      <c r="K38" s="225"/>
      <c r="L38" s="225"/>
      <c r="M38" s="362"/>
    </row>
    <row r="39" spans="1:13" ht="15">
      <c r="A39" s="324"/>
      <c r="B39"/>
      <c r="C39" s="363" t="s">
        <v>393</v>
      </c>
      <c r="D39" s="366">
        <v>0</v>
      </c>
      <c r="E39" s="366">
        <v>0</v>
      </c>
      <c r="F39" s="366">
        <v>0</v>
      </c>
      <c r="G39" s="366">
        <v>0</v>
      </c>
      <c r="H39" s="366">
        <v>0</v>
      </c>
      <c r="I39" s="365">
        <f t="shared" si="2"/>
        <v>0</v>
      </c>
      <c r="J39"/>
      <c r="K39" s="225"/>
      <c r="L39" s="225"/>
      <c r="M39" s="362"/>
    </row>
    <row r="40" spans="1:13" ht="15">
      <c r="A40" s="324"/>
      <c r="B40"/>
      <c r="C40" s="363" t="s">
        <v>279</v>
      </c>
      <c r="D40" s="366">
        <v>0</v>
      </c>
      <c r="E40" s="366">
        <v>0</v>
      </c>
      <c r="F40" s="366">
        <v>0</v>
      </c>
      <c r="G40" s="366">
        <v>0</v>
      </c>
      <c r="H40" s="366">
        <v>0</v>
      </c>
      <c r="I40" s="365">
        <f t="shared" si="2"/>
        <v>0</v>
      </c>
      <c r="J40"/>
      <c r="K40" s="225"/>
      <c r="L40" s="225"/>
      <c r="M40" s="362"/>
    </row>
    <row r="41" spans="1:13" ht="15">
      <c r="A41" s="324"/>
      <c r="B41"/>
      <c r="C41" s="367" t="s">
        <v>279</v>
      </c>
      <c r="D41" s="368">
        <v>0</v>
      </c>
      <c r="E41" s="368">
        <v>0</v>
      </c>
      <c r="F41" s="368">
        <v>0</v>
      </c>
      <c r="G41" s="368">
        <v>0</v>
      </c>
      <c r="H41" s="368">
        <v>0</v>
      </c>
      <c r="I41" s="369">
        <f t="shared" si="2"/>
        <v>0</v>
      </c>
      <c r="J41"/>
      <c r="K41" s="225"/>
      <c r="L41" s="225"/>
      <c r="M41" s="362"/>
    </row>
    <row r="42" spans="1:13" ht="15">
      <c r="A42" s="324"/>
      <c r="B42"/>
      <c r="C42" s="370" t="s">
        <v>37</v>
      </c>
      <c r="D42" s="371"/>
      <c r="E42" s="372"/>
      <c r="F42" s="373"/>
      <c r="G42" s="373"/>
      <c r="H42" s="372"/>
      <c r="I42" s="365">
        <f>SUM(I36:I41)</f>
        <v>0</v>
      </c>
      <c r="J42"/>
      <c r="K42" s="225"/>
      <c r="L42" s="225"/>
      <c r="M42" s="362"/>
    </row>
    <row r="43" spans="1:13" ht="15">
      <c r="A43" s="324"/>
      <c r="B43"/>
      <c r="C43" s="370"/>
      <c r="D43" s="371"/>
      <c r="E43" s="372"/>
      <c r="F43" s="373"/>
      <c r="G43" s="373"/>
      <c r="H43" s="372"/>
      <c r="I43" s="365"/>
      <c r="J43"/>
      <c r="K43" s="225"/>
      <c r="L43" s="225"/>
      <c r="M43" s="362"/>
    </row>
    <row r="44" spans="1:13" ht="15">
      <c r="A44" s="324"/>
      <c r="B44"/>
      <c r="C44" s="1184" t="s">
        <v>394</v>
      </c>
      <c r="D44" s="1185"/>
      <c r="E44" s="1185"/>
      <c r="F44" s="1185"/>
      <c r="G44" s="1185"/>
      <c r="H44" s="1185"/>
      <c r="I44" s="1185"/>
      <c r="J44" s="1185"/>
      <c r="K44" s="225"/>
      <c r="L44" s="225"/>
      <c r="M44" s="362"/>
    </row>
    <row r="45" spans="1:13" ht="15">
      <c r="A45" s="324"/>
      <c r="B45"/>
      <c r="C45" s="1185"/>
      <c r="D45" s="1185"/>
      <c r="E45" s="1185"/>
      <c r="F45" s="1185"/>
      <c r="G45" s="1185"/>
      <c r="H45" s="1185"/>
      <c r="I45" s="1185"/>
      <c r="J45" s="1185"/>
      <c r="K45" s="225"/>
      <c r="L45" s="225"/>
      <c r="M45" s="362"/>
    </row>
    <row r="46" spans="1:13" ht="15">
      <c r="A46" s="324"/>
      <c r="B46"/>
      <c r="C46" s="1185"/>
      <c r="D46" s="1185"/>
      <c r="E46" s="1185"/>
      <c r="F46" s="1185"/>
      <c r="G46" s="1185"/>
      <c r="H46" s="1185"/>
      <c r="I46" s="1185"/>
      <c r="J46" s="1185"/>
      <c r="K46" s="225"/>
      <c r="L46" s="225"/>
      <c r="M46" s="362"/>
    </row>
    <row r="47" spans="1:13" ht="15">
      <c r="A47" s="324"/>
      <c r="B47"/>
      <c r="C47" s="1185"/>
      <c r="D47" s="1185"/>
      <c r="E47" s="1185"/>
      <c r="F47" s="1185"/>
      <c r="G47" s="1185"/>
      <c r="H47" s="1185"/>
      <c r="I47" s="1185"/>
      <c r="J47" s="1185"/>
      <c r="K47" s="225"/>
      <c r="L47" s="225"/>
      <c r="M47" s="362"/>
    </row>
    <row r="48" spans="1:13" ht="31.5" customHeight="1">
      <c r="A48" s="324"/>
      <c r="B48"/>
      <c r="C48" s="1185"/>
      <c r="D48" s="1185"/>
      <c r="E48" s="1185"/>
      <c r="F48" s="1185"/>
      <c r="G48" s="1185"/>
      <c r="H48" s="1185"/>
      <c r="I48" s="1185"/>
      <c r="J48" s="1185"/>
      <c r="K48" s="225"/>
      <c r="L48" s="225"/>
      <c r="M48" s="362"/>
    </row>
    <row r="49" spans="1:152" ht="15">
      <c r="A49" s="324"/>
      <c r="B49"/>
      <c r="C49" s="370"/>
      <c r="D49" s="371"/>
      <c r="E49" s="372"/>
      <c r="F49" s="373"/>
      <c r="G49" s="373"/>
      <c r="H49" s="372"/>
      <c r="I49" s="365"/>
      <c r="J49"/>
      <c r="K49" s="225"/>
      <c r="L49" s="225"/>
      <c r="M49" s="362"/>
    </row>
    <row r="50" spans="1:152" ht="13.8" thickBot="1">
      <c r="B50" s="225"/>
      <c r="C50" s="294"/>
      <c r="D50" s="225"/>
      <c r="F50" s="294"/>
      <c r="G50" s="374"/>
      <c r="H50" s="374"/>
      <c r="I50" s="225"/>
      <c r="J50" s="225"/>
      <c r="K50" s="225"/>
      <c r="L50" s="225"/>
      <c r="M50" s="225"/>
    </row>
    <row r="51" spans="1:152">
      <c r="A51" s="375" t="s">
        <v>395</v>
      </c>
      <c r="B51" s="376"/>
      <c r="C51" s="376"/>
      <c r="D51" s="376"/>
      <c r="E51" s="376"/>
      <c r="F51" s="376"/>
      <c r="G51" s="376"/>
      <c r="H51" s="376"/>
      <c r="I51" s="376"/>
      <c r="J51" s="376"/>
      <c r="K51" s="376"/>
      <c r="L51" s="376"/>
      <c r="M51" s="377"/>
    </row>
    <row r="52" spans="1:152">
      <c r="A52" s="1186"/>
      <c r="B52" s="1187"/>
      <c r="C52" s="1187"/>
      <c r="D52" s="1187"/>
      <c r="E52" s="1187"/>
      <c r="F52" s="1187"/>
      <c r="G52" s="378" t="s">
        <v>396</v>
      </c>
      <c r="H52" s="379"/>
      <c r="I52" s="380"/>
      <c r="J52" s="1188" t="s">
        <v>360</v>
      </c>
      <c r="K52" s="1171"/>
      <c r="L52" s="1171"/>
      <c r="M52" s="1183"/>
    </row>
    <row r="53" spans="1:152">
      <c r="A53" s="324"/>
      <c r="B53" s="357" t="s">
        <v>397</v>
      </c>
      <c r="E53" s="258"/>
      <c r="J53" s="1176"/>
      <c r="K53" s="1171"/>
      <c r="L53" s="1171"/>
      <c r="M53" s="1183"/>
    </row>
    <row r="54" spans="1:152" ht="15">
      <c r="A54" s="324"/>
      <c r="B54"/>
      <c r="C54" s="225"/>
      <c r="D54" s="209" t="s">
        <v>24</v>
      </c>
      <c r="E54" s="258" t="s">
        <v>398</v>
      </c>
      <c r="F54" s="261"/>
      <c r="G54" s="261" t="s">
        <v>399</v>
      </c>
      <c r="H54" s="252"/>
      <c r="I54" s="225"/>
      <c r="J54"/>
      <c r="K54" s="225"/>
      <c r="L54" s="225"/>
      <c r="M54" s="362"/>
    </row>
    <row r="55" spans="1:152" ht="15">
      <c r="A55" s="324">
        <v>171</v>
      </c>
      <c r="B55"/>
      <c r="C55" s="294" t="s">
        <v>400</v>
      </c>
      <c r="D55" s="225"/>
      <c r="E55" s="294" t="s">
        <v>401</v>
      </c>
      <c r="F55" s="294"/>
      <c r="G55" s="381">
        <v>0</v>
      </c>
      <c r="H55" s="374"/>
      <c r="I55" s="225"/>
      <c r="J55"/>
      <c r="K55" s="225"/>
      <c r="L55" s="225"/>
      <c r="M55" s="362"/>
    </row>
    <row r="56" spans="1:152" ht="15">
      <c r="A56" s="324"/>
      <c r="B56"/>
      <c r="C56" s="294"/>
      <c r="D56" s="225"/>
      <c r="E56" s="294"/>
      <c r="F56" s="294"/>
      <c r="G56" s="374"/>
      <c r="H56" s="374"/>
      <c r="I56" s="225"/>
      <c r="J56"/>
      <c r="K56" s="225"/>
      <c r="L56" s="225"/>
      <c r="M56" s="362"/>
    </row>
    <row r="57" spans="1:152" ht="14.4">
      <c r="A57" s="382"/>
      <c r="B57" s="225"/>
      <c r="C57" s="383"/>
      <c r="I57" s="225"/>
      <c r="J57" s="225"/>
      <c r="K57" s="225"/>
      <c r="L57" s="225"/>
      <c r="M57" s="362"/>
    </row>
    <row r="58" spans="1:152" ht="15" thickBot="1">
      <c r="A58" s="337"/>
      <c r="B58" s="342"/>
      <c r="C58" s="384"/>
      <c r="D58" s="342"/>
      <c r="E58" s="342"/>
      <c r="F58" s="342"/>
      <c r="G58" s="342"/>
      <c r="H58" s="342"/>
      <c r="I58" s="342"/>
      <c r="J58" s="342"/>
      <c r="K58" s="342"/>
      <c r="L58" s="342"/>
      <c r="M58" s="385"/>
    </row>
    <row r="59" spans="1:152" ht="14.4">
      <c r="C59" s="386"/>
    </row>
    <row r="60" spans="1:152" s="389" customFormat="1" ht="13.8" thickBot="1">
      <c r="A60" s="387" t="s">
        <v>402</v>
      </c>
      <c r="B60" s="388"/>
      <c r="C60" s="388"/>
      <c r="D60" s="388"/>
      <c r="E60" s="388"/>
      <c r="F60" s="388"/>
      <c r="G60" s="388"/>
      <c r="H60" s="388"/>
      <c r="I60" s="388"/>
      <c r="J60" s="388"/>
      <c r="K60" s="388"/>
      <c r="L60" s="388"/>
      <c r="M60" s="388"/>
      <c r="N60" s="209"/>
      <c r="O60" s="209"/>
      <c r="P60" s="209"/>
      <c r="Q60" s="209"/>
      <c r="R60" s="209"/>
      <c r="S60" s="209"/>
      <c r="T60" s="209"/>
      <c r="U60" s="209"/>
      <c r="V60" s="209"/>
      <c r="W60" s="209"/>
      <c r="X60" s="209"/>
      <c r="Y60" s="209"/>
      <c r="Z60" s="209"/>
      <c r="AA60" s="209"/>
      <c r="AB60" s="209"/>
      <c r="AC60" s="209"/>
      <c r="AD60" s="209"/>
      <c r="AE60" s="209"/>
      <c r="AF60" s="209"/>
      <c r="AG60" s="209"/>
      <c r="AH60" s="209"/>
      <c r="AI60" s="209"/>
      <c r="AJ60" s="209"/>
      <c r="AK60" s="209"/>
      <c r="AL60" s="209"/>
      <c r="AM60" s="209"/>
      <c r="AN60" s="209"/>
      <c r="AO60" s="209"/>
      <c r="AP60" s="209"/>
      <c r="AQ60" s="209"/>
      <c r="AR60" s="209"/>
      <c r="AS60" s="209"/>
      <c r="AT60" s="209"/>
      <c r="AU60" s="209"/>
      <c r="AV60" s="209"/>
      <c r="AW60" s="209"/>
      <c r="AX60" s="209"/>
      <c r="AY60" s="209"/>
      <c r="AZ60" s="209"/>
      <c r="BA60" s="209"/>
      <c r="BB60" s="209"/>
      <c r="BC60" s="209"/>
      <c r="BD60" s="209"/>
      <c r="BE60" s="209"/>
      <c r="BF60" s="209"/>
      <c r="BG60" s="209"/>
      <c r="BH60" s="209"/>
      <c r="BI60" s="209"/>
      <c r="BJ60" s="209"/>
      <c r="BK60" s="209"/>
      <c r="BL60" s="209"/>
      <c r="BM60" s="209"/>
      <c r="BN60" s="209"/>
      <c r="BO60" s="209"/>
      <c r="BP60" s="209"/>
      <c r="BQ60" s="209"/>
      <c r="BR60" s="209"/>
      <c r="BS60" s="209"/>
      <c r="BT60" s="209"/>
      <c r="BU60" s="209"/>
      <c r="BV60" s="209"/>
      <c r="BW60" s="209"/>
      <c r="BX60" s="209"/>
      <c r="BY60" s="209"/>
      <c r="BZ60" s="209"/>
      <c r="CA60" s="209"/>
      <c r="CB60" s="209"/>
      <c r="CC60" s="209"/>
      <c r="CD60" s="209"/>
      <c r="CE60" s="209"/>
      <c r="CF60" s="209"/>
      <c r="CG60" s="209"/>
      <c r="CH60" s="209"/>
      <c r="CI60" s="209"/>
      <c r="CJ60" s="209"/>
      <c r="CK60" s="209"/>
      <c r="CL60" s="209"/>
      <c r="CM60" s="209"/>
      <c r="CN60" s="209"/>
      <c r="CO60" s="209"/>
      <c r="CP60" s="209"/>
      <c r="CQ60" s="209"/>
      <c r="CR60" s="209"/>
      <c r="CS60" s="209"/>
      <c r="CT60" s="209"/>
      <c r="CU60" s="209"/>
      <c r="CV60" s="209"/>
      <c r="CW60" s="209"/>
      <c r="CX60" s="209"/>
      <c r="CY60" s="209"/>
      <c r="CZ60" s="209"/>
      <c r="DA60" s="209"/>
      <c r="DB60" s="209"/>
      <c r="DC60" s="209"/>
      <c r="DD60" s="209"/>
      <c r="DE60" s="209"/>
      <c r="DF60" s="209"/>
      <c r="DG60" s="209"/>
      <c r="DH60" s="209"/>
      <c r="DI60" s="209"/>
      <c r="DJ60" s="209"/>
      <c r="DK60" s="209"/>
      <c r="DL60" s="209"/>
      <c r="DM60" s="209"/>
      <c r="DN60" s="209"/>
      <c r="DO60" s="209"/>
      <c r="DP60" s="209"/>
      <c r="DQ60" s="209"/>
      <c r="DR60" s="209"/>
      <c r="DS60" s="209"/>
      <c r="DT60" s="209"/>
      <c r="DU60" s="209"/>
      <c r="DV60" s="209"/>
      <c r="DW60" s="209"/>
      <c r="DX60" s="209"/>
      <c r="DY60" s="209"/>
      <c r="DZ60" s="209"/>
      <c r="EA60" s="209"/>
      <c r="EB60" s="209"/>
      <c r="EC60" s="209"/>
      <c r="ED60" s="209"/>
      <c r="EE60" s="209"/>
      <c r="EF60" s="209"/>
      <c r="EG60" s="209"/>
      <c r="EH60" s="209"/>
      <c r="EI60" s="209"/>
      <c r="EJ60" s="209"/>
      <c r="EK60" s="209"/>
      <c r="EL60" s="209"/>
      <c r="EM60" s="209"/>
      <c r="EN60" s="209"/>
      <c r="EO60" s="209"/>
      <c r="EP60" s="209"/>
      <c r="EQ60" s="209"/>
      <c r="ER60" s="209"/>
      <c r="ES60" s="209"/>
      <c r="ET60" s="209"/>
      <c r="EU60" s="209"/>
      <c r="EV60" s="209"/>
    </row>
    <row r="61" spans="1:152" s="389" customFormat="1" ht="26.4">
      <c r="A61" s="1189"/>
      <c r="B61" s="1190"/>
      <c r="C61" s="1190"/>
      <c r="D61" s="1190"/>
      <c r="E61" s="1190"/>
      <c r="F61" s="1190"/>
      <c r="G61" s="390" t="s">
        <v>403</v>
      </c>
      <c r="H61" s="303" t="s">
        <v>404</v>
      </c>
      <c r="I61" s="303" t="s">
        <v>405</v>
      </c>
      <c r="J61" s="1191" t="s">
        <v>406</v>
      </c>
      <c r="K61" s="1192"/>
      <c r="L61" s="1192"/>
      <c r="M61" s="1193"/>
      <c r="N61" s="209"/>
      <c r="O61" s="209"/>
      <c r="P61" s="209"/>
      <c r="Q61" s="209"/>
      <c r="R61" s="209"/>
      <c r="S61" s="209"/>
      <c r="T61" s="209"/>
      <c r="U61" s="209"/>
      <c r="V61" s="209"/>
      <c r="W61" s="209"/>
      <c r="X61" s="209"/>
      <c r="Y61" s="209"/>
      <c r="Z61" s="209"/>
      <c r="AA61" s="209"/>
      <c r="AB61" s="209"/>
      <c r="AC61" s="209"/>
      <c r="AD61" s="209"/>
      <c r="AE61" s="209"/>
      <c r="AF61" s="209"/>
      <c r="AG61" s="209"/>
      <c r="AH61" s="209"/>
      <c r="AI61" s="209"/>
      <c r="AJ61" s="209"/>
      <c r="AK61" s="209"/>
      <c r="AL61" s="209"/>
      <c r="AM61" s="209"/>
      <c r="AN61" s="209"/>
      <c r="AO61" s="209"/>
      <c r="AP61" s="209"/>
      <c r="AQ61" s="209"/>
      <c r="AR61" s="209"/>
      <c r="AS61" s="209"/>
      <c r="AT61" s="209"/>
      <c r="AU61" s="209"/>
      <c r="AV61" s="209"/>
      <c r="AW61" s="209"/>
      <c r="AX61" s="209"/>
      <c r="AY61" s="209"/>
      <c r="AZ61" s="209"/>
      <c r="BA61" s="209"/>
      <c r="BB61" s="209"/>
      <c r="BC61" s="209"/>
      <c r="BD61" s="209"/>
      <c r="BE61" s="209"/>
      <c r="BF61" s="209"/>
      <c r="BG61" s="209"/>
      <c r="BH61" s="209"/>
      <c r="BI61" s="209"/>
      <c r="BJ61" s="209"/>
      <c r="BK61" s="209"/>
      <c r="BL61" s="209"/>
      <c r="BM61" s="209"/>
      <c r="BN61" s="209"/>
      <c r="BO61" s="209"/>
      <c r="BP61" s="209"/>
      <c r="BQ61" s="209"/>
      <c r="BR61" s="209"/>
      <c r="BS61" s="209"/>
      <c r="BT61" s="209"/>
      <c r="BU61" s="209"/>
      <c r="BV61" s="209"/>
      <c r="BW61" s="209"/>
      <c r="BX61" s="209"/>
      <c r="BY61" s="209"/>
      <c r="BZ61" s="209"/>
      <c r="CA61" s="209"/>
      <c r="CB61" s="209"/>
      <c r="CC61" s="209"/>
      <c r="CD61" s="209"/>
      <c r="CE61" s="209"/>
      <c r="CF61" s="209"/>
      <c r="CG61" s="209"/>
      <c r="CH61" s="209"/>
      <c r="CI61" s="209"/>
      <c r="CJ61" s="209"/>
      <c r="CK61" s="209"/>
      <c r="CL61" s="209"/>
      <c r="CM61" s="209"/>
      <c r="CN61" s="209"/>
      <c r="CO61" s="209"/>
      <c r="CP61" s="209"/>
      <c r="CQ61" s="209"/>
      <c r="CR61" s="209"/>
      <c r="CS61" s="209"/>
      <c r="CT61" s="209"/>
      <c r="CU61" s="209"/>
      <c r="CV61" s="209"/>
      <c r="CW61" s="209"/>
      <c r="CX61" s="209"/>
      <c r="CY61" s="209"/>
      <c r="CZ61" s="209"/>
      <c r="DA61" s="209"/>
      <c r="DB61" s="209"/>
      <c r="DC61" s="209"/>
      <c r="DD61" s="209"/>
      <c r="DE61" s="209"/>
      <c r="DF61" s="209"/>
      <c r="DG61" s="209"/>
      <c r="DH61" s="209"/>
      <c r="DI61" s="209"/>
      <c r="DJ61" s="209"/>
      <c r="DK61" s="209"/>
      <c r="DL61" s="209"/>
      <c r="DM61" s="209"/>
      <c r="DN61" s="209"/>
      <c r="DO61" s="209"/>
      <c r="DP61" s="209"/>
      <c r="DQ61" s="209"/>
      <c r="DR61" s="209"/>
      <c r="DS61" s="209"/>
      <c r="DT61" s="209"/>
      <c r="DU61" s="209"/>
      <c r="DV61" s="209"/>
      <c r="DW61" s="209"/>
      <c r="DX61" s="209"/>
      <c r="DY61" s="209"/>
      <c r="DZ61" s="209"/>
      <c r="EA61" s="209"/>
      <c r="EB61" s="209"/>
      <c r="EC61" s="209"/>
      <c r="ED61" s="209"/>
      <c r="EE61" s="209"/>
      <c r="EF61" s="209"/>
      <c r="EG61" s="209"/>
      <c r="EH61" s="209"/>
      <c r="EI61" s="209"/>
      <c r="EJ61" s="209"/>
      <c r="EK61" s="209"/>
      <c r="EL61" s="209"/>
      <c r="EM61" s="209"/>
      <c r="EN61" s="209"/>
      <c r="EO61" s="209"/>
      <c r="EP61" s="209"/>
      <c r="EQ61" s="209"/>
      <c r="ER61" s="209"/>
      <c r="ES61" s="209"/>
      <c r="ET61" s="209"/>
      <c r="EU61" s="209"/>
      <c r="EV61" s="209"/>
    </row>
    <row r="62" spans="1:152" s="389" customFormat="1">
      <c r="A62" s="324"/>
      <c r="B62" s="357" t="s">
        <v>407</v>
      </c>
      <c r="C62" s="294"/>
      <c r="D62" s="209"/>
      <c r="E62" s="331"/>
      <c r="F62" s="294"/>
      <c r="G62" s="391" t="s">
        <v>399</v>
      </c>
      <c r="H62" s="392" t="s">
        <v>408</v>
      </c>
      <c r="I62" s="393" t="s">
        <v>409</v>
      </c>
      <c r="J62" s="209"/>
      <c r="K62" s="209"/>
      <c r="L62" s="209"/>
      <c r="M62" s="394"/>
      <c r="N62" s="209"/>
      <c r="O62" s="209"/>
      <c r="P62" s="209"/>
      <c r="Q62" s="209"/>
      <c r="R62" s="209"/>
      <c r="S62" s="209"/>
      <c r="T62" s="209"/>
      <c r="U62" s="209"/>
      <c r="V62" s="209"/>
      <c r="W62" s="209"/>
      <c r="X62" s="209"/>
      <c r="Y62" s="209"/>
      <c r="Z62" s="209"/>
      <c r="AA62" s="209"/>
      <c r="AB62" s="209"/>
      <c r="AC62" s="209"/>
      <c r="AD62" s="209"/>
      <c r="AE62" s="209"/>
      <c r="AF62" s="209"/>
      <c r="AG62" s="209"/>
      <c r="AH62" s="209"/>
      <c r="AI62" s="209"/>
      <c r="AJ62" s="209"/>
      <c r="AK62" s="209"/>
      <c r="AL62" s="209"/>
      <c r="AM62" s="209"/>
      <c r="AN62" s="209"/>
      <c r="AO62" s="209"/>
      <c r="AP62" s="209"/>
      <c r="AQ62" s="209"/>
      <c r="AR62" s="209"/>
      <c r="AS62" s="209"/>
      <c r="AT62" s="209"/>
      <c r="AU62" s="209"/>
      <c r="AV62" s="209"/>
      <c r="AW62" s="209"/>
      <c r="AX62" s="209"/>
      <c r="AY62" s="209"/>
      <c r="AZ62" s="209"/>
      <c r="BA62" s="209"/>
      <c r="BB62" s="209"/>
      <c r="BC62" s="209"/>
      <c r="BD62" s="209"/>
      <c r="BE62" s="209"/>
      <c r="BF62" s="209"/>
      <c r="BG62" s="209"/>
      <c r="BH62" s="209"/>
      <c r="BI62" s="209"/>
      <c r="BJ62" s="209"/>
      <c r="BK62" s="209"/>
      <c r="BL62" s="209"/>
      <c r="BM62" s="209"/>
      <c r="BN62" s="209"/>
      <c r="BO62" s="209"/>
      <c r="BP62" s="209"/>
      <c r="BQ62" s="209"/>
      <c r="BR62" s="209"/>
      <c r="BS62" s="209"/>
      <c r="BT62" s="209"/>
      <c r="BU62" s="209"/>
      <c r="BV62" s="209"/>
      <c r="BW62" s="209"/>
      <c r="BX62" s="209"/>
      <c r="BY62" s="209"/>
      <c r="BZ62" s="209"/>
      <c r="CA62" s="209"/>
      <c r="CB62" s="209"/>
      <c r="CC62" s="209"/>
      <c r="CD62" s="209"/>
      <c r="CE62" s="209"/>
      <c r="CF62" s="209"/>
      <c r="CG62" s="209"/>
      <c r="CH62" s="209"/>
      <c r="CI62" s="209"/>
      <c r="CJ62" s="209"/>
      <c r="CK62" s="209"/>
      <c r="CL62" s="209"/>
      <c r="CM62" s="209"/>
      <c r="CN62" s="209"/>
      <c r="CO62" s="209"/>
      <c r="CP62" s="209"/>
      <c r="CQ62" s="209"/>
      <c r="CR62" s="209"/>
      <c r="CS62" s="209"/>
      <c r="CT62" s="209"/>
      <c r="CU62" s="209"/>
      <c r="CV62" s="209"/>
      <c r="CW62" s="209"/>
      <c r="CX62" s="209"/>
      <c r="CY62" s="209"/>
      <c r="CZ62" s="209"/>
      <c r="DA62" s="209"/>
      <c r="DB62" s="209"/>
      <c r="DC62" s="209"/>
      <c r="DD62" s="209"/>
      <c r="DE62" s="209"/>
      <c r="DF62" s="209"/>
      <c r="DG62" s="209"/>
      <c r="DH62" s="209"/>
      <c r="DI62" s="209"/>
      <c r="DJ62" s="209"/>
      <c r="DK62" s="209"/>
      <c r="DL62" s="209"/>
      <c r="DM62" s="209"/>
      <c r="DN62" s="209"/>
      <c r="DO62" s="209"/>
      <c r="DP62" s="209"/>
      <c r="DQ62" s="209"/>
      <c r="DR62" s="209"/>
      <c r="DS62" s="209"/>
      <c r="DT62" s="209"/>
      <c r="DU62" s="209"/>
      <c r="DV62" s="209"/>
      <c r="DW62" s="209"/>
      <c r="DX62" s="209"/>
      <c r="DY62" s="209"/>
      <c r="DZ62" s="209"/>
      <c r="EA62" s="209"/>
      <c r="EB62" s="209"/>
      <c r="EC62" s="209"/>
      <c r="ED62" s="209"/>
      <c r="EE62" s="209"/>
      <c r="EF62" s="209"/>
      <c r="EG62" s="209"/>
      <c r="EH62" s="209"/>
      <c r="EI62" s="209"/>
      <c r="EJ62" s="209"/>
      <c r="EK62" s="209"/>
      <c r="EL62" s="209"/>
      <c r="EM62" s="209"/>
      <c r="EN62" s="209"/>
      <c r="EO62" s="209"/>
      <c r="EP62" s="209"/>
      <c r="EQ62" s="209"/>
      <c r="ER62" s="209"/>
      <c r="ES62" s="209"/>
      <c r="ET62" s="209"/>
      <c r="EU62" s="209"/>
      <c r="EV62" s="209"/>
    </row>
    <row r="63" spans="1:152" s="389" customFormat="1" ht="14.4">
      <c r="A63" s="324"/>
      <c r="B63" s="357"/>
      <c r="C63" s="294"/>
      <c r="D63" s="209"/>
      <c r="E63" s="331"/>
      <c r="F63" s="294"/>
      <c r="G63" s="391"/>
      <c r="H63" s="392"/>
      <c r="I63" s="393"/>
      <c r="J63" s="395"/>
      <c r="K63" s="209"/>
      <c r="L63" s="209"/>
      <c r="M63" s="394"/>
      <c r="N63" s="209"/>
      <c r="O63" s="209"/>
      <c r="P63" s="209"/>
      <c r="Q63" s="209"/>
      <c r="R63" s="209"/>
      <c r="S63" s="209"/>
      <c r="T63" s="209"/>
      <c r="U63" s="209"/>
      <c r="V63" s="209"/>
      <c r="W63" s="209"/>
      <c r="X63" s="209"/>
      <c r="Y63" s="209"/>
      <c r="Z63" s="209"/>
      <c r="AA63" s="209"/>
      <c r="AB63" s="209"/>
      <c r="AC63" s="209"/>
      <c r="AD63" s="209"/>
      <c r="AE63" s="209"/>
      <c r="AF63" s="209"/>
      <c r="AG63" s="209"/>
      <c r="AH63" s="209"/>
      <c r="AI63" s="209"/>
      <c r="AJ63" s="209"/>
      <c r="AK63" s="209"/>
      <c r="AL63" s="209"/>
      <c r="AM63" s="209"/>
      <c r="AN63" s="209"/>
      <c r="AO63" s="209"/>
      <c r="AP63" s="209"/>
      <c r="AQ63" s="209"/>
      <c r="AR63" s="209"/>
      <c r="AS63" s="209"/>
      <c r="AT63" s="209"/>
      <c r="AU63" s="209"/>
      <c r="AV63" s="209"/>
      <c r="AW63" s="209"/>
      <c r="AX63" s="209"/>
      <c r="AY63" s="209"/>
      <c r="AZ63" s="209"/>
      <c r="BA63" s="209"/>
      <c r="BB63" s="209"/>
      <c r="BC63" s="209"/>
      <c r="BD63" s="209"/>
      <c r="BE63" s="209"/>
      <c r="BF63" s="209"/>
      <c r="BG63" s="209"/>
      <c r="BH63" s="209"/>
      <c r="BI63" s="209"/>
      <c r="BJ63" s="209"/>
      <c r="BK63" s="209"/>
      <c r="BL63" s="209"/>
      <c r="BM63" s="209"/>
      <c r="BN63" s="209"/>
      <c r="BO63" s="209"/>
      <c r="BP63" s="209"/>
      <c r="BQ63" s="209"/>
      <c r="BR63" s="209"/>
      <c r="BS63" s="209"/>
      <c r="BT63" s="209"/>
      <c r="BU63" s="209"/>
      <c r="BV63" s="209"/>
      <c r="BW63" s="209"/>
      <c r="BX63" s="209"/>
      <c r="BY63" s="209"/>
      <c r="BZ63" s="209"/>
      <c r="CA63" s="209"/>
      <c r="CB63" s="209"/>
      <c r="CC63" s="209"/>
      <c r="CD63" s="209"/>
      <c r="CE63" s="209"/>
      <c r="CF63" s="209"/>
      <c r="CG63" s="209"/>
      <c r="CH63" s="209"/>
      <c r="CI63" s="209"/>
      <c r="CJ63" s="209"/>
      <c r="CK63" s="209"/>
      <c r="CL63" s="209"/>
      <c r="CM63" s="209"/>
      <c r="CN63" s="209"/>
      <c r="CO63" s="209"/>
      <c r="CP63" s="209"/>
      <c r="CQ63" s="209"/>
      <c r="CR63" s="209"/>
      <c r="CS63" s="209"/>
      <c r="CT63" s="209"/>
      <c r="CU63" s="209"/>
      <c r="CV63" s="209"/>
      <c r="CW63" s="209"/>
      <c r="CX63" s="209"/>
      <c r="CY63" s="209"/>
      <c r="CZ63" s="209"/>
      <c r="DA63" s="209"/>
      <c r="DB63" s="209"/>
      <c r="DC63" s="209"/>
      <c r="DD63" s="209"/>
      <c r="DE63" s="209"/>
      <c r="DF63" s="209"/>
      <c r="DG63" s="209"/>
      <c r="DH63" s="209"/>
      <c r="DI63" s="209"/>
      <c r="DJ63" s="209"/>
      <c r="DK63" s="209"/>
      <c r="DL63" s="209"/>
      <c r="DM63" s="209"/>
      <c r="DN63" s="209"/>
      <c r="DO63" s="209"/>
      <c r="DP63" s="209"/>
      <c r="DQ63" s="209"/>
      <c r="DR63" s="209"/>
      <c r="DS63" s="209"/>
      <c r="DT63" s="209"/>
      <c r="DU63" s="209"/>
      <c r="DV63" s="209"/>
      <c r="DW63" s="209"/>
      <c r="DX63" s="209"/>
      <c r="DY63" s="209"/>
      <c r="DZ63" s="209"/>
      <c r="EA63" s="209"/>
      <c r="EB63" s="209"/>
      <c r="EC63" s="209"/>
      <c r="ED63" s="209"/>
      <c r="EE63" s="209"/>
      <c r="EF63" s="209"/>
      <c r="EG63" s="209"/>
      <c r="EH63" s="209"/>
      <c r="EI63" s="209"/>
      <c r="EJ63" s="209"/>
      <c r="EK63" s="209"/>
      <c r="EL63" s="209"/>
      <c r="EM63" s="209"/>
      <c r="EN63" s="209"/>
      <c r="EO63" s="209"/>
      <c r="EP63" s="209"/>
      <c r="EQ63" s="209"/>
      <c r="ER63" s="209"/>
      <c r="ES63" s="209"/>
      <c r="ET63" s="209"/>
      <c r="EU63" s="209"/>
      <c r="EV63" s="209"/>
    </row>
    <row r="64" spans="1:152" s="389" customFormat="1">
      <c r="A64" s="324">
        <f>+A55+1</f>
        <v>172</v>
      </c>
      <c r="B64" s="260"/>
      <c r="C64" s="294" t="s">
        <v>410</v>
      </c>
      <c r="D64" s="355"/>
      <c r="E64" s="355"/>
      <c r="F64" s="294" t="s">
        <v>411</v>
      </c>
      <c r="G64" s="396">
        <v>0</v>
      </c>
      <c r="H64" s="397">
        <v>0</v>
      </c>
      <c r="I64" s="322">
        <f>+G64-H64</f>
        <v>0</v>
      </c>
      <c r="J64" s="209"/>
      <c r="K64" s="209"/>
      <c r="L64" s="209"/>
      <c r="M64" s="394"/>
      <c r="N64" s="209"/>
      <c r="O64" s="209"/>
      <c r="P64" s="209"/>
      <c r="Q64" s="209"/>
      <c r="R64" s="209"/>
      <c r="S64" s="209"/>
      <c r="T64" s="209"/>
      <c r="U64" s="209"/>
      <c r="V64" s="209"/>
      <c r="W64" s="209"/>
      <c r="X64" s="209"/>
      <c r="Y64" s="209"/>
      <c r="Z64" s="209"/>
      <c r="AA64" s="209"/>
      <c r="AB64" s="209"/>
      <c r="AC64" s="209"/>
      <c r="AD64" s="209"/>
      <c r="AE64" s="209"/>
      <c r="AF64" s="209"/>
      <c r="AG64" s="209"/>
      <c r="AH64" s="209"/>
      <c r="AI64" s="209"/>
      <c r="AJ64" s="209"/>
      <c r="AK64" s="209"/>
      <c r="AL64" s="209"/>
      <c r="AM64" s="209"/>
      <c r="AN64" s="209"/>
      <c r="AO64" s="209"/>
      <c r="AP64" s="209"/>
      <c r="AQ64" s="209"/>
      <c r="AR64" s="209"/>
      <c r="AS64" s="209"/>
      <c r="AT64" s="209"/>
      <c r="AU64" s="209"/>
      <c r="AV64" s="209"/>
      <c r="AW64" s="209"/>
      <c r="AX64" s="209"/>
      <c r="AY64" s="209"/>
      <c r="AZ64" s="209"/>
      <c r="BA64" s="209"/>
      <c r="BB64" s="209"/>
      <c r="BC64" s="209"/>
      <c r="BD64" s="209"/>
      <c r="BE64" s="209"/>
      <c r="BF64" s="209"/>
      <c r="BG64" s="209"/>
      <c r="BH64" s="209"/>
      <c r="BI64" s="209"/>
      <c r="BJ64" s="209"/>
      <c r="BK64" s="209"/>
      <c r="BL64" s="209"/>
      <c r="BM64" s="209"/>
      <c r="BN64" s="209"/>
      <c r="BO64" s="209"/>
      <c r="BP64" s="209"/>
      <c r="BQ64" s="209"/>
      <c r="BR64" s="209"/>
      <c r="BS64" s="209"/>
      <c r="BT64" s="209"/>
      <c r="BU64" s="209"/>
      <c r="BV64" s="209"/>
      <c r="BW64" s="209"/>
      <c r="BX64" s="209"/>
      <c r="BY64" s="209"/>
      <c r="BZ64" s="209"/>
      <c r="CA64" s="209"/>
      <c r="CB64" s="209"/>
      <c r="CC64" s="209"/>
      <c r="CD64" s="209"/>
      <c r="CE64" s="209"/>
      <c r="CF64" s="209"/>
      <c r="CG64" s="209"/>
      <c r="CH64" s="209"/>
      <c r="CI64" s="209"/>
      <c r="CJ64" s="209"/>
      <c r="CK64" s="209"/>
      <c r="CL64" s="209"/>
      <c r="CM64" s="209"/>
      <c r="CN64" s="209"/>
      <c r="CO64" s="209"/>
      <c r="CP64" s="209"/>
      <c r="CQ64" s="209"/>
      <c r="CR64" s="209"/>
      <c r="CS64" s="209"/>
      <c r="CT64" s="209"/>
      <c r="CU64" s="209"/>
      <c r="CV64" s="209"/>
      <c r="CW64" s="209"/>
      <c r="CX64" s="209"/>
      <c r="CY64" s="209"/>
      <c r="CZ64" s="209"/>
      <c r="DA64" s="209"/>
      <c r="DB64" s="209"/>
      <c r="DC64" s="209"/>
      <c r="DD64" s="209"/>
      <c r="DE64" s="209"/>
      <c r="DF64" s="209"/>
      <c r="DG64" s="209"/>
      <c r="DH64" s="209"/>
      <c r="DI64" s="209"/>
      <c r="DJ64" s="209"/>
      <c r="DK64" s="209"/>
      <c r="DL64" s="209"/>
      <c r="DM64" s="209"/>
      <c r="DN64" s="209"/>
      <c r="DO64" s="209"/>
      <c r="DP64" s="209"/>
      <c r="DQ64" s="209"/>
      <c r="DR64" s="209"/>
      <c r="DS64" s="209"/>
      <c r="DT64" s="209"/>
      <c r="DU64" s="209"/>
      <c r="DV64" s="209"/>
      <c r="DW64" s="209"/>
      <c r="DX64" s="209"/>
      <c r="DY64" s="209"/>
      <c r="DZ64" s="209"/>
      <c r="EA64" s="209"/>
      <c r="EB64" s="209"/>
      <c r="EC64" s="209"/>
      <c r="ED64" s="209"/>
      <c r="EE64" s="209"/>
      <c r="EF64" s="209"/>
      <c r="EG64" s="209"/>
      <c r="EH64" s="209"/>
      <c r="EI64" s="209"/>
      <c r="EJ64" s="209"/>
      <c r="EK64" s="209"/>
      <c r="EL64" s="209"/>
      <c r="EM64" s="209"/>
      <c r="EN64" s="209"/>
      <c r="EO64" s="209"/>
      <c r="EP64" s="209"/>
      <c r="EQ64" s="209"/>
      <c r="ER64" s="209"/>
      <c r="ES64" s="209"/>
      <c r="ET64" s="209"/>
      <c r="EU64" s="209"/>
      <c r="EV64" s="209"/>
    </row>
    <row r="65" spans="1:152" s="389" customFormat="1">
      <c r="A65" s="324"/>
      <c r="B65" s="357"/>
      <c r="C65" s="294"/>
      <c r="D65" s="209"/>
      <c r="E65" s="331"/>
      <c r="F65" s="294"/>
      <c r="G65" s="391"/>
      <c r="H65" s="392"/>
      <c r="I65" s="393"/>
      <c r="J65" s="209"/>
      <c r="K65" s="209"/>
      <c r="L65" s="209"/>
      <c r="M65" s="394"/>
      <c r="N65" s="209"/>
      <c r="O65" s="209"/>
      <c r="P65" s="209"/>
      <c r="Q65" s="209"/>
      <c r="R65" s="209"/>
      <c r="S65" s="209"/>
      <c r="T65" s="209"/>
      <c r="U65" s="209"/>
      <c r="V65" s="209"/>
      <c r="W65" s="209"/>
      <c r="X65" s="209"/>
      <c r="Y65" s="209"/>
      <c r="Z65" s="209"/>
      <c r="AA65" s="209"/>
      <c r="AB65" s="209"/>
      <c r="AC65" s="209"/>
      <c r="AD65" s="209"/>
      <c r="AE65" s="209"/>
      <c r="AF65" s="209"/>
      <c r="AG65" s="209"/>
      <c r="AH65" s="209"/>
      <c r="AI65" s="209"/>
      <c r="AJ65" s="209"/>
      <c r="AK65" s="209"/>
      <c r="AL65" s="209"/>
      <c r="AM65" s="209"/>
      <c r="AN65" s="209"/>
      <c r="AO65" s="209"/>
      <c r="AP65" s="209"/>
      <c r="AQ65" s="209"/>
      <c r="AR65" s="209"/>
      <c r="AS65" s="209"/>
      <c r="AT65" s="209"/>
      <c r="AU65" s="209"/>
      <c r="AV65" s="209"/>
      <c r="AW65" s="209"/>
      <c r="AX65" s="209"/>
      <c r="AY65" s="209"/>
      <c r="AZ65" s="209"/>
      <c r="BA65" s="209"/>
      <c r="BB65" s="209"/>
      <c r="BC65" s="209"/>
      <c r="BD65" s="209"/>
      <c r="BE65" s="209"/>
      <c r="BF65" s="209"/>
      <c r="BG65" s="209"/>
      <c r="BH65" s="209"/>
      <c r="BI65" s="209"/>
      <c r="BJ65" s="209"/>
      <c r="BK65" s="209"/>
      <c r="BL65" s="209"/>
      <c r="BM65" s="209"/>
      <c r="BN65" s="209"/>
      <c r="BO65" s="209"/>
      <c r="BP65" s="209"/>
      <c r="BQ65" s="209"/>
      <c r="BR65" s="209"/>
      <c r="BS65" s="209"/>
      <c r="BT65" s="209"/>
      <c r="BU65" s="209"/>
      <c r="BV65" s="209"/>
      <c r="BW65" s="209"/>
      <c r="BX65" s="209"/>
      <c r="BY65" s="209"/>
      <c r="BZ65" s="209"/>
      <c r="CA65" s="209"/>
      <c r="CB65" s="209"/>
      <c r="CC65" s="209"/>
      <c r="CD65" s="209"/>
      <c r="CE65" s="209"/>
      <c r="CF65" s="209"/>
      <c r="CG65" s="209"/>
      <c r="CH65" s="209"/>
      <c r="CI65" s="209"/>
      <c r="CJ65" s="209"/>
      <c r="CK65" s="209"/>
      <c r="CL65" s="209"/>
      <c r="CM65" s="209"/>
      <c r="CN65" s="209"/>
      <c r="CO65" s="209"/>
      <c r="CP65" s="209"/>
      <c r="CQ65" s="209"/>
      <c r="CR65" s="209"/>
      <c r="CS65" s="209"/>
      <c r="CT65" s="209"/>
      <c r="CU65" s="209"/>
      <c r="CV65" s="209"/>
      <c r="CW65" s="209"/>
      <c r="CX65" s="209"/>
      <c r="CY65" s="209"/>
      <c r="CZ65" s="209"/>
      <c r="DA65" s="209"/>
      <c r="DB65" s="209"/>
      <c r="DC65" s="209"/>
      <c r="DD65" s="209"/>
      <c r="DE65" s="209"/>
      <c r="DF65" s="209"/>
      <c r="DG65" s="209"/>
      <c r="DH65" s="209"/>
      <c r="DI65" s="209"/>
      <c r="DJ65" s="209"/>
      <c r="DK65" s="209"/>
      <c r="DL65" s="209"/>
      <c r="DM65" s="209"/>
      <c r="DN65" s="209"/>
      <c r="DO65" s="209"/>
      <c r="DP65" s="209"/>
      <c r="DQ65" s="209"/>
      <c r="DR65" s="209"/>
      <c r="DS65" s="209"/>
      <c r="DT65" s="209"/>
      <c r="DU65" s="209"/>
      <c r="DV65" s="209"/>
      <c r="DW65" s="209"/>
      <c r="DX65" s="209"/>
      <c r="DY65" s="209"/>
      <c r="DZ65" s="209"/>
      <c r="EA65" s="209"/>
      <c r="EB65" s="209"/>
      <c r="EC65" s="209"/>
      <c r="ED65" s="209"/>
      <c r="EE65" s="209"/>
      <c r="EF65" s="209"/>
      <c r="EG65" s="209"/>
      <c r="EH65" s="209"/>
      <c r="EI65" s="209"/>
      <c r="EJ65" s="209"/>
      <c r="EK65" s="209"/>
      <c r="EL65" s="209"/>
      <c r="EM65" s="209"/>
      <c r="EN65" s="209"/>
      <c r="EO65" s="209"/>
      <c r="EP65" s="209"/>
      <c r="EQ65" s="209"/>
      <c r="ER65" s="209"/>
      <c r="ES65" s="209"/>
      <c r="ET65" s="209"/>
      <c r="EU65" s="209"/>
      <c r="EV65" s="209"/>
    </row>
    <row r="66" spans="1:152" s="389" customFormat="1" ht="13.8" thickBot="1">
      <c r="A66" s="398"/>
      <c r="B66" s="342"/>
      <c r="C66" s="342"/>
      <c r="D66" s="342"/>
      <c r="E66" s="342"/>
      <c r="F66" s="342"/>
      <c r="G66" s="398" t="s">
        <v>412</v>
      </c>
      <c r="H66" s="342"/>
      <c r="I66" s="342"/>
      <c r="J66" s="1194"/>
      <c r="K66" s="1194"/>
      <c r="L66" s="1194"/>
      <c r="M66" s="1195"/>
      <c r="N66" s="209"/>
      <c r="O66" s="209"/>
      <c r="P66" s="209"/>
      <c r="Q66" s="209"/>
      <c r="R66" s="209"/>
      <c r="S66" s="209"/>
      <c r="T66" s="209"/>
      <c r="U66" s="209"/>
      <c r="V66" s="209"/>
      <c r="W66" s="209"/>
      <c r="X66" s="209"/>
      <c r="Y66" s="209"/>
      <c r="Z66" s="209"/>
      <c r="AA66" s="209"/>
      <c r="AB66" s="209"/>
      <c r="AC66" s="209"/>
      <c r="AD66" s="209"/>
      <c r="AE66" s="209"/>
      <c r="AF66" s="209"/>
      <c r="AG66" s="209"/>
      <c r="AH66" s="209"/>
      <c r="AI66" s="209"/>
      <c r="AJ66" s="209"/>
      <c r="AK66" s="209"/>
      <c r="AL66" s="209"/>
      <c r="AM66" s="209"/>
      <c r="AN66" s="209"/>
      <c r="AO66" s="209"/>
      <c r="AP66" s="209"/>
      <c r="AQ66" s="209"/>
      <c r="AR66" s="209"/>
      <c r="AS66" s="209"/>
      <c r="AT66" s="209"/>
      <c r="AU66" s="209"/>
      <c r="AV66" s="209"/>
      <c r="AW66" s="209"/>
      <c r="AX66" s="209"/>
      <c r="AY66" s="209"/>
      <c r="AZ66" s="209"/>
      <c r="BA66" s="209"/>
      <c r="BB66" s="209"/>
      <c r="BC66" s="209"/>
      <c r="BD66" s="209"/>
      <c r="BE66" s="209"/>
      <c r="BF66" s="209"/>
      <c r="BG66" s="209"/>
      <c r="BH66" s="209"/>
      <c r="BI66" s="209"/>
      <c r="BJ66" s="209"/>
      <c r="BK66" s="209"/>
      <c r="BL66" s="209"/>
      <c r="BM66" s="209"/>
      <c r="BN66" s="209"/>
      <c r="BO66" s="209"/>
      <c r="BP66" s="209"/>
      <c r="BQ66" s="209"/>
      <c r="BR66" s="209"/>
      <c r="BS66" s="209"/>
      <c r="BT66" s="209"/>
      <c r="BU66" s="209"/>
      <c r="BV66" s="209"/>
      <c r="BW66" s="209"/>
      <c r="BX66" s="209"/>
      <c r="BY66" s="209"/>
      <c r="BZ66" s="209"/>
      <c r="CA66" s="209"/>
      <c r="CB66" s="209"/>
      <c r="CC66" s="209"/>
      <c r="CD66" s="209"/>
      <c r="CE66" s="209"/>
      <c r="CF66" s="209"/>
      <c r="CG66" s="209"/>
      <c r="CH66" s="209"/>
      <c r="CI66" s="209"/>
      <c r="CJ66" s="209"/>
      <c r="CK66" s="209"/>
      <c r="CL66" s="209"/>
      <c r="CM66" s="209"/>
      <c r="CN66" s="209"/>
      <c r="CO66" s="209"/>
      <c r="CP66" s="209"/>
      <c r="CQ66" s="209"/>
      <c r="CR66" s="209"/>
      <c r="CS66" s="209"/>
      <c r="CT66" s="209"/>
      <c r="CU66" s="209"/>
      <c r="CV66" s="209"/>
      <c r="CW66" s="209"/>
      <c r="CX66" s="209"/>
      <c r="CY66" s="209"/>
      <c r="CZ66" s="209"/>
      <c r="DA66" s="209"/>
      <c r="DB66" s="209"/>
      <c r="DC66" s="209"/>
      <c r="DD66" s="209"/>
      <c r="DE66" s="209"/>
      <c r="DF66" s="209"/>
      <c r="DG66" s="209"/>
      <c r="DH66" s="209"/>
      <c r="DI66" s="209"/>
      <c r="DJ66" s="209"/>
      <c r="DK66" s="209"/>
      <c r="DL66" s="209"/>
      <c r="DM66" s="209"/>
      <c r="DN66" s="209"/>
      <c r="DO66" s="209"/>
      <c r="DP66" s="209"/>
      <c r="DQ66" s="209"/>
      <c r="DR66" s="209"/>
      <c r="DS66" s="209"/>
      <c r="DT66" s="209"/>
      <c r="DU66" s="209"/>
      <c r="DV66" s="209"/>
      <c r="DW66" s="209"/>
      <c r="DX66" s="209"/>
      <c r="DY66" s="209"/>
      <c r="DZ66" s="209"/>
      <c r="EA66" s="209"/>
      <c r="EB66" s="209"/>
      <c r="EC66" s="209"/>
      <c r="ED66" s="209"/>
      <c r="EE66" s="209"/>
      <c r="EF66" s="209"/>
      <c r="EG66" s="209"/>
      <c r="EH66" s="209"/>
      <c r="EI66" s="209"/>
      <c r="EJ66" s="209"/>
      <c r="EK66" s="209"/>
      <c r="EL66" s="209"/>
      <c r="EM66" s="209"/>
      <c r="EN66" s="209"/>
      <c r="EO66" s="209"/>
      <c r="EP66" s="209"/>
      <c r="EQ66" s="209"/>
      <c r="ER66" s="209"/>
      <c r="ES66" s="209"/>
      <c r="ET66" s="209"/>
      <c r="EU66" s="209"/>
      <c r="EV66" s="209"/>
    </row>
    <row r="69" spans="1:152" ht="13.8" thickBot="1">
      <c r="A69" s="295" t="s">
        <v>413</v>
      </c>
    </row>
    <row r="70" spans="1:152">
      <c r="A70" s="1172"/>
      <c r="B70" s="1173"/>
      <c r="C70" s="1173"/>
      <c r="D70" s="1173"/>
      <c r="E70" s="1173"/>
      <c r="F70" s="1196"/>
      <c r="G70" s="356" t="s">
        <v>414</v>
      </c>
      <c r="H70" s="356" t="s">
        <v>415</v>
      </c>
      <c r="I70" s="356" t="s">
        <v>416</v>
      </c>
      <c r="J70" s="356" t="s">
        <v>417</v>
      </c>
      <c r="K70" s="356" t="s">
        <v>418</v>
      </c>
      <c r="L70" s="1197" t="s">
        <v>419</v>
      </c>
      <c r="M70" s="1198"/>
    </row>
    <row r="71" spans="1:152">
      <c r="A71" s="324" t="s">
        <v>24</v>
      </c>
      <c r="B71" s="399" t="s">
        <v>420</v>
      </c>
      <c r="E71" s="258"/>
      <c r="F71" s="400"/>
      <c r="M71" s="394"/>
      <c r="Q71" s="401"/>
    </row>
    <row r="72" spans="1:152">
      <c r="A72" s="324"/>
      <c r="B72" s="399"/>
      <c r="C72" s="209" t="s">
        <v>421</v>
      </c>
      <c r="E72" s="258"/>
      <c r="F72" s="400"/>
      <c r="G72" s="402">
        <v>1</v>
      </c>
      <c r="H72" s="403"/>
      <c r="I72" s="403"/>
      <c r="J72" s="403"/>
      <c r="K72" s="403"/>
      <c r="L72" s="393"/>
      <c r="M72" s="404"/>
    </row>
    <row r="73" spans="1:152">
      <c r="A73" s="324">
        <f>+A64+1</f>
        <v>173</v>
      </c>
      <c r="B73" s="399"/>
      <c r="C73" s="294" t="s">
        <v>422</v>
      </c>
      <c r="E73" s="258"/>
      <c r="F73" s="400"/>
      <c r="G73" s="405">
        <v>6.5000000000000002E-2</v>
      </c>
      <c r="H73" s="406"/>
      <c r="I73" s="407"/>
      <c r="J73" s="407"/>
      <c r="K73" s="403"/>
      <c r="M73" s="1153">
        <v>6.5000000000000002E-2</v>
      </c>
    </row>
    <row r="74" spans="1:152">
      <c r="A74" s="324"/>
      <c r="B74" s="399"/>
      <c r="C74" s="209" t="s">
        <v>423</v>
      </c>
      <c r="E74" s="258"/>
      <c r="F74" s="400"/>
      <c r="G74" s="408"/>
      <c r="H74" s="409"/>
      <c r="I74" s="410"/>
      <c r="J74" s="410"/>
      <c r="K74" s="261"/>
      <c r="M74" s="411"/>
    </row>
    <row r="75" spans="1:152">
      <c r="A75" s="324"/>
      <c r="B75" s="399"/>
      <c r="E75" s="258"/>
      <c r="F75" s="400"/>
      <c r="G75" s="408"/>
      <c r="H75" s="409"/>
      <c r="I75" s="410"/>
      <c r="J75" s="410"/>
      <c r="K75" s="261"/>
      <c r="M75" s="411"/>
    </row>
    <row r="76" spans="1:152">
      <c r="A76" s="324" t="s">
        <v>424</v>
      </c>
      <c r="B76" s="399"/>
      <c r="C76" s="209" t="s">
        <v>425</v>
      </c>
      <c r="E76" s="258"/>
      <c r="F76" s="400"/>
      <c r="G76" s="408"/>
      <c r="H76" s="409"/>
      <c r="I76" s="410"/>
      <c r="J76" s="410"/>
      <c r="K76" s="261"/>
      <c r="M76" s="1154">
        <f>'8c - WP Inc Tax Adj'!D10</f>
        <v>100962.90255000001</v>
      </c>
    </row>
    <row r="77" spans="1:152" ht="13.8" thickBot="1">
      <c r="A77" s="398"/>
      <c r="B77" s="338"/>
      <c r="C77" s="342"/>
      <c r="D77" s="412"/>
      <c r="E77" s="413"/>
      <c r="F77" s="414"/>
      <c r="G77" s="342"/>
      <c r="H77" s="342"/>
      <c r="I77" s="342"/>
      <c r="J77" s="342"/>
      <c r="K77" s="342"/>
      <c r="L77" s="342"/>
      <c r="M77" s="415"/>
      <c r="N77" s="416"/>
      <c r="O77" s="246"/>
    </row>
    <row r="79" spans="1:152" ht="13.8" thickBot="1">
      <c r="A79" s="417" t="s">
        <v>426</v>
      </c>
    </row>
    <row r="80" spans="1:152" ht="39.6">
      <c r="A80" s="1199"/>
      <c r="B80" s="1200"/>
      <c r="C80" s="1200"/>
      <c r="D80" s="1200"/>
      <c r="E80" s="1200"/>
      <c r="F80" s="1201"/>
      <c r="G80" s="418" t="s">
        <v>403</v>
      </c>
      <c r="H80" s="419" t="s">
        <v>427</v>
      </c>
      <c r="I80" s="419" t="s">
        <v>405</v>
      </c>
      <c r="J80" s="1202" t="s">
        <v>360</v>
      </c>
      <c r="K80" s="1202"/>
      <c r="L80" s="1202"/>
      <c r="M80" s="1203"/>
    </row>
    <row r="81" spans="1:13">
      <c r="A81" s="324"/>
      <c r="B81" s="357" t="s">
        <v>407</v>
      </c>
      <c r="E81" s="258"/>
      <c r="F81" s="394"/>
      <c r="G81" s="391" t="s">
        <v>399</v>
      </c>
      <c r="H81" s="392" t="s">
        <v>408</v>
      </c>
      <c r="I81" s="393" t="s">
        <v>409</v>
      </c>
      <c r="M81" s="394"/>
    </row>
    <row r="82" spans="1:13">
      <c r="A82" s="324">
        <f>+A73+1</f>
        <v>174</v>
      </c>
      <c r="B82" s="260"/>
      <c r="C82" s="294" t="s">
        <v>428</v>
      </c>
      <c r="E82" s="261"/>
      <c r="F82" s="209" t="s">
        <v>305</v>
      </c>
      <c r="G82" s="396"/>
      <c r="H82" s="397"/>
      <c r="I82" s="420">
        <f>G82-H82</f>
        <v>0</v>
      </c>
      <c r="M82" s="394"/>
    </row>
    <row r="83" spans="1:13">
      <c r="A83" s="324"/>
      <c r="B83" s="357"/>
      <c r="E83" s="258"/>
      <c r="F83" s="394"/>
      <c r="G83" s="382"/>
      <c r="M83" s="394"/>
    </row>
    <row r="84" spans="1:13">
      <c r="A84" s="324"/>
      <c r="B84" s="357"/>
      <c r="C84" s="209" t="s">
        <v>429</v>
      </c>
      <c r="E84" s="258"/>
      <c r="F84" s="394"/>
      <c r="G84" s="382"/>
      <c r="M84" s="394"/>
    </row>
    <row r="85" spans="1:13">
      <c r="A85" s="324"/>
      <c r="B85" s="357"/>
      <c r="C85" s="209" t="s">
        <v>430</v>
      </c>
      <c r="E85" s="258"/>
      <c r="F85" s="394"/>
      <c r="G85" s="382"/>
      <c r="M85" s="394"/>
    </row>
    <row r="86" spans="1:13">
      <c r="A86" s="324"/>
      <c r="B86" s="357"/>
      <c r="C86" s="209" t="s">
        <v>431</v>
      </c>
      <c r="E86" s="258"/>
      <c r="F86" s="394"/>
      <c r="G86" s="382"/>
      <c r="M86" s="394"/>
    </row>
    <row r="87" spans="1:13">
      <c r="A87" s="324"/>
      <c r="B87" s="357"/>
      <c r="C87" s="209" t="s">
        <v>432</v>
      </c>
      <c r="F87" s="394"/>
      <c r="G87" s="382"/>
      <c r="M87" s="394"/>
    </row>
    <row r="88" spans="1:13" ht="13.8" thickBot="1">
      <c r="A88" s="398"/>
      <c r="B88" s="342"/>
      <c r="C88" s="342" t="s">
        <v>433</v>
      </c>
      <c r="D88" s="342"/>
      <c r="E88" s="342"/>
      <c r="F88" s="385"/>
      <c r="G88" s="398"/>
      <c r="H88" s="342"/>
      <c r="I88" s="342"/>
      <c r="J88" s="1181"/>
      <c r="K88" s="1181"/>
      <c r="L88" s="1181"/>
      <c r="M88" s="1182"/>
    </row>
    <row r="90" spans="1:13" ht="13.8" thickBot="1">
      <c r="A90" s="295" t="s">
        <v>434</v>
      </c>
    </row>
    <row r="91" spans="1:13" ht="66.75" customHeight="1">
      <c r="A91" s="1172"/>
      <c r="B91" s="1173"/>
      <c r="C91" s="1173"/>
      <c r="D91" s="1173"/>
      <c r="E91" s="1173"/>
      <c r="F91" s="1173"/>
      <c r="G91" s="421" t="str">
        <f>+C93</f>
        <v>Excluded Transmission Facilities</v>
      </c>
      <c r="H91" s="422" t="s">
        <v>435</v>
      </c>
      <c r="I91" s="1174" t="s">
        <v>436</v>
      </c>
      <c r="J91" s="1174"/>
      <c r="K91" s="1174"/>
      <c r="L91" s="1174"/>
      <c r="M91" s="1175"/>
    </row>
    <row r="92" spans="1:13">
      <c r="A92" s="391"/>
      <c r="B92" s="330" t="s">
        <v>437</v>
      </c>
      <c r="C92" s="357"/>
      <c r="D92" s="357"/>
      <c r="E92" s="392"/>
      <c r="F92" s="423"/>
      <c r="G92" s="382"/>
      <c r="M92" s="394"/>
    </row>
    <row r="93" spans="1:13" ht="12.75" customHeight="1">
      <c r="A93" s="324">
        <f>+A82+1</f>
        <v>175</v>
      </c>
      <c r="B93" s="261"/>
      <c r="C93" s="294" t="s">
        <v>438</v>
      </c>
      <c r="D93" s="357"/>
      <c r="E93" s="355"/>
      <c r="F93" s="294"/>
      <c r="G93" s="424">
        <v>0</v>
      </c>
      <c r="H93" s="425">
        <v>0</v>
      </c>
      <c r="I93" s="1176" t="s">
        <v>439</v>
      </c>
      <c r="J93" s="1176"/>
      <c r="K93" s="1176"/>
      <c r="L93" s="1176"/>
      <c r="M93" s="1177"/>
    </row>
    <row r="94" spans="1:13">
      <c r="A94" s="324"/>
      <c r="B94" s="261"/>
      <c r="D94" s="357"/>
      <c r="E94" s="331"/>
      <c r="F94" s="426"/>
      <c r="G94" s="382" t="s">
        <v>440</v>
      </c>
      <c r="M94" s="394"/>
    </row>
    <row r="95" spans="1:13" ht="13.8" thickBot="1">
      <c r="A95" s="337"/>
      <c r="B95" s="342"/>
      <c r="C95" s="342"/>
      <c r="D95" s="342"/>
      <c r="E95" s="342"/>
      <c r="F95" s="342"/>
      <c r="G95" s="398"/>
      <c r="H95" s="342"/>
      <c r="I95" s="342"/>
      <c r="J95" s="342"/>
      <c r="K95" s="427" t="s">
        <v>441</v>
      </c>
      <c r="L95" s="342"/>
      <c r="M95" s="385"/>
    </row>
    <row r="96" spans="1:13">
      <c r="K96" s="251"/>
    </row>
    <row r="97" spans="1:15">
      <c r="B97" s="261"/>
      <c r="C97" s="261"/>
      <c r="D97" s="261"/>
      <c r="E97" s="355"/>
      <c r="F97" s="261"/>
      <c r="K97" s="251"/>
    </row>
    <row r="98" spans="1:15" ht="13.8" thickBot="1">
      <c r="A98" s="295" t="s">
        <v>442</v>
      </c>
      <c r="F98" s="342"/>
    </row>
    <row r="99" spans="1:15">
      <c r="A99" s="428"/>
      <c r="B99" s="429"/>
      <c r="C99" s="429"/>
      <c r="D99" s="430"/>
      <c r="E99" s="430"/>
      <c r="F99" s="430"/>
      <c r="G99" s="356"/>
      <c r="H99" s="356"/>
      <c r="I99" s="356"/>
      <c r="J99" s="356"/>
      <c r="K99" s="356"/>
      <c r="L99" s="356"/>
      <c r="M99" s="431"/>
      <c r="N99" s="432"/>
    </row>
    <row r="100" spans="1:15" ht="31.2">
      <c r="A100" s="391"/>
      <c r="B100" s="330"/>
      <c r="C100" s="433"/>
      <c r="D100" s="434"/>
      <c r="E100" s="435" t="s">
        <v>443</v>
      </c>
      <c r="F100" s="435" t="s">
        <v>444</v>
      </c>
      <c r="G100" s="220" t="s">
        <v>37</v>
      </c>
      <c r="H100" s="330"/>
      <c r="I100" s="426"/>
      <c r="K100" s="393"/>
      <c r="M100" s="394"/>
    </row>
    <row r="101" spans="1:15" ht="15.6">
      <c r="A101" s="324"/>
      <c r="C101" s="351" t="s">
        <v>445</v>
      </c>
      <c r="E101" s="220" t="s">
        <v>446</v>
      </c>
      <c r="F101" s="220" t="s">
        <v>447</v>
      </c>
      <c r="L101" s="252"/>
      <c r="M101" s="436"/>
    </row>
    <row r="102" spans="1:15" ht="17.25" customHeight="1">
      <c r="A102" s="324"/>
      <c r="B102" s="261"/>
      <c r="C102" s="209" t="s">
        <v>448</v>
      </c>
      <c r="E102" s="393" t="s">
        <v>399</v>
      </c>
      <c r="F102" s="392" t="s">
        <v>408</v>
      </c>
      <c r="G102" s="393" t="s">
        <v>449</v>
      </c>
      <c r="I102" s="351"/>
      <c r="J102" s="437"/>
      <c r="K102" s="438"/>
      <c r="L102" s="294"/>
      <c r="M102" s="439"/>
      <c r="O102" s="246"/>
    </row>
    <row r="103" spans="1:15" ht="17.25" customHeight="1">
      <c r="A103" s="324">
        <f>+A93+1</f>
        <v>176</v>
      </c>
      <c r="B103" s="261"/>
      <c r="C103" s="209" t="s">
        <v>302</v>
      </c>
      <c r="D103" s="209" t="s">
        <v>450</v>
      </c>
      <c r="E103" s="440">
        <v>0</v>
      </c>
      <c r="F103" s="441">
        <v>0</v>
      </c>
      <c r="G103" s="266">
        <f>+E103+F103</f>
        <v>0</v>
      </c>
      <c r="J103" s="437"/>
      <c r="K103" s="438"/>
      <c r="L103" s="294"/>
      <c r="M103" s="439"/>
    </row>
    <row r="104" spans="1:15" ht="17.25" customHeight="1">
      <c r="A104" s="324">
        <f>+A103+1</f>
        <v>177</v>
      </c>
      <c r="B104" s="261"/>
      <c r="C104" s="294" t="s">
        <v>304</v>
      </c>
      <c r="D104" s="209" t="s">
        <v>451</v>
      </c>
      <c r="E104" s="442">
        <v>0</v>
      </c>
      <c r="F104" s="326">
        <v>0</v>
      </c>
      <c r="G104" s="266">
        <f t="shared" ref="G104:G115" si="3">+E104+F104</f>
        <v>0</v>
      </c>
      <c r="I104" s="351"/>
      <c r="J104" s="437"/>
      <c r="K104" s="438"/>
      <c r="L104" s="294"/>
      <c r="M104" s="439"/>
    </row>
    <row r="105" spans="1:15" ht="17.25" customHeight="1">
      <c r="A105" s="324">
        <f t="shared" ref="A105:A115" si="4">+A104+1</f>
        <v>178</v>
      </c>
      <c r="B105" s="261"/>
      <c r="C105" s="294" t="s">
        <v>306</v>
      </c>
      <c r="D105" s="209" t="s">
        <v>451</v>
      </c>
      <c r="E105" s="442">
        <v>0</v>
      </c>
      <c r="F105" s="326">
        <v>0</v>
      </c>
      <c r="G105" s="266">
        <f t="shared" si="3"/>
        <v>0</v>
      </c>
      <c r="I105" s="351"/>
      <c r="J105" s="437"/>
      <c r="K105" s="438"/>
      <c r="L105" s="294"/>
      <c r="M105" s="439"/>
    </row>
    <row r="106" spans="1:15" ht="17.25" customHeight="1">
      <c r="A106" s="324">
        <f t="shared" si="4"/>
        <v>179</v>
      </c>
      <c r="B106" s="261"/>
      <c r="C106" s="294" t="s">
        <v>307</v>
      </c>
      <c r="D106" s="209" t="s">
        <v>451</v>
      </c>
      <c r="E106" s="442">
        <v>0</v>
      </c>
      <c r="F106" s="326">
        <v>0</v>
      </c>
      <c r="G106" s="266">
        <f t="shared" si="3"/>
        <v>0</v>
      </c>
      <c r="I106" s="351"/>
      <c r="J106" s="437"/>
      <c r="K106" s="438"/>
      <c r="L106" s="294"/>
      <c r="M106" s="439"/>
    </row>
    <row r="107" spans="1:15" ht="17.25" customHeight="1">
      <c r="A107" s="324">
        <f t="shared" si="4"/>
        <v>180</v>
      </c>
      <c r="B107" s="261"/>
      <c r="C107" s="294" t="s">
        <v>308</v>
      </c>
      <c r="D107" s="209" t="s">
        <v>451</v>
      </c>
      <c r="E107" s="442">
        <v>0</v>
      </c>
      <c r="F107" s="326">
        <v>0</v>
      </c>
      <c r="G107" s="266">
        <f t="shared" si="3"/>
        <v>0</v>
      </c>
      <c r="I107" s="351"/>
      <c r="J107" s="437"/>
      <c r="K107" s="438"/>
      <c r="L107" s="294"/>
      <c r="M107" s="439"/>
    </row>
    <row r="108" spans="1:15" ht="17.25" customHeight="1">
      <c r="A108" s="324">
        <f t="shared" si="4"/>
        <v>181</v>
      </c>
      <c r="B108" s="261"/>
      <c r="C108" s="294" t="s">
        <v>309</v>
      </c>
      <c r="D108" s="209" t="s">
        <v>451</v>
      </c>
      <c r="E108" s="442">
        <v>0</v>
      </c>
      <c r="F108" s="326">
        <v>0</v>
      </c>
      <c r="G108" s="266">
        <f t="shared" si="3"/>
        <v>0</v>
      </c>
      <c r="I108" s="351"/>
      <c r="J108" s="437"/>
      <c r="K108" s="438"/>
      <c r="L108" s="294"/>
      <c r="M108" s="439"/>
    </row>
    <row r="109" spans="1:15" ht="17.25" customHeight="1">
      <c r="A109" s="324">
        <f t="shared" si="4"/>
        <v>182</v>
      </c>
      <c r="B109" s="261"/>
      <c r="C109" s="294" t="s">
        <v>310</v>
      </c>
      <c r="D109" s="209" t="s">
        <v>451</v>
      </c>
      <c r="E109" s="442">
        <v>0</v>
      </c>
      <c r="F109" s="326">
        <v>0</v>
      </c>
      <c r="G109" s="266">
        <f t="shared" si="3"/>
        <v>0</v>
      </c>
      <c r="I109" s="351"/>
      <c r="J109" s="437"/>
      <c r="K109" s="438"/>
      <c r="L109" s="294"/>
      <c r="M109" s="439"/>
    </row>
    <row r="110" spans="1:15" ht="17.25" customHeight="1">
      <c r="A110" s="324">
        <f t="shared" si="4"/>
        <v>183</v>
      </c>
      <c r="B110" s="261"/>
      <c r="C110" s="294" t="s">
        <v>311</v>
      </c>
      <c r="D110" s="209" t="s">
        <v>451</v>
      </c>
      <c r="E110" s="442">
        <v>0</v>
      </c>
      <c r="F110" s="326">
        <v>0</v>
      </c>
      <c r="G110" s="266">
        <f t="shared" si="3"/>
        <v>0</v>
      </c>
      <c r="I110" s="351"/>
      <c r="J110" s="437"/>
      <c r="K110" s="438"/>
      <c r="L110" s="294"/>
      <c r="M110" s="439"/>
    </row>
    <row r="111" spans="1:15" ht="17.25" customHeight="1">
      <c r="A111" s="324">
        <f t="shared" si="4"/>
        <v>184</v>
      </c>
      <c r="B111" s="261"/>
      <c r="C111" s="294" t="s">
        <v>312</v>
      </c>
      <c r="D111" s="209" t="s">
        <v>451</v>
      </c>
      <c r="E111" s="442">
        <v>0</v>
      </c>
      <c r="F111" s="326">
        <v>0</v>
      </c>
      <c r="G111" s="266">
        <f t="shared" si="3"/>
        <v>0</v>
      </c>
      <c r="I111" s="351"/>
      <c r="J111" s="437"/>
      <c r="K111" s="438"/>
      <c r="L111" s="294"/>
      <c r="M111" s="439"/>
    </row>
    <row r="112" spans="1:15" ht="17.25" customHeight="1">
      <c r="A112" s="324">
        <f t="shared" si="4"/>
        <v>185</v>
      </c>
      <c r="B112" s="261"/>
      <c r="C112" s="294" t="s">
        <v>313</v>
      </c>
      <c r="D112" s="209" t="s">
        <v>451</v>
      </c>
      <c r="E112" s="442">
        <v>0</v>
      </c>
      <c r="F112" s="326">
        <v>0</v>
      </c>
      <c r="G112" s="266">
        <f t="shared" si="3"/>
        <v>0</v>
      </c>
      <c r="I112" s="351"/>
      <c r="J112" s="437"/>
      <c r="K112" s="438"/>
      <c r="L112" s="294"/>
      <c r="M112" s="439"/>
    </row>
    <row r="113" spans="1:14" ht="15">
      <c r="A113" s="324">
        <f t="shared" si="4"/>
        <v>186</v>
      </c>
      <c r="B113" s="261"/>
      <c r="C113" s="294" t="s">
        <v>314</v>
      </c>
      <c r="D113" s="209" t="s">
        <v>451</v>
      </c>
      <c r="E113" s="442">
        <v>0</v>
      </c>
      <c r="F113" s="326">
        <v>0</v>
      </c>
      <c r="G113" s="266">
        <f t="shared" si="3"/>
        <v>0</v>
      </c>
      <c r="I113" s="351"/>
      <c r="J113" s="437"/>
      <c r="K113" s="438"/>
      <c r="L113" s="294"/>
      <c r="M113" s="439"/>
    </row>
    <row r="114" spans="1:14" ht="17.25" customHeight="1">
      <c r="A114" s="324">
        <f t="shared" si="4"/>
        <v>187</v>
      </c>
      <c r="B114" s="261"/>
      <c r="C114" s="294" t="s">
        <v>315</v>
      </c>
      <c r="D114" s="209" t="s">
        <v>451</v>
      </c>
      <c r="E114" s="442">
        <v>0</v>
      </c>
      <c r="F114" s="326">
        <v>0</v>
      </c>
      <c r="G114" s="266">
        <f t="shared" si="3"/>
        <v>0</v>
      </c>
      <c r="I114" s="351"/>
      <c r="J114" s="437"/>
      <c r="K114" s="438"/>
      <c r="L114" s="294"/>
      <c r="M114" s="439"/>
    </row>
    <row r="115" spans="1:14" ht="17.25" customHeight="1">
      <c r="A115" s="324">
        <f t="shared" si="4"/>
        <v>188</v>
      </c>
      <c r="B115" s="261"/>
      <c r="C115" s="294" t="s">
        <v>302</v>
      </c>
      <c r="D115" s="209" t="s">
        <v>452</v>
      </c>
      <c r="E115" s="442">
        <v>0</v>
      </c>
      <c r="F115" s="326">
        <v>0</v>
      </c>
      <c r="G115" s="266">
        <f t="shared" si="3"/>
        <v>0</v>
      </c>
      <c r="I115" s="351"/>
      <c r="J115" s="437"/>
      <c r="K115" s="438"/>
      <c r="M115" s="439"/>
    </row>
    <row r="116" spans="1:14" ht="17.25" customHeight="1">
      <c r="A116" s="324"/>
      <c r="B116" s="261"/>
      <c r="C116" s="294"/>
      <c r="E116" s="443"/>
      <c r="F116" s="444"/>
      <c r="G116" s="266"/>
      <c r="I116" s="351"/>
      <c r="J116" s="437"/>
      <c r="K116" s="438"/>
      <c r="M116" s="439"/>
    </row>
    <row r="117" spans="1:14" ht="17.399999999999999" thickBot="1">
      <c r="A117" s="337">
        <f>+A115+1</f>
        <v>189</v>
      </c>
      <c r="B117" s="338"/>
      <c r="C117" s="283" t="s">
        <v>453</v>
      </c>
      <c r="D117" s="1155" t="s">
        <v>454</v>
      </c>
      <c r="E117" s="283"/>
      <c r="F117" s="283"/>
      <c r="G117" s="445">
        <f>SUM(G103:G115)/13</f>
        <v>0</v>
      </c>
      <c r="H117" s="342"/>
      <c r="I117" s="446"/>
      <c r="J117" s="447"/>
      <c r="K117" s="447"/>
      <c r="L117" s="347"/>
      <c r="M117" s="348"/>
    </row>
    <row r="118" spans="1:14" ht="15.6">
      <c r="B118" s="261"/>
      <c r="C118" s="210"/>
      <c r="D118" s="207"/>
      <c r="E118" s="207"/>
      <c r="F118" s="207"/>
      <c r="G118" s="448"/>
      <c r="H118" s="449"/>
      <c r="I118" s="450"/>
      <c r="J118" s="449"/>
      <c r="K118" s="449"/>
      <c r="L118" s="252"/>
      <c r="M118" s="252"/>
    </row>
    <row r="119" spans="1:14" ht="15.6">
      <c r="A119" s="220"/>
      <c r="B119" s="207"/>
      <c r="C119" s="207"/>
      <c r="D119" s="207"/>
      <c r="E119" s="207"/>
      <c r="F119" s="207"/>
      <c r="G119" s="207"/>
      <c r="H119" s="207"/>
      <c r="I119" s="207"/>
      <c r="J119" s="207"/>
      <c r="K119" s="207"/>
      <c r="L119" s="207"/>
      <c r="M119" s="207"/>
    </row>
    <row r="120" spans="1:14" ht="15.6">
      <c r="A120" s="244" t="s">
        <v>455</v>
      </c>
      <c r="B120" s="207"/>
      <c r="C120" s="207"/>
      <c r="D120" s="207"/>
      <c r="E120" s="207"/>
      <c r="F120" s="207"/>
      <c r="G120" s="207"/>
      <c r="H120" s="207"/>
      <c r="I120" s="207"/>
      <c r="J120" s="207"/>
      <c r="K120" s="207"/>
      <c r="L120" s="207"/>
      <c r="M120" s="207"/>
    </row>
    <row r="121" spans="1:14" ht="16.2" thickBot="1">
      <c r="A121" s="1178"/>
      <c r="B121" s="1178"/>
      <c r="C121" s="1178"/>
      <c r="D121" s="1178"/>
      <c r="E121" s="1178"/>
      <c r="F121" s="1178"/>
      <c r="G121" s="451"/>
      <c r="H121" s="451"/>
      <c r="I121" s="451"/>
      <c r="J121" s="1179" t="s">
        <v>360</v>
      </c>
      <c r="K121" s="1180"/>
      <c r="L121" s="1180"/>
      <c r="M121" s="1180"/>
    </row>
    <row r="122" spans="1:14" ht="15.6">
      <c r="A122" s="452"/>
      <c r="B122" s="453" t="s">
        <v>456</v>
      </c>
      <c r="C122" s="376"/>
      <c r="D122" s="293"/>
      <c r="E122" s="454"/>
      <c r="F122" s="455"/>
      <c r="G122" s="456"/>
      <c r="H122" s="456"/>
      <c r="I122" s="456"/>
      <c r="J122" s="456"/>
      <c r="K122" s="457"/>
      <c r="L122" s="457"/>
      <c r="M122" s="458"/>
    </row>
    <row r="123" spans="1:14" ht="15.6">
      <c r="A123" s="324"/>
      <c r="C123" s="459" t="s">
        <v>175</v>
      </c>
      <c r="E123" s="459" t="s">
        <v>176</v>
      </c>
      <c r="F123" s="460"/>
      <c r="G123" s="461"/>
      <c r="H123" s="461"/>
      <c r="I123" s="461"/>
      <c r="J123" s="461"/>
      <c r="K123" s="435"/>
      <c r="L123" s="435"/>
      <c r="M123" s="462"/>
    </row>
    <row r="124" spans="1:14" ht="15.6">
      <c r="A124" s="324"/>
      <c r="E124" s="463"/>
      <c r="F124" s="460"/>
      <c r="G124" s="461"/>
      <c r="H124" s="461"/>
      <c r="I124" s="461"/>
      <c r="J124" s="461"/>
      <c r="K124" s="435"/>
      <c r="L124" s="435"/>
      <c r="M124" s="462"/>
    </row>
    <row r="125" spans="1:14" ht="15.6">
      <c r="A125" s="324">
        <f>+A117+1</f>
        <v>190</v>
      </c>
      <c r="C125" s="464"/>
      <c r="D125" s="465"/>
      <c r="E125" s="466" t="s">
        <v>37</v>
      </c>
      <c r="F125" s="460"/>
      <c r="G125" s="461"/>
      <c r="H125" s="461"/>
      <c r="I125" s="461"/>
      <c r="J125" s="461"/>
      <c r="K125" s="435"/>
      <c r="L125" s="435"/>
      <c r="M125" s="462"/>
    </row>
    <row r="126" spans="1:14" ht="15.6">
      <c r="A126" s="324">
        <f t="shared" ref="A126:A132" si="5">+A125+1</f>
        <v>191</v>
      </c>
      <c r="C126" s="467" t="s">
        <v>457</v>
      </c>
      <c r="D126" s="467"/>
      <c r="E126" s="468">
        <v>0</v>
      </c>
      <c r="F126" s="460"/>
      <c r="G126" s="461"/>
      <c r="H126" s="461"/>
      <c r="I126" s="461"/>
      <c r="J126" s="461"/>
      <c r="K126" s="435"/>
      <c r="L126" s="435"/>
      <c r="M126" s="462"/>
    </row>
    <row r="127" spans="1:14" ht="15.6">
      <c r="A127" s="324">
        <f t="shared" si="5"/>
        <v>192</v>
      </c>
      <c r="C127" s="467" t="s">
        <v>458</v>
      </c>
      <c r="D127" s="467"/>
      <c r="E127" s="468">
        <v>0</v>
      </c>
      <c r="F127" s="207"/>
      <c r="G127" s="207"/>
      <c r="H127" s="207"/>
      <c r="I127" s="207"/>
      <c r="J127" s="207"/>
      <c r="K127" s="207"/>
      <c r="L127" s="207"/>
      <c r="M127" s="272"/>
      <c r="N127" s="207"/>
    </row>
    <row r="128" spans="1:14" ht="15.6">
      <c r="A128" s="324">
        <f t="shared" si="5"/>
        <v>193</v>
      </c>
      <c r="C128" s="467" t="s">
        <v>459</v>
      </c>
      <c r="D128" s="467"/>
      <c r="E128" s="469">
        <f>IF(E126=0,0,E126/E127)</f>
        <v>0</v>
      </c>
      <c r="F128" s="207"/>
      <c r="G128" s="207"/>
      <c r="H128" s="207"/>
      <c r="I128" s="207"/>
      <c r="J128" s="207"/>
      <c r="K128" s="207"/>
      <c r="L128" s="207"/>
      <c r="M128" s="272"/>
      <c r="N128" s="207"/>
    </row>
    <row r="129" spans="1:14" ht="15.6">
      <c r="A129" s="324">
        <f t="shared" si="5"/>
        <v>194</v>
      </c>
      <c r="C129" s="467" t="s">
        <v>460</v>
      </c>
      <c r="D129" s="467"/>
      <c r="E129" s="470">
        <v>0</v>
      </c>
      <c r="G129" s="207"/>
      <c r="H129" s="207"/>
      <c r="I129" s="207"/>
      <c r="J129" s="207"/>
      <c r="K129" s="207"/>
      <c r="L129" s="207"/>
      <c r="M129" s="272"/>
      <c r="N129" s="207"/>
    </row>
    <row r="130" spans="1:14" ht="15.6">
      <c r="A130" s="324">
        <f t="shared" si="5"/>
        <v>195</v>
      </c>
      <c r="C130" s="467" t="s">
        <v>461</v>
      </c>
      <c r="D130" s="467" t="s">
        <v>462</v>
      </c>
      <c r="E130" s="471">
        <f>E128*E129</f>
        <v>0</v>
      </c>
      <c r="F130" s="207"/>
      <c r="G130" s="207"/>
      <c r="H130" s="207"/>
      <c r="I130" s="207"/>
      <c r="J130" s="207"/>
      <c r="K130" s="207"/>
      <c r="L130" s="207"/>
      <c r="M130" s="272"/>
      <c r="N130" s="207"/>
    </row>
    <row r="131" spans="1:14" ht="15.6">
      <c r="A131" s="324">
        <f t="shared" si="5"/>
        <v>196</v>
      </c>
      <c r="C131" s="467" t="s">
        <v>463</v>
      </c>
      <c r="D131" s="464"/>
      <c r="E131" s="472"/>
      <c r="F131" s="207"/>
      <c r="G131" s="207"/>
      <c r="H131" s="207"/>
      <c r="I131" s="207"/>
      <c r="J131" s="207"/>
      <c r="K131" s="207"/>
      <c r="L131" s="207"/>
      <c r="M131" s="272"/>
      <c r="N131" s="207"/>
    </row>
    <row r="132" spans="1:14" ht="15.6">
      <c r="A132" s="324">
        <f t="shared" si="5"/>
        <v>197</v>
      </c>
      <c r="B132"/>
      <c r="C132" s="467" t="s">
        <v>464</v>
      </c>
      <c r="D132"/>
      <c r="E132" s="473">
        <f>+E130-E131</f>
        <v>0</v>
      </c>
      <c r="F132" s="207"/>
      <c r="G132" s="207"/>
      <c r="H132" s="207"/>
      <c r="I132" s="207"/>
      <c r="J132" s="207"/>
      <c r="K132" s="207"/>
      <c r="L132" s="207"/>
      <c r="M132" s="272"/>
      <c r="N132" s="207"/>
    </row>
    <row r="133" spans="1:14" ht="15.6">
      <c r="A133" s="474"/>
      <c r="B133" s="475"/>
      <c r="C133" s="476"/>
      <c r="D133" s="476"/>
      <c r="E133" s="476"/>
      <c r="F133" s="207"/>
      <c r="G133" s="207"/>
      <c r="H133" s="207"/>
      <c r="I133" s="207"/>
      <c r="J133" s="207"/>
      <c r="K133" s="207"/>
      <c r="L133" s="207"/>
      <c r="M133" s="272"/>
      <c r="N133" s="207"/>
    </row>
    <row r="134" spans="1:14" ht="15.6">
      <c r="A134" s="474"/>
      <c r="B134" s="477" t="s">
        <v>196</v>
      </c>
      <c r="C134" s="467" t="s">
        <v>465</v>
      </c>
      <c r="D134" s="476"/>
      <c r="E134" s="476"/>
      <c r="F134" s="207"/>
      <c r="G134" s="207"/>
      <c r="H134" s="207"/>
      <c r="I134" s="207"/>
      <c r="J134" s="207"/>
      <c r="K134" s="207"/>
      <c r="L134" s="207"/>
      <c r="M134" s="272"/>
      <c r="N134" s="207"/>
    </row>
    <row r="135" spans="1:14" ht="15.6">
      <c r="A135" s="382"/>
      <c r="B135" s="261" t="s">
        <v>199</v>
      </c>
      <c r="C135" s="478" t="s">
        <v>466</v>
      </c>
      <c r="D135" s="479"/>
      <c r="E135" s="479"/>
      <c r="F135" s="207"/>
      <c r="G135" s="207"/>
      <c r="H135" s="207"/>
      <c r="I135" s="207"/>
      <c r="J135" s="207"/>
      <c r="K135" s="207"/>
      <c r="L135" s="207"/>
      <c r="M135" s="272"/>
      <c r="N135" s="207"/>
    </row>
    <row r="136" spans="1:14" ht="15.6">
      <c r="A136" s="480"/>
      <c r="C136" s="225"/>
      <c r="D136" s="225"/>
      <c r="E136" s="225"/>
      <c r="F136" s="207"/>
      <c r="G136" s="207"/>
      <c r="H136" s="207"/>
      <c r="I136" s="207"/>
      <c r="J136" s="207"/>
      <c r="K136" s="207"/>
      <c r="L136" s="207"/>
      <c r="M136" s="272"/>
      <c r="N136" s="207"/>
    </row>
    <row r="137" spans="1:14" ht="16.2" thickBot="1">
      <c r="A137" s="481"/>
      <c r="B137" s="342"/>
      <c r="C137" s="482"/>
      <c r="D137" s="482"/>
      <c r="E137" s="482"/>
      <c r="F137" s="283"/>
      <c r="G137" s="283"/>
      <c r="H137" s="283"/>
      <c r="I137" s="283"/>
      <c r="J137" s="283"/>
      <c r="K137" s="283"/>
      <c r="L137" s="283"/>
      <c r="M137" s="483"/>
      <c r="N137" s="207"/>
    </row>
    <row r="138" spans="1:14" ht="15.6">
      <c r="A138" s="207"/>
      <c r="B138" s="207"/>
      <c r="C138" s="207"/>
      <c r="D138" s="207"/>
      <c r="E138" s="207"/>
      <c r="F138" s="207"/>
      <c r="G138" s="207"/>
      <c r="H138" s="207"/>
      <c r="I138" s="207"/>
      <c r="J138" s="207"/>
      <c r="K138" s="207"/>
      <c r="L138" s="207"/>
      <c r="M138" s="207"/>
      <c r="N138" s="207"/>
    </row>
    <row r="139" spans="1:14" ht="15.6">
      <c r="A139" s="207"/>
      <c r="B139" s="207"/>
      <c r="C139" s="207"/>
      <c r="D139" s="207"/>
      <c r="E139" s="207"/>
      <c r="F139" s="207"/>
      <c r="G139" s="207"/>
      <c r="H139" s="207"/>
      <c r="I139" s="207"/>
      <c r="J139" s="207"/>
      <c r="K139" s="207"/>
      <c r="L139" s="207"/>
      <c r="M139" s="207"/>
      <c r="N139" s="207"/>
    </row>
    <row r="140" spans="1:14" ht="15.6">
      <c r="A140" s="207"/>
      <c r="B140" s="207"/>
      <c r="C140" s="207"/>
      <c r="D140" s="207"/>
      <c r="E140" s="207"/>
      <c r="F140" s="207"/>
      <c r="G140" s="207"/>
      <c r="H140" s="207"/>
      <c r="I140" s="207"/>
      <c r="J140" s="207"/>
      <c r="K140" s="207"/>
      <c r="L140" s="207"/>
      <c r="M140" s="207"/>
      <c r="N140" s="207"/>
    </row>
    <row r="141" spans="1:14" ht="15.6">
      <c r="A141" s="207"/>
      <c r="B141" s="207"/>
      <c r="C141" s="207"/>
      <c r="D141" s="207"/>
      <c r="E141" s="207"/>
      <c r="F141" s="207"/>
      <c r="G141" s="207"/>
      <c r="H141" s="207"/>
      <c r="I141" s="207"/>
      <c r="J141" s="207"/>
      <c r="K141" s="207"/>
      <c r="L141" s="207"/>
      <c r="M141" s="207"/>
      <c r="N141" s="207"/>
    </row>
    <row r="142" spans="1:14" ht="15.6">
      <c r="A142" s="207"/>
      <c r="B142" s="207"/>
      <c r="C142" s="207"/>
      <c r="D142" s="207"/>
      <c r="E142" s="207"/>
      <c r="F142" s="207"/>
      <c r="G142" s="207"/>
      <c r="H142" s="207"/>
      <c r="I142" s="207"/>
      <c r="J142" s="207"/>
      <c r="K142" s="207"/>
      <c r="L142" s="207"/>
      <c r="M142" s="207"/>
      <c r="N142" s="207"/>
    </row>
    <row r="143" spans="1:14" ht="15.6">
      <c r="A143" s="207"/>
      <c r="B143" s="207"/>
      <c r="C143" s="207"/>
      <c r="D143" s="207"/>
      <c r="E143" s="207"/>
      <c r="F143" s="207"/>
      <c r="G143" s="207"/>
      <c r="H143" s="207"/>
      <c r="I143" s="207"/>
      <c r="J143" s="207"/>
      <c r="K143" s="207"/>
      <c r="L143" s="207"/>
      <c r="M143" s="207"/>
      <c r="N143" s="207"/>
    </row>
    <row r="144" spans="1:14" ht="15.6">
      <c r="A144" s="207"/>
      <c r="B144" s="207"/>
      <c r="C144" s="207"/>
      <c r="D144" s="207"/>
      <c r="E144" s="207"/>
      <c r="F144" s="207"/>
      <c r="G144" s="207"/>
      <c r="H144" s="207"/>
      <c r="I144" s="207"/>
      <c r="J144" s="207"/>
      <c r="K144" s="207"/>
      <c r="L144" s="207"/>
      <c r="M144" s="207"/>
      <c r="N144" s="207"/>
    </row>
    <row r="145" spans="1:14" ht="15.6">
      <c r="A145" s="207"/>
      <c r="B145" s="207"/>
      <c r="C145" s="207"/>
      <c r="D145" s="207"/>
      <c r="E145" s="207"/>
      <c r="F145" s="207"/>
      <c r="G145" s="207"/>
      <c r="H145" s="207"/>
      <c r="I145" s="207"/>
      <c r="J145" s="207"/>
      <c r="K145" s="207"/>
      <c r="L145" s="207"/>
      <c r="M145" s="207"/>
      <c r="N145" s="207"/>
    </row>
    <row r="146" spans="1:14" ht="15.6">
      <c r="A146" s="207"/>
      <c r="B146" s="207"/>
      <c r="C146" s="207"/>
      <c r="D146" s="207"/>
      <c r="E146" s="207"/>
      <c r="F146" s="207"/>
      <c r="G146" s="207"/>
      <c r="H146" s="207"/>
      <c r="I146" s="207"/>
      <c r="J146" s="207"/>
      <c r="K146" s="207"/>
      <c r="L146" s="207"/>
      <c r="M146" s="207"/>
      <c r="N146" s="207"/>
    </row>
    <row r="147" spans="1:14" ht="15.6">
      <c r="A147" s="207"/>
      <c r="B147" s="207"/>
      <c r="C147" s="207"/>
      <c r="D147" s="207"/>
      <c r="E147" s="207"/>
      <c r="F147" s="207"/>
      <c r="G147" s="207"/>
      <c r="H147" s="207"/>
      <c r="I147" s="207"/>
      <c r="J147" s="207"/>
      <c r="K147" s="207"/>
      <c r="L147" s="207"/>
      <c r="M147" s="207"/>
      <c r="N147" s="207"/>
    </row>
    <row r="148" spans="1:14" ht="15.6">
      <c r="A148" s="207"/>
      <c r="B148" s="207"/>
      <c r="C148" s="207"/>
      <c r="D148" s="207"/>
      <c r="E148" s="207"/>
      <c r="F148" s="207"/>
      <c r="G148" s="207"/>
      <c r="H148" s="207"/>
      <c r="I148" s="207"/>
      <c r="J148" s="207"/>
      <c r="K148" s="207"/>
      <c r="L148" s="207"/>
      <c r="M148" s="207"/>
      <c r="N148" s="207"/>
    </row>
    <row r="149" spans="1:14" ht="15.6">
      <c r="A149" s="207"/>
      <c r="B149" s="207"/>
      <c r="C149" s="207"/>
      <c r="D149" s="207"/>
      <c r="E149" s="207"/>
      <c r="F149" s="207"/>
      <c r="G149" s="207"/>
      <c r="H149" s="207"/>
      <c r="I149" s="207"/>
      <c r="J149" s="207"/>
      <c r="K149" s="207"/>
      <c r="L149" s="207"/>
      <c r="M149" s="207"/>
      <c r="N149" s="207"/>
    </row>
    <row r="150" spans="1:14" ht="15.6">
      <c r="A150" s="207"/>
      <c r="B150" s="207"/>
      <c r="C150" s="207"/>
      <c r="D150" s="207"/>
      <c r="E150" s="207"/>
      <c r="F150" s="207"/>
      <c r="G150" s="207"/>
      <c r="H150" s="207"/>
      <c r="I150" s="207"/>
      <c r="J150" s="207"/>
      <c r="K150" s="207"/>
      <c r="L150" s="207"/>
      <c r="M150" s="207"/>
      <c r="N150" s="207"/>
    </row>
    <row r="151" spans="1:14" ht="15.6">
      <c r="A151" s="207"/>
      <c r="B151" s="207"/>
      <c r="C151" s="207"/>
      <c r="D151" s="207"/>
      <c r="E151" s="207"/>
      <c r="F151" s="207"/>
      <c r="G151" s="207"/>
      <c r="H151" s="207"/>
      <c r="I151" s="207"/>
      <c r="J151" s="207"/>
      <c r="K151" s="207"/>
      <c r="L151" s="207"/>
      <c r="M151" s="207"/>
      <c r="N151" s="207"/>
    </row>
    <row r="152" spans="1:14" ht="15.6">
      <c r="A152" s="207"/>
      <c r="B152" s="207"/>
      <c r="C152" s="207"/>
      <c r="D152" s="207"/>
      <c r="E152" s="207"/>
      <c r="F152" s="207"/>
      <c r="G152" s="207"/>
      <c r="H152" s="207"/>
      <c r="I152" s="207"/>
      <c r="J152" s="207"/>
      <c r="K152" s="207"/>
      <c r="L152" s="207"/>
      <c r="M152" s="207"/>
      <c r="N152" s="207"/>
    </row>
    <row r="153" spans="1:14" ht="15.6">
      <c r="A153" s="207"/>
      <c r="B153" s="207"/>
      <c r="C153" s="207"/>
      <c r="D153" s="207"/>
      <c r="E153" s="207"/>
      <c r="F153" s="207"/>
      <c r="G153" s="207"/>
      <c r="H153" s="207"/>
      <c r="I153" s="207"/>
      <c r="J153" s="207"/>
      <c r="K153" s="207"/>
      <c r="L153" s="207"/>
      <c r="M153" s="207"/>
      <c r="N153" s="207"/>
    </row>
    <row r="154" spans="1:14" ht="15.6">
      <c r="A154" s="207"/>
      <c r="B154" s="207"/>
      <c r="C154" s="207"/>
      <c r="D154" s="207"/>
      <c r="E154" s="207"/>
      <c r="F154" s="207"/>
      <c r="G154" s="207"/>
      <c r="H154" s="207"/>
      <c r="I154" s="207"/>
      <c r="J154" s="207"/>
      <c r="K154" s="207"/>
      <c r="L154" s="207"/>
      <c r="M154" s="207"/>
      <c r="N154" s="207"/>
    </row>
    <row r="155" spans="1:14" ht="15.6">
      <c r="A155" s="220"/>
      <c r="B155" s="207"/>
      <c r="C155" s="207"/>
      <c r="D155" s="207"/>
      <c r="E155" s="207"/>
      <c r="F155" s="207"/>
      <c r="G155" s="207"/>
      <c r="H155" s="207"/>
      <c r="I155" s="207"/>
      <c r="J155" s="207"/>
      <c r="K155" s="207"/>
      <c r="L155" s="207"/>
      <c r="M155" s="207"/>
      <c r="N155" s="207"/>
    </row>
    <row r="156" spans="1:14" ht="15.6">
      <c r="A156" s="220"/>
      <c r="B156" s="207"/>
      <c r="C156" s="207"/>
      <c r="D156" s="207"/>
      <c r="E156" s="207"/>
      <c r="F156" s="207"/>
      <c r="G156" s="207"/>
      <c r="H156" s="207"/>
      <c r="I156" s="207"/>
      <c r="J156" s="207"/>
      <c r="K156" s="207"/>
      <c r="L156" s="207"/>
      <c r="M156" s="207"/>
      <c r="N156" s="207"/>
    </row>
    <row r="157" spans="1:14" ht="15.6">
      <c r="A157" s="220"/>
      <c r="B157" s="207"/>
      <c r="C157" s="207"/>
      <c r="D157" s="207"/>
      <c r="E157" s="207"/>
      <c r="F157" s="207"/>
      <c r="G157" s="207"/>
      <c r="H157" s="207"/>
      <c r="I157" s="207"/>
      <c r="J157" s="207"/>
      <c r="K157" s="207"/>
      <c r="L157" s="207"/>
      <c r="M157" s="207"/>
      <c r="N157" s="207"/>
    </row>
    <row r="158" spans="1:14" ht="15.6">
      <c r="A158" s="220"/>
      <c r="B158" s="207"/>
      <c r="C158" s="207"/>
      <c r="D158" s="207"/>
      <c r="E158" s="207"/>
      <c r="F158" s="207"/>
      <c r="G158" s="207"/>
      <c r="H158" s="207"/>
      <c r="I158" s="207"/>
      <c r="J158" s="207"/>
      <c r="K158" s="207"/>
      <c r="L158" s="207"/>
      <c r="M158" s="207"/>
      <c r="N158" s="207"/>
    </row>
    <row r="159" spans="1:14" ht="15.6">
      <c r="A159" s="220"/>
      <c r="B159" s="207"/>
      <c r="C159" s="207"/>
      <c r="D159" s="207"/>
      <c r="E159" s="207"/>
      <c r="F159" s="207"/>
      <c r="G159" s="207"/>
      <c r="H159" s="207"/>
      <c r="I159" s="207"/>
      <c r="J159" s="207"/>
      <c r="K159" s="207"/>
      <c r="L159" s="207"/>
      <c r="M159" s="207"/>
      <c r="N159" s="207"/>
    </row>
    <row r="160" spans="1:14" ht="15.6">
      <c r="A160" s="220"/>
      <c r="B160" s="207"/>
      <c r="C160" s="207"/>
      <c r="D160" s="207"/>
      <c r="E160" s="207"/>
      <c r="F160" s="207"/>
      <c r="G160" s="207"/>
      <c r="H160" s="207"/>
      <c r="I160" s="207"/>
      <c r="J160" s="207"/>
      <c r="K160" s="207"/>
      <c r="L160" s="207"/>
      <c r="M160" s="207"/>
      <c r="N160" s="207"/>
    </row>
    <row r="161" spans="1:14" ht="15.6">
      <c r="A161" s="220"/>
      <c r="B161" s="207"/>
      <c r="C161" s="207"/>
      <c r="D161" s="207"/>
      <c r="E161" s="207"/>
      <c r="F161" s="207"/>
      <c r="G161" s="207"/>
      <c r="H161" s="207"/>
      <c r="I161" s="207"/>
      <c r="J161" s="207"/>
      <c r="K161" s="207"/>
      <c r="L161" s="207"/>
      <c r="M161" s="207"/>
      <c r="N161" s="207"/>
    </row>
    <row r="162" spans="1:14" ht="15.6">
      <c r="A162" s="220"/>
      <c r="B162" s="207"/>
      <c r="C162" s="207"/>
      <c r="D162" s="207"/>
      <c r="E162" s="207"/>
      <c r="F162" s="207"/>
      <c r="G162" s="207"/>
      <c r="H162" s="207"/>
      <c r="I162" s="207"/>
      <c r="J162" s="207"/>
      <c r="K162" s="207"/>
      <c r="L162" s="207"/>
      <c r="M162" s="207"/>
      <c r="N162" s="207"/>
    </row>
    <row r="163" spans="1:14" ht="15.6">
      <c r="A163" s="220"/>
      <c r="B163" s="207"/>
      <c r="C163" s="207"/>
      <c r="D163" s="207"/>
      <c r="E163" s="207"/>
      <c r="F163" s="207"/>
      <c r="G163" s="207"/>
      <c r="H163" s="207"/>
      <c r="I163" s="207"/>
      <c r="J163" s="207"/>
      <c r="K163" s="207"/>
      <c r="L163" s="207"/>
      <c r="M163" s="207"/>
      <c r="N163" s="207"/>
    </row>
    <row r="164" spans="1:14" ht="15.6">
      <c r="A164" s="220"/>
      <c r="B164" s="207"/>
      <c r="C164" s="207"/>
      <c r="D164" s="207"/>
      <c r="E164" s="207"/>
      <c r="F164" s="207"/>
      <c r="G164" s="207"/>
      <c r="H164" s="207"/>
      <c r="I164" s="207"/>
      <c r="J164" s="207"/>
      <c r="K164" s="207"/>
      <c r="L164" s="207"/>
      <c r="M164" s="207"/>
      <c r="N164" s="207"/>
    </row>
    <row r="165" spans="1:14" ht="15.6">
      <c r="A165" s="220"/>
      <c r="B165" s="207"/>
      <c r="C165" s="207"/>
      <c r="D165" s="207"/>
      <c r="E165" s="207"/>
      <c r="F165" s="207"/>
      <c r="G165" s="207"/>
      <c r="H165" s="207"/>
      <c r="I165" s="207"/>
      <c r="J165" s="207"/>
      <c r="K165" s="207"/>
      <c r="L165" s="207"/>
      <c r="M165" s="207"/>
      <c r="N165" s="207"/>
    </row>
    <row r="166" spans="1:14" ht="15.6">
      <c r="A166" s="220"/>
      <c r="B166" s="207"/>
      <c r="C166" s="207"/>
      <c r="D166" s="207"/>
      <c r="E166" s="207"/>
      <c r="F166" s="207"/>
      <c r="G166" s="207"/>
      <c r="H166" s="207"/>
      <c r="I166" s="207"/>
      <c r="J166" s="207"/>
      <c r="K166" s="207"/>
      <c r="L166" s="207"/>
      <c r="M166" s="207"/>
      <c r="N166" s="207"/>
    </row>
    <row r="167" spans="1:14" ht="15.6">
      <c r="A167" s="220"/>
      <c r="B167" s="207"/>
      <c r="C167" s="207"/>
      <c r="D167" s="207"/>
      <c r="E167" s="207"/>
      <c r="F167" s="207"/>
      <c r="G167" s="207"/>
      <c r="H167" s="207"/>
      <c r="I167" s="207"/>
      <c r="J167" s="207"/>
      <c r="K167" s="207"/>
      <c r="L167" s="207"/>
      <c r="M167" s="207"/>
      <c r="N167" s="207"/>
    </row>
    <row r="168" spans="1:14" ht="15.6">
      <c r="A168" s="220"/>
      <c r="B168" s="207"/>
      <c r="C168" s="207"/>
      <c r="D168" s="207"/>
      <c r="E168" s="207"/>
      <c r="F168" s="207"/>
      <c r="G168" s="207"/>
      <c r="H168" s="207"/>
      <c r="I168" s="207"/>
      <c r="J168" s="207"/>
      <c r="K168" s="207"/>
      <c r="L168" s="207"/>
      <c r="M168" s="207"/>
      <c r="N168" s="207"/>
    </row>
    <row r="169" spans="1:14" ht="15.6">
      <c r="A169" s="220"/>
      <c r="B169" s="207"/>
      <c r="C169" s="207"/>
      <c r="D169" s="207"/>
      <c r="E169" s="207"/>
      <c r="F169" s="207"/>
      <c r="G169" s="207"/>
      <c r="H169" s="207"/>
      <c r="I169" s="207"/>
      <c r="J169" s="207"/>
      <c r="K169" s="207"/>
      <c r="L169" s="207"/>
      <c r="M169" s="207"/>
      <c r="N169" s="207"/>
    </row>
    <row r="170" spans="1:14" ht="15.6">
      <c r="A170" s="220"/>
      <c r="B170" s="207"/>
      <c r="C170" s="207"/>
      <c r="D170" s="207"/>
      <c r="E170" s="207"/>
      <c r="F170" s="207"/>
      <c r="G170" s="207"/>
      <c r="H170" s="207"/>
      <c r="I170" s="207"/>
      <c r="J170" s="207"/>
      <c r="K170" s="207"/>
      <c r="L170" s="207"/>
      <c r="M170" s="207"/>
      <c r="N170" s="207"/>
    </row>
    <row r="171" spans="1:14" ht="15.6">
      <c r="A171" s="220"/>
      <c r="B171" s="207"/>
      <c r="C171" s="207"/>
      <c r="D171" s="207"/>
      <c r="E171" s="207"/>
      <c r="F171" s="207"/>
      <c r="G171" s="207"/>
      <c r="H171" s="207"/>
      <c r="I171" s="207"/>
      <c r="J171" s="207"/>
      <c r="K171" s="207"/>
      <c r="L171" s="207"/>
      <c r="M171" s="207"/>
      <c r="N171" s="207"/>
    </row>
    <row r="172" spans="1:14" ht="15.6">
      <c r="A172" s="220"/>
      <c r="B172" s="207"/>
      <c r="C172" s="207"/>
      <c r="D172" s="207"/>
      <c r="E172" s="207"/>
      <c r="F172" s="207"/>
      <c r="G172" s="207"/>
      <c r="H172" s="207"/>
      <c r="I172" s="207"/>
      <c r="J172" s="207"/>
      <c r="K172" s="207"/>
      <c r="L172" s="207"/>
      <c r="M172" s="207"/>
      <c r="N172" s="207"/>
    </row>
    <row r="173" spans="1:14" ht="15.6">
      <c r="A173" s="220"/>
      <c r="B173" s="207"/>
      <c r="C173" s="207"/>
      <c r="D173" s="207"/>
      <c r="E173" s="207"/>
      <c r="F173" s="207"/>
      <c r="G173" s="207"/>
      <c r="H173" s="207"/>
      <c r="I173" s="207"/>
      <c r="J173" s="207"/>
      <c r="K173" s="207"/>
      <c r="L173" s="207"/>
      <c r="M173" s="207"/>
      <c r="N173" s="207"/>
    </row>
    <row r="174" spans="1:14" ht="15.6">
      <c r="A174" s="220"/>
      <c r="B174" s="207"/>
      <c r="C174" s="207"/>
      <c r="D174" s="207"/>
      <c r="E174" s="207"/>
      <c r="F174" s="207"/>
      <c r="G174" s="207"/>
      <c r="H174" s="207"/>
      <c r="I174" s="207"/>
      <c r="J174" s="207"/>
      <c r="K174" s="207"/>
      <c r="L174" s="207"/>
      <c r="M174" s="207"/>
      <c r="N174" s="207"/>
    </row>
    <row r="175" spans="1:14" ht="15.6">
      <c r="A175" s="220"/>
      <c r="B175" s="207"/>
      <c r="C175" s="207"/>
      <c r="D175" s="207"/>
      <c r="E175" s="207"/>
      <c r="F175" s="207"/>
      <c r="G175" s="207"/>
      <c r="H175" s="207"/>
      <c r="I175" s="207"/>
      <c r="J175" s="207"/>
      <c r="K175" s="207"/>
      <c r="L175" s="207"/>
      <c r="M175" s="207"/>
      <c r="N175" s="207"/>
    </row>
    <row r="176" spans="1:14" ht="15.6">
      <c r="A176" s="220"/>
      <c r="B176" s="207"/>
      <c r="C176" s="207"/>
      <c r="D176" s="207"/>
      <c r="E176" s="207"/>
      <c r="F176" s="207"/>
      <c r="G176" s="207"/>
      <c r="H176" s="207"/>
      <c r="I176" s="207"/>
      <c r="J176" s="207"/>
      <c r="K176" s="207"/>
      <c r="L176" s="207"/>
      <c r="M176" s="207"/>
      <c r="N176" s="207"/>
    </row>
    <row r="177" spans="1:14" ht="15.6">
      <c r="A177" s="220"/>
      <c r="B177" s="207"/>
      <c r="C177" s="207"/>
      <c r="D177" s="207"/>
      <c r="E177" s="207"/>
      <c r="F177" s="207"/>
      <c r="G177" s="207"/>
      <c r="H177" s="207"/>
      <c r="I177" s="207"/>
      <c r="J177" s="207"/>
      <c r="K177" s="207"/>
      <c r="L177" s="207"/>
      <c r="M177" s="207"/>
      <c r="N177" s="207"/>
    </row>
    <row r="178" spans="1:14" ht="15.6">
      <c r="A178" s="220"/>
      <c r="B178" s="207"/>
      <c r="C178" s="207"/>
      <c r="D178" s="207"/>
      <c r="E178" s="207"/>
      <c r="F178" s="207"/>
      <c r="G178" s="207"/>
      <c r="H178" s="207"/>
      <c r="I178" s="207"/>
      <c r="J178" s="207"/>
      <c r="K178" s="207"/>
      <c r="L178" s="207"/>
      <c r="M178" s="207"/>
      <c r="N178" s="207"/>
    </row>
    <row r="179" spans="1:14" ht="15.6">
      <c r="A179" s="220"/>
      <c r="B179" s="207"/>
      <c r="C179" s="207"/>
      <c r="D179" s="207"/>
      <c r="E179" s="207"/>
      <c r="F179" s="207"/>
      <c r="G179" s="207"/>
      <c r="H179" s="207"/>
      <c r="I179" s="207"/>
      <c r="J179" s="207"/>
      <c r="K179" s="207"/>
      <c r="L179" s="207"/>
      <c r="M179" s="207"/>
      <c r="N179" s="207"/>
    </row>
    <row r="180" spans="1:14" ht="15.6">
      <c r="A180" s="220"/>
      <c r="B180" s="207"/>
      <c r="C180" s="207"/>
      <c r="D180" s="207"/>
      <c r="E180" s="207"/>
      <c r="F180" s="207"/>
      <c r="G180" s="207"/>
      <c r="H180" s="207"/>
      <c r="I180" s="207"/>
      <c r="J180" s="207"/>
      <c r="K180" s="207"/>
      <c r="L180" s="207"/>
      <c r="M180" s="207"/>
      <c r="N180" s="207"/>
    </row>
    <row r="181" spans="1:14" ht="15.6">
      <c r="A181" s="220"/>
      <c r="B181" s="207"/>
      <c r="C181" s="207"/>
      <c r="D181" s="207"/>
      <c r="E181" s="207"/>
      <c r="F181" s="207"/>
      <c r="G181" s="207"/>
      <c r="H181" s="207"/>
      <c r="I181" s="207"/>
      <c r="J181" s="207"/>
      <c r="K181" s="207"/>
      <c r="L181" s="207"/>
      <c r="M181" s="207"/>
      <c r="N181" s="207"/>
    </row>
    <row r="182" spans="1:14" ht="15.6">
      <c r="A182" s="220"/>
      <c r="B182" s="207"/>
      <c r="C182" s="207"/>
      <c r="D182" s="207"/>
      <c r="E182" s="207"/>
      <c r="F182" s="207"/>
      <c r="G182" s="207"/>
      <c r="H182" s="207"/>
      <c r="I182" s="207"/>
      <c r="J182" s="207"/>
      <c r="K182" s="207"/>
      <c r="L182" s="207"/>
      <c r="M182" s="207"/>
      <c r="N182" s="207"/>
    </row>
    <row r="183" spans="1:14" ht="15.6">
      <c r="A183" s="220"/>
      <c r="B183" s="207"/>
      <c r="C183" s="207"/>
      <c r="D183" s="207"/>
      <c r="E183" s="207"/>
      <c r="F183" s="207"/>
      <c r="G183" s="207"/>
      <c r="H183" s="207"/>
      <c r="I183" s="207"/>
      <c r="J183" s="207"/>
      <c r="K183" s="207"/>
      <c r="L183" s="207"/>
      <c r="M183" s="207"/>
      <c r="N183" s="207"/>
    </row>
    <row r="184" spans="1:14" ht="15.6">
      <c r="A184" s="220"/>
      <c r="B184" s="207"/>
      <c r="C184" s="207"/>
      <c r="D184" s="207"/>
      <c r="E184" s="207"/>
      <c r="F184" s="207"/>
      <c r="G184" s="207"/>
      <c r="H184" s="207"/>
      <c r="I184" s="207"/>
      <c r="J184" s="207"/>
      <c r="K184" s="207"/>
      <c r="L184" s="207"/>
      <c r="M184" s="207"/>
      <c r="N184" s="207"/>
    </row>
    <row r="185" spans="1:14" ht="15.6">
      <c r="A185" s="220"/>
      <c r="B185" s="207"/>
      <c r="C185" s="207"/>
      <c r="D185" s="207"/>
      <c r="E185" s="207"/>
      <c r="F185" s="207"/>
      <c r="G185" s="207"/>
      <c r="H185" s="207"/>
      <c r="I185" s="207"/>
      <c r="J185" s="207"/>
      <c r="K185" s="207"/>
      <c r="L185" s="207"/>
      <c r="M185" s="207"/>
      <c r="N185" s="207"/>
    </row>
    <row r="186" spans="1:14" ht="15.6">
      <c r="A186" s="220"/>
      <c r="B186" s="207"/>
      <c r="C186" s="207"/>
      <c r="D186" s="207"/>
      <c r="E186" s="207"/>
      <c r="F186" s="207"/>
      <c r="G186" s="207"/>
      <c r="H186" s="207"/>
      <c r="I186" s="207"/>
      <c r="J186" s="207"/>
      <c r="K186" s="207"/>
      <c r="L186" s="207"/>
      <c r="M186" s="207"/>
      <c r="N186" s="207"/>
    </row>
    <row r="187" spans="1:14" ht="15.6">
      <c r="A187" s="220"/>
      <c r="B187" s="207"/>
      <c r="C187" s="207"/>
      <c r="D187" s="207"/>
      <c r="E187" s="207"/>
      <c r="F187" s="207"/>
      <c r="G187" s="207"/>
      <c r="H187" s="207"/>
      <c r="I187" s="207"/>
      <c r="J187" s="207"/>
      <c r="K187" s="207"/>
      <c r="L187" s="207"/>
      <c r="M187" s="207"/>
      <c r="N187" s="207"/>
    </row>
    <row r="188" spans="1:14" ht="15.6">
      <c r="A188" s="220"/>
      <c r="B188" s="207"/>
      <c r="C188" s="207"/>
      <c r="D188" s="207"/>
      <c r="E188" s="207"/>
      <c r="F188" s="207"/>
      <c r="G188" s="207"/>
      <c r="H188" s="207"/>
      <c r="I188" s="207"/>
      <c r="J188" s="207"/>
      <c r="K188" s="207"/>
      <c r="L188" s="207"/>
      <c r="M188" s="207"/>
      <c r="N188" s="207"/>
    </row>
    <row r="189" spans="1:14" ht="15.6">
      <c r="A189" s="220"/>
      <c r="B189" s="207"/>
      <c r="C189" s="207"/>
      <c r="D189" s="207"/>
      <c r="E189" s="207"/>
      <c r="F189" s="207"/>
      <c r="G189" s="207"/>
      <c r="H189" s="207"/>
      <c r="I189" s="207"/>
      <c r="J189" s="207"/>
      <c r="K189" s="207"/>
      <c r="L189" s="207"/>
      <c r="M189" s="207"/>
      <c r="N189" s="207"/>
    </row>
    <row r="190" spans="1:14" ht="15.6">
      <c r="A190" s="220"/>
      <c r="B190" s="207"/>
      <c r="C190" s="207"/>
      <c r="D190" s="207"/>
      <c r="E190" s="207"/>
      <c r="F190" s="207"/>
      <c r="G190" s="207"/>
      <c r="H190" s="207"/>
      <c r="I190" s="207"/>
      <c r="J190" s="207"/>
      <c r="K190" s="207"/>
      <c r="L190" s="207"/>
      <c r="M190" s="207"/>
      <c r="N190" s="207"/>
    </row>
    <row r="191" spans="1:14" ht="15.6">
      <c r="A191" s="220"/>
      <c r="B191" s="207"/>
      <c r="C191" s="207"/>
      <c r="D191" s="207"/>
      <c r="E191" s="207"/>
      <c r="F191" s="207"/>
      <c r="G191" s="207"/>
      <c r="H191" s="207"/>
      <c r="I191" s="207"/>
      <c r="J191" s="207"/>
      <c r="K191" s="207"/>
      <c r="L191" s="207"/>
      <c r="M191" s="207"/>
      <c r="N191" s="207"/>
    </row>
    <row r="192" spans="1:14" ht="15.6">
      <c r="A192" s="220"/>
      <c r="B192" s="207"/>
      <c r="C192" s="207"/>
      <c r="D192" s="207"/>
      <c r="E192" s="207"/>
      <c r="F192" s="207"/>
      <c r="G192" s="207"/>
      <c r="H192" s="207"/>
      <c r="I192" s="207"/>
      <c r="J192" s="207"/>
      <c r="K192" s="207"/>
      <c r="L192" s="207"/>
      <c r="M192" s="207"/>
      <c r="N192" s="207"/>
    </row>
    <row r="193" spans="1:14" ht="15.6">
      <c r="A193" s="220"/>
      <c r="B193" s="207"/>
      <c r="C193" s="207"/>
      <c r="D193" s="207"/>
      <c r="E193" s="207"/>
      <c r="F193" s="207"/>
      <c r="G193" s="207"/>
      <c r="H193" s="207"/>
      <c r="I193" s="207"/>
      <c r="J193" s="207"/>
      <c r="K193" s="207"/>
      <c r="L193" s="207"/>
      <c r="M193" s="207"/>
      <c r="N193" s="207"/>
    </row>
    <row r="194" spans="1:14" ht="15.6">
      <c r="A194" s="220"/>
      <c r="B194" s="207"/>
      <c r="C194" s="207"/>
      <c r="D194" s="207"/>
      <c r="E194" s="207"/>
      <c r="F194" s="207"/>
      <c r="G194" s="207"/>
      <c r="H194" s="207"/>
      <c r="I194" s="207"/>
      <c r="J194" s="207"/>
      <c r="K194" s="207"/>
      <c r="L194" s="207"/>
      <c r="M194" s="207"/>
      <c r="N194" s="207"/>
    </row>
    <row r="195" spans="1:14" ht="15.6">
      <c r="A195" s="220"/>
      <c r="B195" s="207"/>
      <c r="C195" s="207"/>
      <c r="D195" s="207"/>
      <c r="E195" s="207"/>
      <c r="F195" s="207"/>
      <c r="G195" s="207"/>
      <c r="H195" s="207"/>
      <c r="I195" s="207"/>
      <c r="J195" s="207"/>
      <c r="K195" s="207"/>
      <c r="L195" s="207"/>
      <c r="M195" s="207"/>
      <c r="N195" s="207"/>
    </row>
    <row r="196" spans="1:14" ht="15.6">
      <c r="A196" s="220"/>
      <c r="B196" s="207"/>
      <c r="C196" s="207"/>
      <c r="D196" s="207"/>
      <c r="E196" s="207"/>
      <c r="F196" s="207"/>
      <c r="G196" s="207"/>
      <c r="H196" s="207"/>
      <c r="I196" s="207"/>
      <c r="J196" s="207"/>
      <c r="K196" s="207"/>
      <c r="L196" s="207"/>
      <c r="M196" s="207"/>
      <c r="N196" s="207"/>
    </row>
  </sheetData>
  <mergeCells count="24">
    <mergeCell ref="D1:I1"/>
    <mergeCell ref="D2:I2"/>
    <mergeCell ref="A3:F3"/>
    <mergeCell ref="J3:M3"/>
    <mergeCell ref="A33:F33"/>
    <mergeCell ref="J33:M33"/>
    <mergeCell ref="J88:M88"/>
    <mergeCell ref="J34:M34"/>
    <mergeCell ref="C44:J48"/>
    <mergeCell ref="A52:F52"/>
    <mergeCell ref="J52:M52"/>
    <mergeCell ref="J53:M53"/>
    <mergeCell ref="A61:F61"/>
    <mergeCell ref="J61:M61"/>
    <mergeCell ref="J66:M66"/>
    <mergeCell ref="A70:F70"/>
    <mergeCell ref="L70:M70"/>
    <mergeCell ref="A80:F80"/>
    <mergeCell ref="J80:M80"/>
    <mergeCell ref="A91:F91"/>
    <mergeCell ref="I91:M91"/>
    <mergeCell ref="I93:M93"/>
    <mergeCell ref="A121:F121"/>
    <mergeCell ref="J121:M121"/>
  </mergeCells>
  <printOptions horizontalCentered="1"/>
  <pageMargins left="0.25" right="0.25" top="0.75" bottom="0.75" header="0.5" footer="0.5"/>
  <pageSetup scale="53" fitToHeight="0" orientation="landscape" r:id="rId1"/>
  <headerFooter alignWithMargins="0"/>
  <rowBreaks count="3" manualBreakCount="3">
    <brk id="50" max="12" man="1"/>
    <brk id="96" max="12" man="1"/>
    <brk id="118" max="12" man="1"/>
  </rowBreaks>
  <customProperties>
    <customPr name="_pios_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0CCCD2-3268-4B0D-B493-3B0623E57C95}">
  <sheetPr>
    <tabColor theme="9" tint="0.79998168889431442"/>
    <pageSetUpPr fitToPage="1"/>
  </sheetPr>
  <dimension ref="A1:S44"/>
  <sheetViews>
    <sheetView zoomScale="90" zoomScaleNormal="90" zoomScaleSheetLayoutView="100" workbookViewId="0">
      <selection activeCell="K12" sqref="K12"/>
    </sheetView>
  </sheetViews>
  <sheetFormatPr defaultRowHeight="15.6"/>
  <cols>
    <col min="1" max="1" width="8.90625" style="224"/>
    <col min="2" max="2" width="41.1796875" style="224" customWidth="1"/>
    <col min="3" max="3" width="23.81640625" style="224" customWidth="1"/>
    <col min="4" max="4" width="14.6328125" style="224" bestFit="1" customWidth="1"/>
    <col min="5" max="5" width="12.08984375" style="224" bestFit="1" customWidth="1"/>
    <col min="6" max="6" width="12.1796875" style="224" bestFit="1" customWidth="1"/>
    <col min="7" max="8" width="12.08984375" style="224" bestFit="1" customWidth="1"/>
    <col min="9" max="10" width="12" style="224" bestFit="1" customWidth="1"/>
    <col min="11" max="11" width="11.1796875" style="224" bestFit="1" customWidth="1"/>
    <col min="12" max="12" width="12" style="224" bestFit="1" customWidth="1"/>
    <col min="13" max="13" width="14.453125" style="224" bestFit="1" customWidth="1"/>
    <col min="14" max="14" width="12" style="224" bestFit="1" customWidth="1"/>
    <col min="15" max="15" width="14" style="224" bestFit="1" customWidth="1"/>
    <col min="16" max="16" width="13.90625" style="224" bestFit="1" customWidth="1"/>
    <col min="17" max="17" width="15.1796875" style="224" customWidth="1"/>
    <col min="18" max="18" width="8.90625" style="224"/>
    <col min="19" max="19" width="7.36328125" customWidth="1"/>
  </cols>
  <sheetData>
    <row r="1" spans="1:19" ht="17.399999999999999">
      <c r="A1" s="484"/>
      <c r="E1" s="1204" t="s">
        <v>359</v>
      </c>
      <c r="F1" s="1204"/>
      <c r="G1" s="1204"/>
      <c r="H1" s="1204"/>
      <c r="I1" s="1204"/>
      <c r="J1" s="1204"/>
      <c r="O1" s="207"/>
    </row>
    <row r="2" spans="1:19" ht="17.399999999999999">
      <c r="A2" s="485" t="s">
        <v>467</v>
      </c>
      <c r="E2" s="1204" t="str">
        <f>'Appendix A'!$E$9</f>
        <v>NextEra Energy Transmission New York, Inc.</v>
      </c>
      <c r="F2" s="1204"/>
      <c r="G2" s="1204"/>
      <c r="H2" s="1204"/>
      <c r="I2" s="1204"/>
      <c r="J2" s="1204"/>
    </row>
    <row r="3" spans="1:19" ht="16.2" thickBot="1">
      <c r="A3" s="1213"/>
      <c r="B3" s="1213"/>
      <c r="C3" s="1213"/>
      <c r="D3" s="1213"/>
      <c r="E3" s="1213"/>
      <c r="F3" s="1213"/>
      <c r="G3" s="486"/>
      <c r="H3" s="1214"/>
      <c r="I3" s="1215"/>
      <c r="J3" s="1215"/>
      <c r="K3" s="1215"/>
      <c r="L3" s="1215"/>
      <c r="M3" s="1215"/>
      <c r="N3" s="1156"/>
      <c r="O3" s="1156"/>
      <c r="P3" s="1156"/>
      <c r="Q3" s="1156"/>
    </row>
    <row r="4" spans="1:19">
      <c r="A4" s="487"/>
      <c r="B4" s="484"/>
      <c r="C4" s="488"/>
      <c r="D4" s="489"/>
      <c r="E4" s="490"/>
      <c r="F4" s="490"/>
      <c r="G4" s="490"/>
      <c r="H4" s="489"/>
      <c r="I4" s="489"/>
      <c r="J4" s="489"/>
      <c r="K4" s="489"/>
      <c r="L4" s="489"/>
      <c r="M4" s="489"/>
      <c r="N4" s="491"/>
      <c r="O4" s="491"/>
      <c r="P4" s="491"/>
      <c r="Q4" s="492"/>
    </row>
    <row r="5" spans="1:19">
      <c r="A5" s="493"/>
      <c r="B5" s="1108"/>
      <c r="C5" s="1108"/>
      <c r="D5" s="494"/>
      <c r="E5" s="494"/>
      <c r="F5" s="494"/>
      <c r="G5" s="494"/>
      <c r="H5" s="494"/>
      <c r="I5" s="494"/>
      <c r="J5" s="494"/>
      <c r="K5" s="494"/>
      <c r="L5" s="494"/>
      <c r="M5" s="494"/>
      <c r="N5" s="494"/>
      <c r="O5" s="494"/>
      <c r="P5" s="494"/>
      <c r="Q5" s="495"/>
    </row>
    <row r="6" spans="1:19">
      <c r="A6" s="496"/>
      <c r="B6" s="1108"/>
      <c r="C6" s="1109" t="s">
        <v>468</v>
      </c>
      <c r="D6" s="494"/>
      <c r="E6" s="494"/>
      <c r="F6" s="494"/>
      <c r="G6" s="494"/>
      <c r="H6" s="494"/>
      <c r="I6" s="494"/>
      <c r="J6" s="494"/>
      <c r="K6" s="494"/>
      <c r="L6" s="494"/>
      <c r="M6" s="494"/>
      <c r="N6" s="494"/>
      <c r="O6" s="494"/>
      <c r="P6" s="494"/>
      <c r="Q6" s="495"/>
    </row>
    <row r="7" spans="1:19">
      <c r="A7" s="497" t="s">
        <v>272</v>
      </c>
      <c r="B7" s="1110" t="s">
        <v>469</v>
      </c>
      <c r="C7" s="1110" t="s">
        <v>470</v>
      </c>
      <c r="D7" s="1111" t="s">
        <v>302</v>
      </c>
      <c r="E7" s="1111" t="s">
        <v>304</v>
      </c>
      <c r="F7" s="1111" t="s">
        <v>306</v>
      </c>
      <c r="G7" s="1111" t="s">
        <v>307</v>
      </c>
      <c r="H7" s="1111" t="s">
        <v>308</v>
      </c>
      <c r="I7" s="1111" t="s">
        <v>309</v>
      </c>
      <c r="J7" s="1111" t="s">
        <v>471</v>
      </c>
      <c r="K7" s="1111" t="s">
        <v>311</v>
      </c>
      <c r="L7" s="1111" t="s">
        <v>312</v>
      </c>
      <c r="M7" s="1111" t="s">
        <v>313</v>
      </c>
      <c r="N7" s="1111" t="s">
        <v>320</v>
      </c>
      <c r="O7" s="1111" t="s">
        <v>315</v>
      </c>
      <c r="P7" s="1111" t="s">
        <v>302</v>
      </c>
      <c r="Q7" s="498" t="s">
        <v>472</v>
      </c>
    </row>
    <row r="8" spans="1:19">
      <c r="A8" s="496"/>
      <c r="D8" s="499" t="s">
        <v>473</v>
      </c>
      <c r="E8" s="499" t="s">
        <v>474</v>
      </c>
      <c r="F8" s="499" t="s">
        <v>475</v>
      </c>
      <c r="G8" s="499" t="s">
        <v>476</v>
      </c>
      <c r="H8" s="499" t="s">
        <v>477</v>
      </c>
      <c r="I8" s="499" t="s">
        <v>478</v>
      </c>
      <c r="J8" s="499" t="s">
        <v>479</v>
      </c>
      <c r="K8" s="499" t="s">
        <v>480</v>
      </c>
      <c r="L8" s="499" t="s">
        <v>481</v>
      </c>
      <c r="M8" s="499" t="s">
        <v>482</v>
      </c>
      <c r="N8" s="499" t="s">
        <v>483</v>
      </c>
      <c r="O8" s="499" t="s">
        <v>484</v>
      </c>
      <c r="P8" s="499" t="s">
        <v>485</v>
      </c>
      <c r="Q8" s="500" t="s">
        <v>486</v>
      </c>
    </row>
    <row r="9" spans="1:19">
      <c r="A9" s="496">
        <f>+'3 - Cost Support'!A132+1</f>
        <v>198</v>
      </c>
      <c r="B9" s="224" t="s">
        <v>487</v>
      </c>
      <c r="D9" s="501"/>
      <c r="E9" s="501"/>
      <c r="F9" s="501"/>
      <c r="G9" s="501"/>
      <c r="H9" s="501"/>
      <c r="I9" s="501"/>
      <c r="J9" s="501"/>
      <c r="K9" s="501"/>
      <c r="L9" s="501"/>
      <c r="M9" s="501"/>
      <c r="N9" s="501"/>
      <c r="O9" s="501"/>
      <c r="P9" s="501"/>
      <c r="Q9" s="502"/>
    </row>
    <row r="10" spans="1:19">
      <c r="A10" s="496">
        <f t="shared" ref="A10:A40" si="0">A9+1</f>
        <v>199</v>
      </c>
      <c r="B10" s="1112" t="s">
        <v>488</v>
      </c>
      <c r="C10" s="1108" t="s">
        <v>489</v>
      </c>
      <c r="D10" s="503">
        <v>0</v>
      </c>
      <c r="E10" s="503">
        <v>0</v>
      </c>
      <c r="F10" s="503">
        <v>0</v>
      </c>
      <c r="G10" s="503">
        <v>0</v>
      </c>
      <c r="H10" s="503">
        <v>0</v>
      </c>
      <c r="I10" s="503">
        <v>0</v>
      </c>
      <c r="J10" s="503">
        <v>0</v>
      </c>
      <c r="K10" s="503">
        <v>0</v>
      </c>
      <c r="L10" s="503">
        <v>0</v>
      </c>
      <c r="M10" s="503">
        <v>0</v>
      </c>
      <c r="N10" s="503">
        <v>0</v>
      </c>
      <c r="O10" s="503">
        <v>0</v>
      </c>
      <c r="P10" s="503">
        <v>0</v>
      </c>
      <c r="Q10" s="502">
        <f>AVERAGE(D10:P10)</f>
        <v>0</v>
      </c>
    </row>
    <row r="11" spans="1:19">
      <c r="A11" s="496">
        <f t="shared" si="0"/>
        <v>200</v>
      </c>
      <c r="B11" s="1112" t="s">
        <v>490</v>
      </c>
      <c r="C11" s="1108" t="s">
        <v>491</v>
      </c>
      <c r="D11" s="504">
        <v>0</v>
      </c>
      <c r="E11" s="504">
        <v>0</v>
      </c>
      <c r="F11" s="504">
        <v>0</v>
      </c>
      <c r="G11" s="504">
        <v>0</v>
      </c>
      <c r="H11" s="504">
        <v>0</v>
      </c>
      <c r="I11" s="504">
        <v>0</v>
      </c>
      <c r="J11" s="504">
        <v>0</v>
      </c>
      <c r="K11" s="504">
        <v>0</v>
      </c>
      <c r="L11" s="504">
        <v>0</v>
      </c>
      <c r="M11" s="504">
        <v>0</v>
      </c>
      <c r="N11" s="504">
        <v>0</v>
      </c>
      <c r="O11" s="504">
        <v>0</v>
      </c>
      <c r="P11" s="504">
        <v>0</v>
      </c>
      <c r="Q11" s="505">
        <f>AVERAGE(D11:P11)</f>
        <v>0</v>
      </c>
    </row>
    <row r="12" spans="1:19">
      <c r="A12" s="496">
        <f t="shared" si="0"/>
        <v>201</v>
      </c>
      <c r="B12" s="1112" t="s">
        <v>492</v>
      </c>
      <c r="C12" s="1108" t="s">
        <v>493</v>
      </c>
      <c r="D12" s="1107">
        <v>112627680.95868191</v>
      </c>
      <c r="E12" s="1107">
        <v>112129795.26384227</v>
      </c>
      <c r="F12" s="1107">
        <v>111685961.0913206</v>
      </c>
      <c r="G12" s="1107">
        <v>111243045.11361593</v>
      </c>
      <c r="H12" s="1107">
        <v>110726364.45853205</v>
      </c>
      <c r="I12" s="1107">
        <v>110273464.93947768</v>
      </c>
      <c r="J12" s="1107">
        <v>110208515.47702301</v>
      </c>
      <c r="K12" s="1107">
        <v>109819031.80883819</v>
      </c>
      <c r="L12" s="1107">
        <v>109504424.20265886</v>
      </c>
      <c r="M12" s="1107">
        <v>109117076.55457629</v>
      </c>
      <c r="N12" s="1107">
        <v>108989013.0431655</v>
      </c>
      <c r="O12" s="1107">
        <v>108594985.7761727</v>
      </c>
      <c r="P12" s="1107">
        <v>108558001.00898628</v>
      </c>
      <c r="Q12" s="505">
        <f>AVERAGE(D12:P12)</f>
        <v>110267489.20745318</v>
      </c>
    </row>
    <row r="13" spans="1:19">
      <c r="A13" s="496">
        <f t="shared" si="0"/>
        <v>202</v>
      </c>
      <c r="B13" s="1112" t="s">
        <v>494</v>
      </c>
      <c r="C13" s="1108" t="s">
        <v>495</v>
      </c>
      <c r="D13" s="504">
        <v>0</v>
      </c>
      <c r="E13" s="504">
        <v>0</v>
      </c>
      <c r="F13" s="504">
        <v>0</v>
      </c>
      <c r="G13" s="504">
        <v>0</v>
      </c>
      <c r="H13" s="504">
        <v>0</v>
      </c>
      <c r="I13" s="504">
        <v>0</v>
      </c>
      <c r="J13" s="504">
        <v>0</v>
      </c>
      <c r="K13" s="504">
        <v>0</v>
      </c>
      <c r="L13" s="504">
        <v>0</v>
      </c>
      <c r="M13" s="504">
        <v>0</v>
      </c>
      <c r="N13" s="504">
        <v>0</v>
      </c>
      <c r="O13" s="504">
        <v>0</v>
      </c>
      <c r="P13" s="504">
        <v>0</v>
      </c>
      <c r="Q13" s="505">
        <f>AVERAGE(D13:P13)</f>
        <v>0</v>
      </c>
    </row>
    <row r="14" spans="1:19">
      <c r="A14" s="496">
        <f t="shared" si="0"/>
        <v>203</v>
      </c>
      <c r="B14" s="1112" t="s">
        <v>496</v>
      </c>
      <c r="C14" s="1108" t="str">
        <f>"Sum Lines "&amp;A10&amp;" - "&amp;A13</f>
        <v>Sum Lines 199 - 202</v>
      </c>
      <c r="D14" s="503">
        <f>SUM(D10:D13)</f>
        <v>112627680.95868191</v>
      </c>
      <c r="E14" s="503">
        <f>SUM(E10:E13)</f>
        <v>112129795.26384227</v>
      </c>
      <c r="F14" s="503">
        <f t="shared" ref="F14:P14" si="1">SUM(F10:F13)</f>
        <v>111685961.0913206</v>
      </c>
      <c r="G14" s="503">
        <f t="shared" si="1"/>
        <v>111243045.11361593</v>
      </c>
      <c r="H14" s="503">
        <f t="shared" si="1"/>
        <v>110726364.45853205</v>
      </c>
      <c r="I14" s="503">
        <f t="shared" si="1"/>
        <v>110273464.93947768</v>
      </c>
      <c r="J14" s="503">
        <f t="shared" si="1"/>
        <v>110208515.47702301</v>
      </c>
      <c r="K14" s="503">
        <f t="shared" si="1"/>
        <v>109819031.80883819</v>
      </c>
      <c r="L14" s="503">
        <f t="shared" si="1"/>
        <v>109504424.20265886</v>
      </c>
      <c r="M14" s="503">
        <f t="shared" si="1"/>
        <v>109117076.55457629</v>
      </c>
      <c r="N14" s="503">
        <f t="shared" si="1"/>
        <v>108989013.0431655</v>
      </c>
      <c r="O14" s="503">
        <f t="shared" si="1"/>
        <v>108594985.7761727</v>
      </c>
      <c r="P14" s="503">
        <f t="shared" si="1"/>
        <v>108558001.00898628</v>
      </c>
      <c r="Q14" s="505">
        <f>SUM(Q10:Q13)</f>
        <v>110267489.20745318</v>
      </c>
      <c r="S14" s="1103"/>
    </row>
    <row r="15" spans="1:19" ht="16.2" thickBot="1">
      <c r="A15" s="496">
        <f t="shared" si="0"/>
        <v>204</v>
      </c>
      <c r="D15" s="501"/>
      <c r="E15" s="501"/>
      <c r="F15" s="501"/>
      <c r="G15" s="501"/>
      <c r="H15" s="501"/>
      <c r="I15" s="501"/>
      <c r="J15" s="501"/>
      <c r="K15" s="501"/>
      <c r="L15" s="501"/>
      <c r="M15" s="501"/>
      <c r="N15" s="501"/>
      <c r="O15" s="501"/>
      <c r="P15" s="501"/>
      <c r="Q15" s="502"/>
    </row>
    <row r="16" spans="1:19" ht="16.2" thickBot="1">
      <c r="A16" s="496">
        <f t="shared" si="0"/>
        <v>205</v>
      </c>
      <c r="B16" s="1113" t="s">
        <v>497</v>
      </c>
      <c r="C16" s="1108" t="s">
        <v>498</v>
      </c>
      <c r="D16" s="503">
        <v>0</v>
      </c>
      <c r="E16" s="503">
        <v>0</v>
      </c>
      <c r="F16" s="503">
        <v>0</v>
      </c>
      <c r="G16" s="503">
        <v>0</v>
      </c>
      <c r="H16" s="503">
        <v>0</v>
      </c>
      <c r="I16" s="503">
        <v>0</v>
      </c>
      <c r="J16" s="503">
        <v>0</v>
      </c>
      <c r="K16" s="503">
        <v>0</v>
      </c>
      <c r="L16" s="503">
        <v>0</v>
      </c>
      <c r="M16" s="503">
        <v>0</v>
      </c>
      <c r="N16" s="503">
        <v>0</v>
      </c>
      <c r="O16" s="503">
        <v>0</v>
      </c>
      <c r="P16" s="506">
        <v>0</v>
      </c>
      <c r="Q16" s="507">
        <f>AVERAGE(D16:P16)</f>
        <v>0</v>
      </c>
    </row>
    <row r="17" spans="1:19" ht="16.2" thickBot="1">
      <c r="A17" s="496">
        <f t="shared" si="0"/>
        <v>206</v>
      </c>
      <c r="D17" s="501"/>
      <c r="E17" s="501"/>
      <c r="F17" s="501"/>
      <c r="G17" s="501"/>
      <c r="H17" s="501"/>
      <c r="I17" s="501"/>
      <c r="J17" s="501"/>
      <c r="K17" s="501"/>
      <c r="L17" s="501"/>
      <c r="M17" s="501"/>
      <c r="N17" s="501"/>
      <c r="O17" s="501"/>
      <c r="P17" s="501"/>
      <c r="Q17" s="502"/>
    </row>
    <row r="18" spans="1:19" ht="16.2" thickBot="1">
      <c r="A18" s="496">
        <f t="shared" si="0"/>
        <v>207</v>
      </c>
      <c r="B18" s="1113" t="s">
        <v>499</v>
      </c>
      <c r="C18" s="1108" t="s">
        <v>500</v>
      </c>
      <c r="D18" s="503">
        <v>127005682.78319451</v>
      </c>
      <c r="E18" s="503">
        <v>126444237.21241789</v>
      </c>
      <c r="F18" s="503">
        <v>125943743.35829771</v>
      </c>
      <c r="G18" s="503">
        <v>125444284.91535416</v>
      </c>
      <c r="H18" s="503">
        <v>124861645.02770637</v>
      </c>
      <c r="I18" s="503">
        <v>124350928.54877272</v>
      </c>
      <c r="J18" s="503">
        <v>124277687.66557914</v>
      </c>
      <c r="K18" s="503">
        <v>123838482.67805159</v>
      </c>
      <c r="L18" s="503">
        <v>123483712.39874297</v>
      </c>
      <c r="M18" s="503">
        <v>123046916.11473499</v>
      </c>
      <c r="N18" s="503">
        <v>122902504.06995261</v>
      </c>
      <c r="O18" s="503">
        <v>122458175.44972667</v>
      </c>
      <c r="P18" s="503">
        <v>122416469.22289942</v>
      </c>
      <c r="Q18" s="507">
        <f>AVERAGE(D18:P18)</f>
        <v>124344189.95734082</v>
      </c>
    </row>
    <row r="19" spans="1:19" ht="16.2" thickBot="1">
      <c r="A19" s="496">
        <f t="shared" si="0"/>
        <v>208</v>
      </c>
      <c r="B19" s="1113" t="s">
        <v>501</v>
      </c>
      <c r="C19" s="1108" t="s">
        <v>498</v>
      </c>
      <c r="D19" s="503">
        <v>0</v>
      </c>
      <c r="E19" s="503">
        <v>0</v>
      </c>
      <c r="F19" s="503">
        <v>0</v>
      </c>
      <c r="G19" s="503">
        <v>0</v>
      </c>
      <c r="H19" s="503">
        <v>0</v>
      </c>
      <c r="I19" s="503">
        <v>0</v>
      </c>
      <c r="J19" s="503">
        <v>0</v>
      </c>
      <c r="K19" s="503">
        <v>0</v>
      </c>
      <c r="L19" s="503">
        <v>0</v>
      </c>
      <c r="M19" s="503">
        <v>0</v>
      </c>
      <c r="N19" s="503">
        <v>0</v>
      </c>
      <c r="O19" s="503">
        <v>0</v>
      </c>
      <c r="P19" s="506">
        <v>0</v>
      </c>
      <c r="Q19" s="507">
        <f>AVERAGE(D19:P19)</f>
        <v>0</v>
      </c>
    </row>
    <row r="20" spans="1:19" ht="16.2" thickBot="1">
      <c r="A20" s="496">
        <f t="shared" si="0"/>
        <v>209</v>
      </c>
      <c r="B20" s="1113" t="s">
        <v>502</v>
      </c>
      <c r="C20" s="1108" t="s">
        <v>503</v>
      </c>
      <c r="D20" s="503">
        <v>0</v>
      </c>
      <c r="E20" s="503">
        <v>0</v>
      </c>
      <c r="F20" s="503">
        <v>0</v>
      </c>
      <c r="G20" s="503">
        <v>0</v>
      </c>
      <c r="H20" s="503">
        <v>0</v>
      </c>
      <c r="I20" s="503">
        <v>0</v>
      </c>
      <c r="J20" s="503">
        <v>0</v>
      </c>
      <c r="K20" s="503">
        <v>0</v>
      </c>
      <c r="L20" s="503">
        <v>0</v>
      </c>
      <c r="M20" s="503">
        <v>0</v>
      </c>
      <c r="N20" s="503">
        <v>0</v>
      </c>
      <c r="O20" s="503">
        <v>0</v>
      </c>
      <c r="P20" s="506">
        <v>0</v>
      </c>
      <c r="Q20" s="507">
        <f>AVERAGE(D20:P20)</f>
        <v>0</v>
      </c>
    </row>
    <row r="21" spans="1:19" ht="16.2" thickBot="1">
      <c r="A21" s="496">
        <f t="shared" si="0"/>
        <v>210</v>
      </c>
      <c r="B21" s="1113" t="s">
        <v>504</v>
      </c>
      <c r="C21" s="1108" t="s">
        <v>505</v>
      </c>
      <c r="D21" s="503">
        <v>0</v>
      </c>
      <c r="E21" s="503">
        <v>0</v>
      </c>
      <c r="F21" s="503">
        <v>0</v>
      </c>
      <c r="G21" s="503">
        <v>0</v>
      </c>
      <c r="H21" s="503">
        <v>0</v>
      </c>
      <c r="I21" s="503">
        <v>0</v>
      </c>
      <c r="J21" s="503">
        <v>0</v>
      </c>
      <c r="K21" s="503">
        <v>0</v>
      </c>
      <c r="L21" s="503">
        <v>0</v>
      </c>
      <c r="M21" s="503">
        <v>0</v>
      </c>
      <c r="N21" s="503">
        <v>0</v>
      </c>
      <c r="O21" s="503">
        <v>0</v>
      </c>
      <c r="P21" s="506">
        <v>0</v>
      </c>
      <c r="Q21" s="507">
        <f>AVERAGE(D21:P21)</f>
        <v>0</v>
      </c>
    </row>
    <row r="22" spans="1:19" ht="16.2" thickBot="1">
      <c r="A22" s="496">
        <f t="shared" si="0"/>
        <v>211</v>
      </c>
      <c r="B22" s="1113" t="str">
        <f>"Adjusted Common Equity"</f>
        <v>Adjusted Common Equity</v>
      </c>
      <c r="C22" s="1108" t="str">
        <f>"Ln "&amp; A18&amp;" - "&amp;A19&amp;" - "&amp;A20&amp;" - "&amp;A21</f>
        <v>Ln 207 - 208 - 209 - 210</v>
      </c>
      <c r="D22" s="503">
        <f>D18-D19-D20-D21</f>
        <v>127005682.78319451</v>
      </c>
      <c r="E22" s="503">
        <f t="shared" ref="E22:Q22" si="2">E18-E19-E20-E21</f>
        <v>126444237.21241789</v>
      </c>
      <c r="F22" s="503">
        <f t="shared" si="2"/>
        <v>125943743.35829771</v>
      </c>
      <c r="G22" s="503">
        <f t="shared" si="2"/>
        <v>125444284.91535416</v>
      </c>
      <c r="H22" s="503">
        <f t="shared" si="2"/>
        <v>124861645.02770637</v>
      </c>
      <c r="I22" s="503">
        <f t="shared" si="2"/>
        <v>124350928.54877272</v>
      </c>
      <c r="J22" s="503">
        <f t="shared" si="2"/>
        <v>124277687.66557914</v>
      </c>
      <c r="K22" s="503">
        <f t="shared" si="2"/>
        <v>123838482.67805159</v>
      </c>
      <c r="L22" s="503">
        <f t="shared" si="2"/>
        <v>123483712.39874297</v>
      </c>
      <c r="M22" s="503">
        <f t="shared" si="2"/>
        <v>123046916.11473499</v>
      </c>
      <c r="N22" s="503">
        <f t="shared" si="2"/>
        <v>122902504.06995261</v>
      </c>
      <c r="O22" s="503">
        <f t="shared" si="2"/>
        <v>122458175.44972667</v>
      </c>
      <c r="P22" s="506">
        <f t="shared" si="2"/>
        <v>122416469.22289942</v>
      </c>
      <c r="Q22" s="507">
        <f t="shared" si="2"/>
        <v>124344189.95734082</v>
      </c>
      <c r="S22" s="728"/>
    </row>
    <row r="23" spans="1:19" ht="16.2" thickBot="1">
      <c r="A23" s="496">
        <f t="shared" si="0"/>
        <v>212</v>
      </c>
      <c r="D23" s="501"/>
      <c r="E23" s="501"/>
      <c r="F23" s="501"/>
      <c r="G23" s="501"/>
      <c r="H23" s="501"/>
      <c r="I23" s="501"/>
      <c r="J23" s="501"/>
      <c r="K23" s="501"/>
      <c r="L23" s="501"/>
      <c r="M23" s="501"/>
      <c r="N23" s="501"/>
      <c r="O23" s="501"/>
      <c r="P23" s="501"/>
      <c r="Q23" s="502"/>
    </row>
    <row r="24" spans="1:19" ht="16.2" thickBot="1">
      <c r="A24" s="496">
        <f t="shared" si="0"/>
        <v>213</v>
      </c>
      <c r="B24" s="1113" t="str">
        <f>"Total (Line "&amp;A14&amp;" plus Line "&amp;A16&amp;" plus Line "&amp;A22&amp;")"</f>
        <v>Total (Line 203 plus Line 205 plus Line 211)</v>
      </c>
      <c r="C24" s="1108"/>
      <c r="D24" s="503">
        <f>D14+D16+D22</f>
        <v>239633363.74187642</v>
      </c>
      <c r="E24" s="503">
        <f t="shared" ref="E24:Q24" si="3">E14+E16+E22</f>
        <v>238574032.47626016</v>
      </c>
      <c r="F24" s="503">
        <f t="shared" si="3"/>
        <v>237629704.44961831</v>
      </c>
      <c r="G24" s="503">
        <f t="shared" si="3"/>
        <v>236687330.02897009</v>
      </c>
      <c r="H24" s="503">
        <f t="shared" si="3"/>
        <v>235588009.48623842</v>
      </c>
      <c r="I24" s="503">
        <f t="shared" si="3"/>
        <v>234624393.4882504</v>
      </c>
      <c r="J24" s="503">
        <f t="shared" si="3"/>
        <v>234486203.14260215</v>
      </c>
      <c r="K24" s="503">
        <f t="shared" si="3"/>
        <v>233657514.48688978</v>
      </c>
      <c r="L24" s="503">
        <f t="shared" si="3"/>
        <v>232988136.60140184</v>
      </c>
      <c r="M24" s="503">
        <f t="shared" si="3"/>
        <v>232163992.66931129</v>
      </c>
      <c r="N24" s="503">
        <f t="shared" si="3"/>
        <v>231891517.11311811</v>
      </c>
      <c r="O24" s="503">
        <f t="shared" si="3"/>
        <v>231053161.22589937</v>
      </c>
      <c r="P24" s="506">
        <f t="shared" si="3"/>
        <v>230974470.2318857</v>
      </c>
      <c r="Q24" s="507">
        <f t="shared" si="3"/>
        <v>234611679.164794</v>
      </c>
    </row>
    <row r="25" spans="1:19">
      <c r="A25" s="496">
        <f t="shared" si="0"/>
        <v>214</v>
      </c>
      <c r="D25" s="501"/>
      <c r="E25" s="501"/>
      <c r="F25" s="501"/>
      <c r="G25" s="501"/>
      <c r="H25" s="501"/>
      <c r="I25" s="501"/>
      <c r="J25" s="501"/>
      <c r="K25" s="501"/>
      <c r="L25" s="501"/>
      <c r="M25" s="501"/>
      <c r="N25" s="501"/>
      <c r="O25" s="501"/>
      <c r="P25" s="501"/>
      <c r="Q25" s="502"/>
    </row>
    <row r="26" spans="1:19">
      <c r="A26" s="496">
        <f t="shared" si="0"/>
        <v>215</v>
      </c>
      <c r="B26" s="224" t="s">
        <v>506</v>
      </c>
      <c r="D26" s="473"/>
      <c r="E26" s="473"/>
      <c r="F26" s="473"/>
      <c r="G26" s="473"/>
      <c r="H26" s="473"/>
      <c r="I26" s="473"/>
      <c r="J26" s="473"/>
      <c r="K26" s="473"/>
      <c r="L26" s="473"/>
      <c r="M26" s="473"/>
      <c r="N26" s="473"/>
      <c r="O26" s="473"/>
      <c r="P26" s="473"/>
      <c r="Q26" s="508"/>
    </row>
    <row r="27" spans="1:19">
      <c r="A27" s="496">
        <f t="shared" si="0"/>
        <v>216</v>
      </c>
      <c r="B27" s="1114" t="s">
        <v>507</v>
      </c>
      <c r="C27" s="1108" t="s">
        <v>508</v>
      </c>
      <c r="D27" s="509"/>
      <c r="E27" s="501"/>
      <c r="F27" s="501"/>
      <c r="G27" s="501"/>
      <c r="H27" s="501"/>
      <c r="I27" s="501"/>
      <c r="J27" s="501"/>
      <c r="K27" s="501"/>
      <c r="L27" s="501"/>
      <c r="M27" s="501"/>
      <c r="N27" s="501"/>
      <c r="O27" s="291"/>
      <c r="P27" s="506">
        <v>8021338.4598504184</v>
      </c>
      <c r="Q27" s="1115"/>
      <c r="S27" s="1103"/>
    </row>
    <row r="28" spans="1:19">
      <c r="A28" s="496">
        <f t="shared" si="0"/>
        <v>217</v>
      </c>
      <c r="B28" s="1114" t="s">
        <v>509</v>
      </c>
      <c r="C28" s="1108" t="s">
        <v>510</v>
      </c>
      <c r="D28" s="509"/>
      <c r="E28" s="501"/>
      <c r="F28" s="501"/>
      <c r="G28" s="501"/>
      <c r="H28" s="501"/>
      <c r="I28" s="501"/>
      <c r="J28" s="501"/>
      <c r="K28" s="501"/>
      <c r="L28" s="501"/>
      <c r="M28" s="501"/>
      <c r="N28" s="501"/>
      <c r="O28" s="501"/>
      <c r="P28" s="506">
        <v>0</v>
      </c>
      <c r="Q28" s="1115"/>
    </row>
    <row r="29" spans="1:19">
      <c r="A29" s="496">
        <f t="shared" si="0"/>
        <v>218</v>
      </c>
      <c r="B29" s="1114" t="s">
        <v>511</v>
      </c>
      <c r="C29" s="1108" t="s">
        <v>512</v>
      </c>
      <c r="D29" s="494"/>
      <c r="E29" s="501"/>
      <c r="F29" s="501"/>
      <c r="G29" s="501"/>
      <c r="H29"/>
      <c r="I29" s="501"/>
      <c r="J29" s="501"/>
      <c r="K29" s="501"/>
      <c r="L29" s="501"/>
      <c r="M29" s="501"/>
      <c r="N29" s="501"/>
      <c r="O29" s="501"/>
      <c r="P29" s="506">
        <v>0</v>
      </c>
      <c r="Q29" s="502"/>
    </row>
    <row r="30" spans="1:19" ht="31.2">
      <c r="A30" s="496">
        <f t="shared" si="0"/>
        <v>219</v>
      </c>
      <c r="B30" s="1114" t="s">
        <v>513</v>
      </c>
      <c r="C30" s="1108" t="s">
        <v>514</v>
      </c>
      <c r="D30" s="494"/>
      <c r="E30" s="501"/>
      <c r="F30" s="501"/>
      <c r="G30" s="501"/>
      <c r="H30" s="501"/>
      <c r="I30" s="501"/>
      <c r="J30" s="501"/>
      <c r="K30" s="501"/>
      <c r="L30" s="501"/>
      <c r="M30" s="501"/>
      <c r="N30" s="501"/>
      <c r="O30" s="501"/>
      <c r="P30" s="506">
        <v>0</v>
      </c>
      <c r="Q30" s="502"/>
    </row>
    <row r="31" spans="1:19">
      <c r="A31" s="496">
        <f t="shared" si="0"/>
        <v>220</v>
      </c>
      <c r="B31" s="1116" t="s">
        <v>515</v>
      </c>
      <c r="C31" s="1113" t="s">
        <v>516</v>
      </c>
      <c r="D31" s="494"/>
      <c r="E31" s="501"/>
      <c r="F31" s="501"/>
      <c r="G31" s="501"/>
      <c r="H31" s="501"/>
      <c r="I31" s="501"/>
      <c r="J31" s="501"/>
      <c r="K31" s="501"/>
      <c r="L31" s="501"/>
      <c r="M31" s="501"/>
      <c r="N31" s="501"/>
      <c r="O31" s="501"/>
      <c r="P31" s="506">
        <v>0</v>
      </c>
      <c r="Q31" s="502"/>
    </row>
    <row r="32" spans="1:19">
      <c r="A32" s="496">
        <f t="shared" si="0"/>
        <v>221</v>
      </c>
      <c r="B32" s="1116" t="s">
        <v>517</v>
      </c>
      <c r="C32" s="1113" t="s">
        <v>518</v>
      </c>
      <c r="D32" s="494"/>
      <c r="E32" s="501"/>
      <c r="F32" s="501"/>
      <c r="G32" s="501"/>
      <c r="H32" s="501"/>
      <c r="I32" s="501"/>
      <c r="J32" s="501"/>
      <c r="K32" s="501"/>
      <c r="L32" s="501"/>
      <c r="M32" s="501"/>
      <c r="N32" s="501"/>
      <c r="O32" s="501"/>
      <c r="P32" s="510">
        <v>0</v>
      </c>
      <c r="Q32" s="502"/>
    </row>
    <row r="33" spans="1:17">
      <c r="A33" s="496">
        <f>A32+1</f>
        <v>222</v>
      </c>
      <c r="B33" s="1114" t="s">
        <v>519</v>
      </c>
      <c r="C33" s="1108" t="str">
        <f>"Sum Lines "&amp;A27&amp;" - "&amp;A32</f>
        <v>Sum Lines 216 - 221</v>
      </c>
      <c r="D33" s="501"/>
      <c r="E33" s="501"/>
      <c r="F33" s="501"/>
      <c r="G33" s="501"/>
      <c r="H33" s="501"/>
      <c r="I33" s="501"/>
      <c r="J33" s="501"/>
      <c r="K33" s="501"/>
      <c r="L33" s="501"/>
      <c r="M33" s="501"/>
      <c r="N33" s="501"/>
      <c r="O33" s="501"/>
      <c r="P33" s="511">
        <f>SUM(P27:P32)</f>
        <v>8021338.4598504184</v>
      </c>
      <c r="Q33" s="502"/>
    </row>
    <row r="34" spans="1:17" ht="16.2" thickBot="1">
      <c r="A34" s="496">
        <f t="shared" si="0"/>
        <v>223</v>
      </c>
      <c r="B34" s="1112"/>
      <c r="D34" s="501"/>
      <c r="E34" s="501"/>
      <c r="F34" s="501"/>
      <c r="G34" s="501"/>
      <c r="H34" s="501"/>
      <c r="I34" s="501"/>
      <c r="J34" s="501"/>
      <c r="K34" s="501"/>
      <c r="L34" s="501"/>
      <c r="M34" s="501"/>
      <c r="N34" s="501"/>
      <c r="O34" s="501"/>
      <c r="P34" s="501"/>
      <c r="Q34" s="502"/>
    </row>
    <row r="35" spans="1:17" ht="16.2" thickBot="1">
      <c r="A35" s="496">
        <f t="shared" si="0"/>
        <v>224</v>
      </c>
      <c r="B35" s="1112" t="str">
        <f>"Average Cost of Debt (Line "&amp;A33&amp;", col. n / Line "&amp;A14&amp;", col. n)"</f>
        <v>Average Cost of Debt (Line 222, col. n / Line 203, col. n)</v>
      </c>
      <c r="D35" s="501"/>
      <c r="E35" s="501"/>
      <c r="F35" s="501"/>
      <c r="G35" s="501"/>
      <c r="H35" s="501"/>
      <c r="I35" s="501"/>
      <c r="J35" s="501"/>
      <c r="K35" s="501"/>
      <c r="L35" s="501"/>
      <c r="M35" s="501"/>
      <c r="N35" s="1146"/>
      <c r="O35" s="501"/>
      <c r="P35" s="512">
        <f>IF(Q14=0,0,ROUND(P33/Q14,4))</f>
        <v>7.2700000000000001E-2</v>
      </c>
      <c r="Q35" s="502"/>
    </row>
    <row r="36" spans="1:17">
      <c r="A36" s="496">
        <f t="shared" si="0"/>
        <v>225</v>
      </c>
      <c r="B36" s="1112"/>
      <c r="D36" s="501"/>
      <c r="E36" s="501"/>
      <c r="F36" s="501"/>
      <c r="G36" s="501"/>
      <c r="H36" s="501"/>
      <c r="I36" s="501"/>
      <c r="J36" s="501"/>
      <c r="K36" s="501"/>
      <c r="L36" s="501"/>
      <c r="M36" s="501"/>
      <c r="N36" s="501"/>
      <c r="O36" s="501"/>
      <c r="P36" s="501"/>
      <c r="Q36" s="502"/>
    </row>
    <row r="37" spans="1:17">
      <c r="A37" s="496">
        <f t="shared" si="0"/>
        <v>226</v>
      </c>
      <c r="B37" s="224" t="s">
        <v>520</v>
      </c>
      <c r="D37" s="501"/>
      <c r="E37" s="501"/>
      <c r="F37" s="501"/>
      <c r="G37" s="501"/>
      <c r="H37" s="501"/>
      <c r="I37" s="501"/>
      <c r="J37" s="501"/>
      <c r="K37" s="501"/>
      <c r="L37" s="501"/>
      <c r="M37" s="501"/>
      <c r="N37" s="501"/>
      <c r="O37" s="501"/>
      <c r="P37" s="501"/>
      <c r="Q37" s="502"/>
    </row>
    <row r="38" spans="1:17">
      <c r="A38" s="496">
        <f t="shared" si="0"/>
        <v>227</v>
      </c>
      <c r="B38" s="1112" t="s">
        <v>521</v>
      </c>
      <c r="C38" s="1108" t="s">
        <v>522</v>
      </c>
      <c r="D38" s="501"/>
      <c r="E38" s="501"/>
      <c r="F38" s="501"/>
      <c r="G38" s="501"/>
      <c r="H38" s="501"/>
      <c r="I38" s="501"/>
      <c r="J38" s="501"/>
      <c r="K38" s="501"/>
      <c r="L38" s="501"/>
      <c r="M38" s="501"/>
      <c r="N38" s="501"/>
      <c r="O38" s="501"/>
      <c r="P38" s="503"/>
      <c r="Q38" s="502"/>
    </row>
    <row r="39" spans="1:17">
      <c r="A39" s="496">
        <f t="shared" si="0"/>
        <v>228</v>
      </c>
      <c r="B39" s="1112"/>
      <c r="D39" s="501"/>
      <c r="E39" s="501"/>
      <c r="F39" s="501"/>
      <c r="G39" s="501"/>
      <c r="H39" s="501"/>
      <c r="I39" s="501"/>
      <c r="J39" s="501"/>
      <c r="K39" s="501"/>
      <c r="L39" s="501"/>
      <c r="M39" s="501"/>
      <c r="N39" s="501"/>
      <c r="O39" s="501"/>
      <c r="P39" s="501"/>
      <c r="Q39" s="502"/>
    </row>
    <row r="40" spans="1:17">
      <c r="A40" s="496">
        <f t="shared" si="0"/>
        <v>229</v>
      </c>
      <c r="B40" s="1112" t="str">
        <f>"Average Cost of Preferred Stock (Line "&amp;A38&amp;", col. n / Line "&amp;A16&amp;", col. n)"</f>
        <v>Average Cost of Preferred Stock (Line 227, col. n / Line 205, col. n)</v>
      </c>
      <c r="D40" s="501"/>
      <c r="E40" s="501"/>
      <c r="F40" s="501"/>
      <c r="G40" s="501"/>
      <c r="H40" s="501"/>
      <c r="I40" s="501"/>
      <c r="J40" s="501"/>
      <c r="K40" s="501"/>
      <c r="L40" s="501"/>
      <c r="M40" s="501"/>
      <c r="N40" s="501"/>
      <c r="O40" s="501"/>
      <c r="P40" s="501">
        <f>IF(P38=0,0,ROUND(P38/Q16,4))</f>
        <v>0</v>
      </c>
      <c r="Q40" s="502"/>
    </row>
    <row r="41" spans="1:17">
      <c r="A41" s="496"/>
      <c r="B41" s="1112"/>
      <c r="D41" s="501"/>
      <c r="E41" s="501"/>
      <c r="F41" s="501"/>
      <c r="G41" s="501"/>
      <c r="H41" s="501"/>
      <c r="I41" s="501"/>
      <c r="J41" s="501"/>
      <c r="K41" s="501"/>
      <c r="L41" s="501"/>
      <c r="M41" s="501"/>
      <c r="N41" s="501"/>
      <c r="O41" s="501"/>
      <c r="P41" s="501"/>
      <c r="Q41" s="502"/>
    </row>
    <row r="42" spans="1:17">
      <c r="A42" s="496"/>
      <c r="B42" s="1166" t="s">
        <v>523</v>
      </c>
      <c r="C42" s="1166"/>
      <c r="D42" s="1166"/>
      <c r="E42" s="1166"/>
      <c r="F42" s="1166"/>
      <c r="G42" s="1166"/>
      <c r="H42" s="501"/>
      <c r="I42" s="501"/>
      <c r="J42" s="501"/>
      <c r="K42" s="501"/>
      <c r="L42" s="501"/>
      <c r="M42" s="501"/>
      <c r="N42" s="501"/>
      <c r="O42" s="501"/>
      <c r="P42" s="501"/>
      <c r="Q42" s="502"/>
    </row>
    <row r="43" spans="1:17">
      <c r="A43" s="496"/>
      <c r="B43" s="224" t="s">
        <v>524</v>
      </c>
      <c r="D43" s="501"/>
      <c r="E43" s="501"/>
      <c r="F43" s="501"/>
      <c r="G43" s="501"/>
      <c r="H43" s="501"/>
      <c r="I43" s="501"/>
      <c r="J43" s="501"/>
      <c r="K43" s="501"/>
      <c r="L43" s="501"/>
      <c r="M43" s="501"/>
      <c r="N43" s="501"/>
      <c r="O43" s="501"/>
      <c r="P43" s="501"/>
      <c r="Q43" s="502"/>
    </row>
    <row r="44" spans="1:17" ht="16.2" thickBot="1">
      <c r="A44" s="513"/>
      <c r="B44" s="514" t="s">
        <v>525</v>
      </c>
      <c r="C44" s="514"/>
      <c r="D44" s="515"/>
      <c r="E44" s="515"/>
      <c r="F44" s="515"/>
      <c r="G44" s="515"/>
      <c r="H44" s="515"/>
      <c r="I44" s="515"/>
      <c r="J44" s="515"/>
      <c r="K44" s="515"/>
      <c r="L44" s="515"/>
      <c r="M44" s="515"/>
      <c r="N44" s="515"/>
      <c r="O44" s="515"/>
      <c r="P44" s="515"/>
      <c r="Q44" s="516"/>
    </row>
  </sheetData>
  <mergeCells count="5">
    <mergeCell ref="E1:J1"/>
    <mergeCell ref="E2:J2"/>
    <mergeCell ref="A3:F3"/>
    <mergeCell ref="H3:M3"/>
    <mergeCell ref="B42:G42"/>
  </mergeCells>
  <pageMargins left="0.7" right="0.7" top="0.75" bottom="0.75" header="0.3" footer="0.3"/>
  <pageSetup scale="40" orientation="landscape" r:id="rId1"/>
  <customProperties>
    <customPr name="_pios_id" r:id="rId2"/>
  </customProperti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ADE0A5-0A28-4DEF-82A5-1169A5043BA8}">
  <sheetPr>
    <tabColor theme="9" tint="0.79998168889431442"/>
    <pageSetUpPr fitToPage="1"/>
  </sheetPr>
  <dimension ref="A1:S166"/>
  <sheetViews>
    <sheetView zoomScale="90" zoomScaleNormal="90" zoomScaleSheetLayoutView="100" workbookViewId="0">
      <selection activeCell="K12" sqref="K12"/>
    </sheetView>
  </sheetViews>
  <sheetFormatPr defaultRowHeight="15.6"/>
  <cols>
    <col min="1" max="1" width="8.90625" style="518"/>
    <col min="2" max="2" width="48.6328125" style="156" customWidth="1"/>
    <col min="3" max="3" width="18.6328125" style="156" customWidth="1"/>
    <col min="4" max="4" width="11.81640625" style="156" bestFit="1" customWidth="1"/>
    <col min="5" max="5" width="10.81640625" style="156" customWidth="1"/>
    <col min="6" max="6" width="11.1796875" style="156" customWidth="1"/>
    <col min="7" max="7" width="17.453125" style="156" customWidth="1"/>
    <col min="8" max="8" width="11.81640625" style="156" customWidth="1"/>
    <col min="9" max="9" width="13.453125" style="156" bestFit="1" customWidth="1"/>
    <col min="10" max="10" width="17.1796875" style="156" customWidth="1"/>
    <col min="11" max="11" width="17" style="156" customWidth="1"/>
    <col min="12" max="12" width="28.1796875" style="156" customWidth="1"/>
    <col min="13" max="13" width="13.08984375" style="156" customWidth="1"/>
    <col min="14" max="14" width="12.453125" style="156" customWidth="1"/>
    <col min="15" max="15" width="16.1796875" style="156" customWidth="1"/>
    <col min="16" max="18" width="14.81640625" style="156" customWidth="1"/>
    <col min="19" max="19" width="8.90625" style="156"/>
  </cols>
  <sheetData>
    <row r="1" spans="1:10">
      <c r="A1" s="517"/>
    </row>
    <row r="2" spans="1:10">
      <c r="E2" s="519"/>
      <c r="F2" s="520" t="s">
        <v>526</v>
      </c>
      <c r="G2" s="519"/>
    </row>
    <row r="3" spans="1:10">
      <c r="F3" s="521" t="s">
        <v>527</v>
      </c>
    </row>
    <row r="4" spans="1:10">
      <c r="A4" s="522"/>
      <c r="B4" s="517"/>
      <c r="C4" s="519"/>
      <c r="D4" s="519"/>
      <c r="F4" s="520" t="s">
        <v>11</v>
      </c>
      <c r="H4" s="519"/>
      <c r="I4" s="1094"/>
      <c r="J4" s="523" t="str">
        <f>'Appendix A'!M8</f>
        <v>For the 12 months ended 12/31/2025</v>
      </c>
    </row>
    <row r="5" spans="1:10">
      <c r="A5" s="522"/>
      <c r="B5" s="524" t="s">
        <v>528</v>
      </c>
      <c r="C5" s="519"/>
      <c r="D5" s="517" t="s">
        <v>24</v>
      </c>
      <c r="G5" s="517"/>
      <c r="H5" s="517"/>
      <c r="I5" s="517"/>
      <c r="J5" s="519"/>
    </row>
    <row r="6" spans="1:10">
      <c r="A6" s="522"/>
      <c r="B6" s="525"/>
      <c r="C6" s="525"/>
      <c r="D6" s="525"/>
      <c r="E6" s="525"/>
      <c r="F6" s="525"/>
      <c r="G6" s="525"/>
      <c r="H6" s="525"/>
      <c r="I6" s="525"/>
      <c r="J6" s="525"/>
    </row>
    <row r="7" spans="1:10">
      <c r="A7" s="522"/>
      <c r="B7" s="525" t="s">
        <v>529</v>
      </c>
      <c r="C7" s="525"/>
      <c r="D7" s="525"/>
      <c r="E7" s="525"/>
      <c r="F7" s="525"/>
      <c r="G7" s="525"/>
      <c r="H7" s="525"/>
      <c r="I7" s="525"/>
      <c r="J7" s="525"/>
    </row>
    <row r="8" spans="1:10">
      <c r="A8" s="522"/>
      <c r="B8" s="525" t="s">
        <v>530</v>
      </c>
      <c r="C8" s="525"/>
      <c r="D8" s="525"/>
      <c r="E8" s="525"/>
      <c r="F8" s="525"/>
      <c r="G8" s="525"/>
      <c r="H8" s="525"/>
      <c r="I8" s="525"/>
      <c r="J8" s="525"/>
    </row>
    <row r="9" spans="1:10">
      <c r="A9" s="522"/>
      <c r="B9" s="525" t="s">
        <v>531</v>
      </c>
      <c r="C9" s="525"/>
      <c r="D9" s="525"/>
      <c r="E9" s="525"/>
      <c r="F9" s="525"/>
      <c r="G9" s="525"/>
      <c r="H9" s="525"/>
      <c r="I9" s="525"/>
      <c r="J9" s="525"/>
    </row>
    <row r="10" spans="1:10">
      <c r="A10" s="522"/>
      <c r="B10" s="525"/>
      <c r="C10" s="525"/>
      <c r="D10" s="525"/>
      <c r="E10" s="525"/>
      <c r="F10" s="525"/>
      <c r="G10" s="525"/>
      <c r="H10" s="525"/>
      <c r="I10" s="525"/>
      <c r="J10" s="525"/>
    </row>
    <row r="11" spans="1:10">
      <c r="A11" s="522"/>
      <c r="B11" s="525"/>
      <c r="C11" s="525"/>
      <c r="D11" s="525"/>
      <c r="E11" s="525"/>
      <c r="F11" s="526" t="str">
        <f>+'1 - Revenue Credits'!A2</f>
        <v>NextEra Energy Transmission New York, Inc.</v>
      </c>
      <c r="G11" s="525"/>
      <c r="H11" s="525"/>
      <c r="I11" s="525"/>
      <c r="J11" s="525"/>
    </row>
    <row r="12" spans="1:10">
      <c r="A12" s="527" t="s">
        <v>532</v>
      </c>
      <c r="B12" s="525"/>
      <c r="C12" s="525"/>
      <c r="D12" s="525"/>
      <c r="E12" s="525"/>
      <c r="F12" s="526"/>
      <c r="G12" s="525"/>
      <c r="H12" s="525"/>
      <c r="I12" s="525"/>
      <c r="J12" s="525"/>
    </row>
    <row r="13" spans="1:10">
      <c r="A13" s="522"/>
      <c r="F13" s="528" t="s">
        <v>38</v>
      </c>
      <c r="J13" s="529" t="s">
        <v>533</v>
      </c>
    </row>
    <row r="14" spans="1:10">
      <c r="A14" s="522">
        <v>1</v>
      </c>
      <c r="B14" s="156" t="s">
        <v>534</v>
      </c>
      <c r="J14" s="530">
        <f>+'Appendix A'!J117</f>
        <v>233920102.03903374</v>
      </c>
    </row>
    <row r="15" spans="1:10">
      <c r="A15" s="522"/>
      <c r="J15" s="530"/>
    </row>
    <row r="16" spans="1:10">
      <c r="A16" s="531">
        <f>+A14+1</f>
        <v>2</v>
      </c>
      <c r="B16" s="532" t="s">
        <v>535</v>
      </c>
      <c r="C16" s="533"/>
      <c r="D16" s="533"/>
      <c r="E16" s="533"/>
      <c r="F16" s="533"/>
      <c r="G16" s="533"/>
      <c r="H16" s="533"/>
      <c r="I16" s="534"/>
      <c r="J16" s="530"/>
    </row>
    <row r="17" spans="1:10">
      <c r="A17" s="531"/>
      <c r="B17" s="535"/>
      <c r="C17" s="533"/>
      <c r="D17" s="533"/>
      <c r="E17" s="533"/>
      <c r="F17" s="533"/>
      <c r="G17" s="534"/>
      <c r="H17" s="533"/>
      <c r="I17" s="533"/>
      <c r="J17" s="530"/>
    </row>
    <row r="18" spans="1:10" ht="16.2" thickBot="1">
      <c r="A18" s="531"/>
      <c r="B18" s="535"/>
      <c r="C18" s="533"/>
      <c r="D18" s="536" t="s">
        <v>153</v>
      </c>
      <c r="E18" s="536" t="s">
        <v>164</v>
      </c>
      <c r="F18" s="533"/>
      <c r="G18" s="536" t="s">
        <v>165</v>
      </c>
      <c r="H18" s="533"/>
      <c r="I18" s="536" t="s">
        <v>166</v>
      </c>
      <c r="J18" s="530"/>
    </row>
    <row r="19" spans="1:10">
      <c r="A19" s="531">
        <f>+A16+1</f>
        <v>3</v>
      </c>
      <c r="B19" s="532" t="s">
        <v>536</v>
      </c>
      <c r="C19" s="537" t="s">
        <v>537</v>
      </c>
      <c r="D19" s="538">
        <f>+'Appendix A'!F229</f>
        <v>110267489.20745318</v>
      </c>
      <c r="E19" s="539">
        <f>+'Appendix A'!G229</f>
        <v>0.47</v>
      </c>
      <c r="F19" s="539"/>
      <c r="G19" s="540">
        <f>+'Appendix A'!I229</f>
        <v>7.2700000000000001E-2</v>
      </c>
      <c r="H19" s="537"/>
      <c r="I19" s="539">
        <f>E19*G19</f>
        <v>3.4168999999999998E-2</v>
      </c>
      <c r="J19" s="530"/>
    </row>
    <row r="20" spans="1:10">
      <c r="A20" s="531">
        <f>+A19+1</f>
        <v>4</v>
      </c>
      <c r="B20" s="532" t="s">
        <v>538</v>
      </c>
      <c r="C20" s="537" t="s">
        <v>539</v>
      </c>
      <c r="D20" s="538">
        <f>+'Appendix A'!F230</f>
        <v>0</v>
      </c>
      <c r="E20" s="539">
        <f>+'Appendix A'!G230</f>
        <v>0</v>
      </c>
      <c r="F20" s="539"/>
      <c r="G20" s="541">
        <f>+'Appendix A'!I230</f>
        <v>0</v>
      </c>
      <c r="H20" s="537"/>
      <c r="I20" s="539">
        <f>E20*G20</f>
        <v>0</v>
      </c>
      <c r="J20" s="530"/>
    </row>
    <row r="21" spans="1:10" ht="16.2" thickBot="1">
      <c r="A21" s="531">
        <f>+A20+1</f>
        <v>5</v>
      </c>
      <c r="B21" s="532" t="s">
        <v>540</v>
      </c>
      <c r="C21" s="537" t="s">
        <v>541</v>
      </c>
      <c r="D21" s="1147">
        <f>+'Appendix A'!F231</f>
        <v>124344189.95734082</v>
      </c>
      <c r="E21" s="539">
        <f>+'Appendix A'!G231</f>
        <v>0.53</v>
      </c>
      <c r="F21" s="539"/>
      <c r="G21" s="540">
        <f>+'Appendix A'!I231</f>
        <v>9.6500000000000002E-2</v>
      </c>
      <c r="H21" s="537"/>
      <c r="I21" s="542">
        <f>E21*G21</f>
        <v>5.1145000000000003E-2</v>
      </c>
      <c r="J21" s="530"/>
    </row>
    <row r="22" spans="1:10">
      <c r="A22" s="531">
        <f>+A21+1</f>
        <v>6</v>
      </c>
      <c r="B22" s="535" t="s">
        <v>542</v>
      </c>
      <c r="C22" s="537"/>
      <c r="D22" s="538">
        <f>SUM(D19:D21)</f>
        <v>234611679.164794</v>
      </c>
      <c r="E22" s="539" t="s">
        <v>24</v>
      </c>
      <c r="F22" s="539"/>
      <c r="G22" s="533"/>
      <c r="H22" s="533"/>
      <c r="I22" s="539">
        <f>SUM(I19:I21)</f>
        <v>8.5314000000000001E-2</v>
      </c>
      <c r="J22" s="530"/>
    </row>
    <row r="23" spans="1:10">
      <c r="A23" s="531">
        <f t="shared" ref="A23:A34" si="0">+A22+1</f>
        <v>7</v>
      </c>
      <c r="B23" s="535" t="s">
        <v>543</v>
      </c>
      <c r="C23" s="537"/>
      <c r="D23" s="543"/>
      <c r="E23" s="533"/>
      <c r="F23" s="533"/>
      <c r="G23" s="533"/>
      <c r="H23" s="533"/>
      <c r="I23" s="539"/>
      <c r="J23" s="530">
        <f>+I22*J14</f>
        <v>19956659.585358124</v>
      </c>
    </row>
    <row r="24" spans="1:10">
      <c r="A24" s="531"/>
      <c r="J24" s="530"/>
    </row>
    <row r="25" spans="1:10">
      <c r="A25" s="531">
        <f>+A23+1</f>
        <v>8</v>
      </c>
      <c r="B25" s="535" t="s">
        <v>133</v>
      </c>
      <c r="C25" s="533"/>
      <c r="D25" s="533"/>
      <c r="E25" s="533"/>
      <c r="F25" s="537"/>
      <c r="G25" s="544"/>
      <c r="H25" s="533"/>
      <c r="I25" s="537"/>
      <c r="J25" s="530"/>
    </row>
    <row r="26" spans="1:10">
      <c r="A26" s="531">
        <f t="shared" si="0"/>
        <v>9</v>
      </c>
      <c r="B26" s="545" t="s">
        <v>544</v>
      </c>
      <c r="C26" s="546"/>
      <c r="D26" s="547">
        <f>+'Appendix A'!E$172</f>
        <v>0.26134999999999997</v>
      </c>
      <c r="E26" s="533"/>
      <c r="F26" s="537"/>
      <c r="G26" s="544"/>
      <c r="H26" s="533"/>
      <c r="I26" s="537"/>
      <c r="J26" s="530"/>
    </row>
    <row r="27" spans="1:10">
      <c r="A27" s="531">
        <f t="shared" si="0"/>
        <v>10</v>
      </c>
      <c r="B27" s="548" t="s">
        <v>135</v>
      </c>
      <c r="C27" s="546"/>
      <c r="D27" s="547">
        <f>IF(I22=0,0,('4 - Incentives'!D26/(1-'4 - Incentives'!D26))*(1-'4 - Incentives'!I19/'4 - Incentives'!I22))</f>
        <v>0.21211270412469274</v>
      </c>
      <c r="E27" s="533"/>
      <c r="F27" s="537"/>
      <c r="G27" s="544"/>
      <c r="H27" s="533"/>
      <c r="I27" s="537"/>
      <c r="J27" s="530"/>
    </row>
    <row r="28" spans="1:10">
      <c r="A28" s="531">
        <f t="shared" si="0"/>
        <v>11</v>
      </c>
      <c r="B28" s="548" t="str">
        <f>"       where WCLTD=(line "&amp;A19&amp;") and R= (line "&amp;A22&amp;")"</f>
        <v xml:space="preserve">       where WCLTD=(line 3) and R= (line 6)</v>
      </c>
      <c r="C28" s="546"/>
      <c r="D28" s="546"/>
      <c r="E28" s="533"/>
      <c r="F28" s="537"/>
      <c r="G28" s="544"/>
      <c r="H28" s="533"/>
      <c r="I28" s="537"/>
      <c r="J28" s="530"/>
    </row>
    <row r="29" spans="1:10">
      <c r="A29" s="531">
        <f t="shared" si="0"/>
        <v>12</v>
      </c>
      <c r="B29" s="548" t="str">
        <f>"       and FIT, SIT &amp; p are as given in footnote "&amp;'Appendix A'!$A$282&amp;" on Appendix A."</f>
        <v xml:space="preserve">       and FIT, SIT &amp; p are as given in footnote F on Appendix A.</v>
      </c>
      <c r="C29" s="546"/>
      <c r="D29" s="546"/>
      <c r="E29" s="533"/>
      <c r="F29" s="537"/>
      <c r="G29" s="544"/>
      <c r="H29" s="533"/>
      <c r="I29" s="537"/>
      <c r="J29" s="530"/>
    </row>
    <row r="30" spans="1:10">
      <c r="A30" s="531">
        <f t="shared" si="0"/>
        <v>13</v>
      </c>
      <c r="B30" s="545" t="str">
        <f>"      1 / (1 - T)  = (T from line "&amp;A26&amp;")"</f>
        <v xml:space="preserve">      1 / (1 - T)  = (T from line 9)</v>
      </c>
      <c r="C30" s="546"/>
      <c r="D30" s="547">
        <f>IF(D26&gt;0,1/(1-D26),0)</f>
        <v>1.3538211602247343</v>
      </c>
      <c r="E30" s="533"/>
      <c r="F30" s="537"/>
      <c r="G30" s="544"/>
      <c r="H30" s="533"/>
      <c r="I30" s="537"/>
      <c r="J30" s="530"/>
    </row>
    <row r="31" spans="1:10">
      <c r="A31" s="531">
        <f t="shared" si="0"/>
        <v>14</v>
      </c>
      <c r="B31" s="548" t="s">
        <v>545</v>
      </c>
      <c r="C31" s="546"/>
      <c r="D31" s="1157">
        <v>0</v>
      </c>
      <c r="E31" s="533"/>
      <c r="F31" s="537"/>
      <c r="G31" s="544"/>
      <c r="H31" s="533"/>
      <c r="I31" s="537"/>
      <c r="J31" s="530"/>
    </row>
    <row r="32" spans="1:10">
      <c r="A32" s="531">
        <f>A31+1</f>
        <v>15</v>
      </c>
      <c r="B32" s="548" t="s">
        <v>546</v>
      </c>
      <c r="C32" s="546"/>
      <c r="D32" s="569">
        <f>'Appendix A'!E178</f>
        <v>136685.71386989779</v>
      </c>
      <c r="E32" s="533"/>
      <c r="F32" s="549"/>
      <c r="G32" s="539"/>
      <c r="H32" s="533"/>
      <c r="I32" s="537"/>
      <c r="J32" s="550"/>
    </row>
    <row r="33" spans="1:11">
      <c r="A33" s="531">
        <f t="shared" si="0"/>
        <v>16</v>
      </c>
      <c r="B33" s="545" t="str">
        <f>"Income Tax Calculation (line "&amp;A27&amp;" * line "&amp;A23&amp;")"</f>
        <v>Income Tax Calculation (line 10 * line 7)</v>
      </c>
      <c r="C33" s="551"/>
      <c r="D33" s="569">
        <f>+D27*J23</f>
        <v>4233061.0299462816</v>
      </c>
      <c r="E33" s="533"/>
      <c r="F33" s="552"/>
      <c r="G33" s="554">
        <v>1</v>
      </c>
      <c r="H33" s="552"/>
      <c r="J33" s="1139">
        <f>G33*D33</f>
        <v>4233061.0299462816</v>
      </c>
    </row>
    <row r="34" spans="1:11">
      <c r="A34" s="531">
        <f t="shared" si="0"/>
        <v>17</v>
      </c>
      <c r="B34" s="548" t="str">
        <f>"ITC adjustment (line "&amp;A30&amp;" * line "&amp;A31&amp;")"</f>
        <v>ITC adjustment (line 13 * line 14)</v>
      </c>
      <c r="C34" s="551"/>
      <c r="D34" s="1140">
        <f>+D30*D31</f>
        <v>0</v>
      </c>
      <c r="E34" s="552"/>
      <c r="F34" s="549" t="s">
        <v>80</v>
      </c>
      <c r="G34" s="554">
        <f>+'Appendix A'!H97</f>
        <v>1</v>
      </c>
      <c r="H34" s="552"/>
      <c r="J34" s="1139">
        <f>G34*D34</f>
        <v>0</v>
      </c>
    </row>
    <row r="35" spans="1:11">
      <c r="A35" s="531">
        <f>A34+1</f>
        <v>18</v>
      </c>
      <c r="B35" s="555" t="s">
        <v>141</v>
      </c>
      <c r="C35" s="556" t="str">
        <f>"(Sum lines "&amp;A32&amp;" to "&amp;A34&amp;")"</f>
        <v>(Sum lines 15 to 17)</v>
      </c>
      <c r="D35" s="557">
        <f>SUM(D32:D34)</f>
        <v>4369746.7438161792</v>
      </c>
      <c r="E35" s="552"/>
      <c r="J35" s="557">
        <f>SUM(J33:J34)</f>
        <v>4233061.0299462816</v>
      </c>
    </row>
    <row r="36" spans="1:11">
      <c r="A36" s="531"/>
      <c r="B36" s="537"/>
      <c r="C36" s="558"/>
      <c r="D36" s="554"/>
      <c r="E36" s="552"/>
      <c r="F36" s="549"/>
      <c r="G36" s="539"/>
      <c r="H36" s="552"/>
      <c r="I36" s="554"/>
      <c r="J36" s="530"/>
    </row>
    <row r="37" spans="1:11">
      <c r="A37" s="531"/>
      <c r="J37" s="530"/>
    </row>
    <row r="38" spans="1:11">
      <c r="A38" s="531">
        <f>+A35+1</f>
        <v>19</v>
      </c>
      <c r="B38" s="537" t="s">
        <v>547</v>
      </c>
      <c r="E38" s="156" t="str">
        <f>"Sum lines "&amp;A23&amp;" and "&amp;A35&amp;""</f>
        <v>Sum lines 7 and 18</v>
      </c>
      <c r="J38" s="530">
        <f>+J35+J23</f>
        <v>24189720.615304407</v>
      </c>
      <c r="K38" s="559"/>
    </row>
    <row r="39" spans="1:11">
      <c r="A39" s="560">
        <f>+A38+1</f>
        <v>20</v>
      </c>
      <c r="B39" s="156" t="s">
        <v>534</v>
      </c>
      <c r="E39" s="156" t="str">
        <f>"Line "&amp;A14&amp;""</f>
        <v>Line 1</v>
      </c>
      <c r="J39" s="550">
        <f>+J14</f>
        <v>233920102.03903374</v>
      </c>
    </row>
    <row r="40" spans="1:11">
      <c r="A40" s="560">
        <f>+A39+1</f>
        <v>21</v>
      </c>
      <c r="B40" s="156" t="s">
        <v>548</v>
      </c>
      <c r="E40" s="156" t="str">
        <f>"Line "&amp;A38&amp;" / line "&amp;A39&amp;""</f>
        <v>Line 19 / line 20</v>
      </c>
      <c r="J40" s="561">
        <f>IF(J39=0,0,J38/J39)</f>
        <v>0.10341018323969405</v>
      </c>
    </row>
    <row r="41" spans="1:11">
      <c r="A41" s="560"/>
      <c r="B41" s="537"/>
      <c r="J41" s="530"/>
    </row>
    <row r="43" spans="1:11">
      <c r="A43" s="562" t="s">
        <v>549</v>
      </c>
      <c r="F43" s="559">
        <v>5878398</v>
      </c>
      <c r="G43" s="156" t="s">
        <v>1303</v>
      </c>
      <c r="J43" s="519" t="str">
        <f>+F4</f>
        <v>Attachment 4</v>
      </c>
    </row>
    <row r="44" spans="1:11">
      <c r="A44" s="563"/>
      <c r="F44" s="1150">
        <f>5900000*0.3</f>
        <v>1770000</v>
      </c>
      <c r="G44" s="1149" t="s">
        <v>1304</v>
      </c>
      <c r="J44" s="519"/>
    </row>
    <row r="45" spans="1:11">
      <c r="A45" s="560"/>
      <c r="B45" s="537"/>
      <c r="F45" s="559">
        <f>F43+F44</f>
        <v>7648398</v>
      </c>
      <c r="G45" s="156" t="s">
        <v>1305</v>
      </c>
      <c r="H45" s="559">
        <v>9631781</v>
      </c>
      <c r="I45" s="156" t="s">
        <v>1307</v>
      </c>
      <c r="J45" s="529" t="s">
        <v>533</v>
      </c>
    </row>
    <row r="46" spans="1:11">
      <c r="A46" s="557">
        <f>+A40+1</f>
        <v>22</v>
      </c>
      <c r="B46" s="156" t="s">
        <v>534</v>
      </c>
      <c r="F46" s="1150">
        <f>F45*0.3</f>
        <v>2294519.4</v>
      </c>
      <c r="G46" s="1149" t="s">
        <v>1304</v>
      </c>
      <c r="J46" s="539">
        <f>+J14</f>
        <v>233920102.03903374</v>
      </c>
    </row>
    <row r="47" spans="1:11">
      <c r="A47" s="557"/>
      <c r="F47" s="559">
        <f>F45+F46</f>
        <v>9942917.4000000004</v>
      </c>
      <c r="G47" s="156" t="s">
        <v>1306</v>
      </c>
      <c r="H47" s="533">
        <v>7240490</v>
      </c>
      <c r="I47" s="533" t="s">
        <v>1308</v>
      </c>
      <c r="J47" s="559"/>
    </row>
    <row r="48" spans="1:11">
      <c r="A48" s="560">
        <f>+A46+1</f>
        <v>23</v>
      </c>
      <c r="B48" s="532" t="s">
        <v>550</v>
      </c>
      <c r="C48" s="533"/>
      <c r="D48" s="533"/>
      <c r="E48" s="533"/>
      <c r="H48" s="533"/>
      <c r="I48" s="534"/>
      <c r="J48" s="559"/>
    </row>
    <row r="49" spans="1:11">
      <c r="A49" s="560"/>
      <c r="B49" s="535"/>
      <c r="C49" s="533"/>
      <c r="D49" s="533"/>
      <c r="E49" s="533"/>
      <c r="F49" s="533"/>
      <c r="G49" s="533"/>
      <c r="H49" s="533"/>
      <c r="I49" s="533"/>
      <c r="J49" s="559"/>
    </row>
    <row r="50" spans="1:11" ht="16.2" thickBot="1">
      <c r="A50" s="560"/>
      <c r="B50" s="535"/>
      <c r="C50" s="533"/>
      <c r="D50" s="536" t="s">
        <v>153</v>
      </c>
      <c r="E50" s="536" t="s">
        <v>164</v>
      </c>
      <c r="F50" s="533"/>
      <c r="G50" s="536" t="s">
        <v>165</v>
      </c>
      <c r="H50" s="533"/>
      <c r="I50" s="536" t="s">
        <v>166</v>
      </c>
      <c r="J50" s="559"/>
    </row>
    <row r="51" spans="1:11">
      <c r="A51" s="560">
        <f>+A48+1</f>
        <v>24</v>
      </c>
      <c r="B51" s="532" t="s">
        <v>536</v>
      </c>
      <c r="C51" s="537" t="s">
        <v>551</v>
      </c>
      <c r="D51" s="538">
        <f t="shared" ref="D51:E53" si="1">+D19</f>
        <v>110267489.20745318</v>
      </c>
      <c r="E51" s="539">
        <f t="shared" si="1"/>
        <v>0.47</v>
      </c>
      <c r="F51" s="539"/>
      <c r="G51" s="541">
        <f>G19</f>
        <v>7.2700000000000001E-2</v>
      </c>
      <c r="H51" s="539"/>
      <c r="I51" s="564">
        <f>E51*G51</f>
        <v>3.4168999999999998E-2</v>
      </c>
      <c r="J51" s="559"/>
    </row>
    <row r="52" spans="1:11">
      <c r="A52" s="560">
        <f>+A51+1</f>
        <v>25</v>
      </c>
      <c r="B52" s="532" t="s">
        <v>538</v>
      </c>
      <c r="C52" s="537" t="s">
        <v>552</v>
      </c>
      <c r="D52" s="538">
        <f t="shared" si="1"/>
        <v>0</v>
      </c>
      <c r="E52" s="539">
        <f t="shared" si="1"/>
        <v>0</v>
      </c>
      <c r="F52" s="539"/>
      <c r="G52" s="539">
        <f>+G20</f>
        <v>0</v>
      </c>
      <c r="H52" s="539"/>
      <c r="I52" s="564">
        <f>E52*G52</f>
        <v>0</v>
      </c>
      <c r="J52" s="559"/>
    </row>
    <row r="53" spans="1:11" ht="16.2" thickBot="1">
      <c r="A53" s="560">
        <f>+A52+1</f>
        <v>26</v>
      </c>
      <c r="B53" s="532" t="s">
        <v>553</v>
      </c>
      <c r="C53" s="537" t="s">
        <v>554</v>
      </c>
      <c r="D53" s="565">
        <f t="shared" si="1"/>
        <v>124344189.95734082</v>
      </c>
      <c r="E53" s="539">
        <f t="shared" si="1"/>
        <v>0.53</v>
      </c>
      <c r="F53" s="539"/>
      <c r="G53" s="540">
        <f>G21+0.01</f>
        <v>0.1065</v>
      </c>
      <c r="H53" s="539"/>
      <c r="I53" s="566">
        <f>E53*G53</f>
        <v>5.6445000000000002E-2</v>
      </c>
      <c r="J53" s="559"/>
      <c r="K53" s="567"/>
    </row>
    <row r="54" spans="1:11">
      <c r="A54" s="560">
        <f>+A53+1</f>
        <v>27</v>
      </c>
      <c r="B54" s="535" t="s">
        <v>555</v>
      </c>
      <c r="C54" s="537"/>
      <c r="D54" s="538">
        <f>SUM(D51:D53)</f>
        <v>234611679.164794</v>
      </c>
      <c r="E54" s="539" t="s">
        <v>24</v>
      </c>
      <c r="F54" s="539"/>
      <c r="G54" s="539"/>
      <c r="H54" s="539"/>
      <c r="I54" s="564">
        <f>SUM(I51:I53)</f>
        <v>9.0614E-2</v>
      </c>
      <c r="J54" s="559"/>
    </row>
    <row r="55" spans="1:11">
      <c r="A55" s="560">
        <f t="shared" ref="A55:A66" si="2">+A54+1</f>
        <v>28</v>
      </c>
      <c r="B55" s="535" t="s">
        <v>556</v>
      </c>
      <c r="C55" s="537"/>
      <c r="D55" s="543"/>
      <c r="E55" s="533"/>
      <c r="F55" s="533"/>
      <c r="G55" s="533"/>
      <c r="H55" s="533"/>
      <c r="I55" s="568"/>
      <c r="J55" s="539">
        <f>+I54*J46</f>
        <v>21196436.126165003</v>
      </c>
    </row>
    <row r="56" spans="1:11">
      <c r="A56" s="560"/>
      <c r="J56" s="559"/>
    </row>
    <row r="57" spans="1:11">
      <c r="A57" s="560">
        <f>+A55+1</f>
        <v>29</v>
      </c>
      <c r="B57" s="535" t="s">
        <v>133</v>
      </c>
      <c r="C57" s="533"/>
      <c r="D57" s="533"/>
      <c r="E57" s="533"/>
      <c r="F57" s="537"/>
      <c r="G57" s="544"/>
      <c r="H57" s="533"/>
      <c r="I57" s="537"/>
      <c r="J57" s="559"/>
    </row>
    <row r="58" spans="1:11">
      <c r="A58" s="560">
        <f t="shared" si="2"/>
        <v>30</v>
      </c>
      <c r="B58" s="545" t="s">
        <v>544</v>
      </c>
      <c r="C58" s="546"/>
      <c r="D58" s="547">
        <f>+'Appendix A'!E$172</f>
        <v>0.26134999999999997</v>
      </c>
      <c r="E58" s="533"/>
      <c r="F58" s="537"/>
      <c r="G58" s="544"/>
      <c r="H58" s="533"/>
      <c r="I58" s="537"/>
      <c r="J58" s="559"/>
    </row>
    <row r="59" spans="1:11">
      <c r="A59" s="560">
        <f t="shared" si="2"/>
        <v>31</v>
      </c>
      <c r="B59" s="548" t="s">
        <v>135</v>
      </c>
      <c r="C59" s="546"/>
      <c r="D59" s="547">
        <f>IF('4 - Incentives'!D58=0,0,('4 - Incentives'!D58/(1-'4 - Incentives'!D58))*(1-'4 - Incentives'!I51/'4 - Incentives'!I54))</f>
        <v>0.22040121161062445</v>
      </c>
      <c r="E59" s="533"/>
      <c r="F59" s="537"/>
      <c r="G59" s="544"/>
      <c r="H59" s="533"/>
      <c r="I59" s="537"/>
      <c r="J59" s="559"/>
    </row>
    <row r="60" spans="1:11">
      <c r="A60" s="560">
        <f t="shared" si="2"/>
        <v>32</v>
      </c>
      <c r="B60" s="548" t="str">
        <f>"       where WCLTD=(line "&amp;A51&amp;") and R= (line "&amp;A54&amp;")"</f>
        <v xml:space="preserve">       where WCLTD=(line 24) and R= (line 27)</v>
      </c>
      <c r="C60" s="546"/>
      <c r="E60" s="533"/>
      <c r="F60" s="537"/>
      <c r="G60" s="544"/>
      <c r="H60" s="533"/>
      <c r="I60" s="537"/>
      <c r="J60" s="559"/>
    </row>
    <row r="61" spans="1:11">
      <c r="A61" s="560">
        <f t="shared" si="2"/>
        <v>33</v>
      </c>
      <c r="B61" s="548" t="str">
        <f>"       and FIT, SIT &amp; p are as given in footnote "&amp;'Appendix A'!$A$282&amp;" on Appendix A."</f>
        <v xml:space="preserve">       and FIT, SIT &amp; p are as given in footnote F on Appendix A.</v>
      </c>
      <c r="C61" s="546"/>
      <c r="D61" s="546"/>
      <c r="E61" s="533"/>
      <c r="F61" s="537"/>
      <c r="G61" s="544"/>
      <c r="H61" s="533"/>
      <c r="I61" s="537"/>
      <c r="J61" s="559"/>
    </row>
    <row r="62" spans="1:11">
      <c r="A62" s="560">
        <f t="shared" si="2"/>
        <v>34</v>
      </c>
      <c r="B62" s="545" t="str">
        <f>"      1 / (1 - T)  = (T from line "&amp;A58&amp;")"</f>
        <v xml:space="preserve">      1 / (1 - T)  = (T from line 30)</v>
      </c>
      <c r="C62" s="546"/>
      <c r="D62" s="547">
        <f>IF(D58&gt;0,1/(1-D58),0)</f>
        <v>1.3538211602247343</v>
      </c>
      <c r="E62" s="533"/>
      <c r="F62" s="537"/>
      <c r="G62" s="544"/>
      <c r="H62" s="533"/>
      <c r="I62" s="537"/>
      <c r="J62" s="559"/>
    </row>
    <row r="63" spans="1:11">
      <c r="A63" s="560">
        <f t="shared" si="2"/>
        <v>35</v>
      </c>
      <c r="B63" s="548" t="str">
        <f>"Amortized Investment Tax Credit (line "&amp;A31&amp;")"</f>
        <v>Amortized Investment Tax Credit (line 14)</v>
      </c>
      <c r="C63" s="546"/>
      <c r="D63" s="569">
        <f>D31</f>
        <v>0</v>
      </c>
      <c r="E63" s="533"/>
      <c r="F63" s="537"/>
      <c r="G63" s="544"/>
      <c r="H63" s="533"/>
      <c r="I63" s="537"/>
      <c r="J63" s="559"/>
    </row>
    <row r="64" spans="1:11">
      <c r="A64" s="560">
        <f>A63+1</f>
        <v>36</v>
      </c>
      <c r="B64" s="548" t="s">
        <v>557</v>
      </c>
      <c r="C64" s="546"/>
      <c r="D64" s="530">
        <f>D32</f>
        <v>136685.71386989779</v>
      </c>
      <c r="E64" s="533"/>
      <c r="F64" s="549"/>
      <c r="G64" s="550"/>
      <c r="H64" s="533"/>
      <c r="I64" s="537"/>
      <c r="J64" s="550"/>
    </row>
    <row r="65" spans="1:10">
      <c r="A65" s="560">
        <f t="shared" si="2"/>
        <v>37</v>
      </c>
      <c r="B65" s="545" t="str">
        <f>"Income Tax Calculation (line "&amp;A59&amp;" * line "&amp;A55&amp;")"</f>
        <v>Income Tax Calculation (line 31 * line 28)</v>
      </c>
      <c r="C65" s="551"/>
      <c r="D65" s="530">
        <f>+D59*J55</f>
        <v>4671720.2040339774</v>
      </c>
      <c r="E65" s="533"/>
      <c r="F65" s="552"/>
      <c r="G65" s="554">
        <v>1</v>
      </c>
      <c r="H65" s="552"/>
      <c r="J65" s="1139">
        <f>G65*D65</f>
        <v>4671720.2040339774</v>
      </c>
    </row>
    <row r="66" spans="1:10">
      <c r="A66" s="560">
        <f t="shared" si="2"/>
        <v>38</v>
      </c>
      <c r="B66" s="570" t="str">
        <f>"ITC adjustment (line "&amp;A62&amp;" * line "&amp;A63&amp;")"</f>
        <v>ITC adjustment (line 34 * line 35)</v>
      </c>
      <c r="C66" s="571"/>
      <c r="D66" s="572">
        <f>+D62*D63</f>
        <v>0</v>
      </c>
      <c r="E66" s="552"/>
      <c r="F66" s="549" t="s">
        <v>80</v>
      </c>
      <c r="G66" s="554">
        <f>+'Appendix A'!H97</f>
        <v>1</v>
      </c>
      <c r="H66" s="552"/>
      <c r="J66" s="1139">
        <f>G66*D66</f>
        <v>0</v>
      </c>
    </row>
    <row r="67" spans="1:10">
      <c r="A67" s="560">
        <f>+A66+1</f>
        <v>39</v>
      </c>
      <c r="B67" s="573" t="s">
        <v>141</v>
      </c>
      <c r="C67" s="548" t="str">
        <f>"(Sum lines "&amp;A64&amp;" to "&amp;A66&amp;")"</f>
        <v>(Sum lines 36 to 38)</v>
      </c>
      <c r="D67" s="557">
        <f>SUM(D64:D66)</f>
        <v>4808405.917903875</v>
      </c>
      <c r="E67" s="552"/>
      <c r="J67" s="557">
        <f>SUM(J63:J66)</f>
        <v>4671720.2040339774</v>
      </c>
    </row>
    <row r="68" spans="1:10">
      <c r="B68" s="574"/>
      <c r="C68" s="537"/>
      <c r="D68" s="575"/>
      <c r="E68" s="552"/>
      <c r="F68" s="552"/>
      <c r="G68" s="553"/>
      <c r="H68" s="552"/>
      <c r="I68" s="575"/>
      <c r="J68" s="554"/>
    </row>
    <row r="69" spans="1:10">
      <c r="A69" s="560"/>
      <c r="J69" s="559"/>
    </row>
    <row r="70" spans="1:10">
      <c r="A70" s="560">
        <f>+A67+1</f>
        <v>40</v>
      </c>
      <c r="B70" s="537" t="s">
        <v>558</v>
      </c>
      <c r="E70" s="156" t="str">
        <f>"Sum lines "&amp;A55&amp;" and "&amp;A67&amp;""</f>
        <v>Sum lines 28 and 39</v>
      </c>
      <c r="J70" s="530">
        <f>+J67+J55</f>
        <v>25868156.330198981</v>
      </c>
    </row>
    <row r="71" spans="1:10">
      <c r="A71" s="560">
        <f>+A70+1</f>
        <v>41</v>
      </c>
      <c r="B71" s="156" t="s">
        <v>534</v>
      </c>
      <c r="E71" s="156" t="str">
        <f>"Line "&amp;A46&amp;""</f>
        <v>Line 22</v>
      </c>
      <c r="J71" s="550">
        <f>+J46</f>
        <v>233920102.03903374</v>
      </c>
    </row>
    <row r="72" spans="1:10">
      <c r="A72" s="560">
        <f>+A71+1</f>
        <v>42</v>
      </c>
      <c r="B72" s="156" t="s">
        <v>559</v>
      </c>
      <c r="E72" s="156" t="str">
        <f>"Line "&amp;A70&amp;" / line "&amp;A71&amp;""</f>
        <v>Line 40 / line 41</v>
      </c>
      <c r="J72" s="561">
        <f>IF(J71=0,0,J70/J71)</f>
        <v>0.11058543538888513</v>
      </c>
    </row>
    <row r="73" spans="1:10">
      <c r="A73" s="560">
        <f>+A72+1</f>
        <v>43</v>
      </c>
      <c r="B73" s="156" t="s">
        <v>560</v>
      </c>
      <c r="E73" s="156" t="str">
        <f>"Line "&amp;A72&amp;" - Line "&amp;A40&amp;""</f>
        <v>Line 42 - Line 21</v>
      </c>
      <c r="J73" s="561">
        <f>+J72-J40</f>
        <v>7.1752521491910831E-3</v>
      </c>
    </row>
    <row r="76" spans="1:10">
      <c r="A76" s="562" t="s">
        <v>561</v>
      </c>
      <c r="J76" s="576"/>
    </row>
    <row r="77" spans="1:10">
      <c r="A77" s="563"/>
      <c r="J77" s="577" t="s">
        <v>562</v>
      </c>
    </row>
    <row r="78" spans="1:10">
      <c r="A78" s="560"/>
      <c r="B78" s="537"/>
    </row>
    <row r="79" spans="1:10">
      <c r="A79" s="557">
        <f>+A73+1</f>
        <v>44</v>
      </c>
      <c r="B79" s="156" t="s">
        <v>534</v>
      </c>
      <c r="J79" s="530">
        <f>+J46</f>
        <v>233920102.03903374</v>
      </c>
    </row>
    <row r="80" spans="1:10">
      <c r="A80" s="557"/>
      <c r="J80" s="559"/>
    </row>
    <row r="81" spans="1:10">
      <c r="A81" s="560">
        <f>+A79+1</f>
        <v>45</v>
      </c>
      <c r="B81" s="532" t="s">
        <v>563</v>
      </c>
      <c r="C81" s="533"/>
      <c r="D81" s="533"/>
      <c r="E81" s="533"/>
      <c r="F81" s="533"/>
      <c r="G81" s="533"/>
      <c r="H81" s="533"/>
      <c r="I81" s="534"/>
      <c r="J81" s="559"/>
    </row>
    <row r="82" spans="1:10">
      <c r="A82" s="560"/>
      <c r="B82" s="535"/>
      <c r="C82" s="533"/>
      <c r="D82" s="533"/>
      <c r="E82" s="533"/>
      <c r="F82" s="533"/>
      <c r="G82" s="534"/>
      <c r="H82" s="533"/>
      <c r="I82" s="533"/>
      <c r="J82" s="559"/>
    </row>
    <row r="83" spans="1:10" ht="16.2" thickBot="1">
      <c r="A83" s="560"/>
      <c r="B83" s="535"/>
      <c r="C83" s="533"/>
      <c r="D83" s="578"/>
      <c r="E83" s="536" t="s">
        <v>164</v>
      </c>
      <c r="F83" s="533"/>
      <c r="G83" s="536" t="s">
        <v>165</v>
      </c>
      <c r="H83" s="533"/>
      <c r="I83" s="536" t="s">
        <v>166</v>
      </c>
      <c r="J83" s="559"/>
    </row>
    <row r="84" spans="1:10">
      <c r="A84" s="560">
        <f>+A81+1</f>
        <v>46</v>
      </c>
      <c r="B84" s="532" t="s">
        <v>536</v>
      </c>
      <c r="C84" s="537" t="s">
        <v>564</v>
      </c>
      <c r="D84" s="579"/>
      <c r="E84" s="580">
        <f>1-E85-E86</f>
        <v>0.45999999999999996</v>
      </c>
      <c r="F84" s="539"/>
      <c r="G84" s="581">
        <f>+G19</f>
        <v>7.2700000000000001E-2</v>
      </c>
      <c r="H84" s="582"/>
      <c r="I84" s="582">
        <f>E84*G84</f>
        <v>3.3442E-2</v>
      </c>
      <c r="J84" s="559"/>
    </row>
    <row r="85" spans="1:10">
      <c r="A85" s="560">
        <f>+A84+1</f>
        <v>47</v>
      </c>
      <c r="B85" s="532" t="s">
        <v>538</v>
      </c>
      <c r="C85" s="537" t="s">
        <v>552</v>
      </c>
      <c r="D85" s="579"/>
      <c r="E85" s="580">
        <f>+E20</f>
        <v>0</v>
      </c>
      <c r="F85" s="539"/>
      <c r="G85" s="581">
        <f>+G20</f>
        <v>0</v>
      </c>
      <c r="H85" s="582"/>
      <c r="I85" s="582">
        <f>E85*G85</f>
        <v>0</v>
      </c>
      <c r="J85" s="559"/>
    </row>
    <row r="86" spans="1:10" ht="16.2" thickBot="1">
      <c r="A86" s="560">
        <f>+A85+1</f>
        <v>48</v>
      </c>
      <c r="B86" s="532" t="s">
        <v>565</v>
      </c>
      <c r="C86" s="537" t="s">
        <v>566</v>
      </c>
      <c r="D86" s="583"/>
      <c r="E86" s="584">
        <f>+E21+0.01</f>
        <v>0.54</v>
      </c>
      <c r="F86" s="539"/>
      <c r="G86" s="581">
        <f>+G21</f>
        <v>9.6500000000000002E-2</v>
      </c>
      <c r="H86" s="582"/>
      <c r="I86" s="585">
        <f>E86*G86</f>
        <v>5.2110000000000004E-2</v>
      </c>
      <c r="J86" s="559"/>
    </row>
    <row r="87" spans="1:10">
      <c r="A87" s="560">
        <f>+A86+1</f>
        <v>49</v>
      </c>
      <c r="B87" s="535" t="s">
        <v>567</v>
      </c>
      <c r="C87" s="537"/>
      <c r="D87" s="579"/>
      <c r="E87" s="539" t="s">
        <v>24</v>
      </c>
      <c r="F87" s="539"/>
      <c r="G87" s="582"/>
      <c r="H87" s="582"/>
      <c r="I87" s="582">
        <f>SUM(I84:I86)</f>
        <v>8.5552000000000003E-2</v>
      </c>
      <c r="J87" s="559"/>
    </row>
    <row r="88" spans="1:10">
      <c r="A88" s="560">
        <f t="shared" ref="A88:A100" si="3">+A87+1</f>
        <v>50</v>
      </c>
      <c r="B88" s="535" t="str">
        <f>"Line "&amp;A87&amp;" x line "&amp;A79&amp;""</f>
        <v>Line 49 x line 44</v>
      </c>
      <c r="C88" s="537"/>
      <c r="D88" s="543"/>
      <c r="E88" s="533"/>
      <c r="F88" s="533"/>
      <c r="G88" s="582"/>
      <c r="H88" s="582"/>
      <c r="I88" s="539"/>
      <c r="J88" s="530">
        <f>+I87*J79</f>
        <v>20012332.569643416</v>
      </c>
    </row>
    <row r="89" spans="1:10">
      <c r="A89" s="560"/>
      <c r="J89" s="559"/>
    </row>
    <row r="90" spans="1:10">
      <c r="A90" s="560">
        <f>+A88+1</f>
        <v>51</v>
      </c>
      <c r="B90" s="535" t="s">
        <v>133</v>
      </c>
      <c r="C90" s="533"/>
      <c r="D90" s="533"/>
      <c r="E90" s="533"/>
      <c r="F90" s="537"/>
      <c r="G90" s="544"/>
      <c r="H90" s="533"/>
      <c r="I90" s="537"/>
      <c r="J90" s="559"/>
    </row>
    <row r="91" spans="1:10">
      <c r="A91" s="560">
        <f t="shared" si="3"/>
        <v>52</v>
      </c>
      <c r="B91" s="545" t="s">
        <v>544</v>
      </c>
      <c r="C91" s="546"/>
      <c r="D91" s="547">
        <f>+'Appendix A'!E$172</f>
        <v>0.26134999999999997</v>
      </c>
      <c r="E91" s="533"/>
      <c r="F91" s="537"/>
      <c r="G91" s="544"/>
      <c r="H91" s="533"/>
      <c r="I91" s="537"/>
      <c r="J91" s="559"/>
    </row>
    <row r="92" spans="1:10">
      <c r="A92" s="560">
        <f t="shared" si="3"/>
        <v>53</v>
      </c>
      <c r="B92" s="548" t="s">
        <v>135</v>
      </c>
      <c r="C92" s="546"/>
      <c r="D92" s="547">
        <f>IF('4 - Incentives'!D91&gt;0,('4 - Incentives'!D91/(1-'4 - Incentives'!D91))*(1-'4 - Incentives'!I84/'4 - Incentives'!I87),0)</f>
        <v>0.21551361346679096</v>
      </c>
      <c r="E92" s="533"/>
      <c r="F92" s="537"/>
      <c r="G92" s="544"/>
      <c r="H92" s="533"/>
      <c r="I92" s="537"/>
      <c r="J92" s="559"/>
    </row>
    <row r="93" spans="1:10">
      <c r="A93" s="560">
        <f t="shared" si="3"/>
        <v>54</v>
      </c>
      <c r="B93" s="548" t="str">
        <f>"       where WCLTD=(line "&amp;A84&amp;") and R= (line "&amp;A87&amp;")"</f>
        <v xml:space="preserve">       where WCLTD=(line 46) and R= (line 49)</v>
      </c>
      <c r="C93" s="546"/>
      <c r="E93" s="533"/>
      <c r="F93" s="537"/>
      <c r="G93" s="544"/>
      <c r="H93" s="533"/>
      <c r="I93" s="537"/>
      <c r="J93" s="559"/>
    </row>
    <row r="94" spans="1:10">
      <c r="A94" s="560">
        <f t="shared" si="3"/>
        <v>55</v>
      </c>
      <c r="B94" s="548" t="str">
        <f>"       and FIT, SIT &amp; p are as given in footnote "&amp;'Appendix A'!$A$282&amp;" on Appendix A."</f>
        <v xml:space="preserve">       and FIT, SIT &amp; p are as given in footnote F on Appendix A.</v>
      </c>
      <c r="C94" s="546"/>
      <c r="D94" s="546"/>
      <c r="E94" s="533"/>
      <c r="F94" s="537"/>
      <c r="G94" s="544"/>
      <c r="H94" s="533"/>
      <c r="I94" s="537"/>
      <c r="J94" s="559"/>
    </row>
    <row r="95" spans="1:10">
      <c r="A95" s="560">
        <f t="shared" si="3"/>
        <v>56</v>
      </c>
      <c r="B95" s="545" t="str">
        <f>"      1 / (1 - T)  = (T from line "&amp;A91&amp;")"</f>
        <v xml:space="preserve">      1 / (1 - T)  = (T from line 52)</v>
      </c>
      <c r="C95" s="546"/>
      <c r="D95" s="547">
        <f>IF(D91&gt;0,1/(1-D91),0)</f>
        <v>1.3538211602247343</v>
      </c>
      <c r="E95" s="533"/>
      <c r="F95" s="537"/>
      <c r="G95" s="544"/>
      <c r="H95" s="533"/>
      <c r="I95" s="537"/>
      <c r="J95" s="559"/>
    </row>
    <row r="96" spans="1:10">
      <c r="A96" s="560">
        <f t="shared" si="3"/>
        <v>57</v>
      </c>
      <c r="B96" s="548" t="str">
        <f>"Amortized Investment Tax Credit (line "&amp;A31&amp;")"</f>
        <v>Amortized Investment Tax Credit (line 14)</v>
      </c>
      <c r="C96" s="546"/>
      <c r="D96" s="569">
        <f>D31</f>
        <v>0</v>
      </c>
      <c r="E96" s="533"/>
      <c r="F96" s="537"/>
      <c r="G96" s="544"/>
      <c r="H96" s="533"/>
      <c r="I96" s="537"/>
      <c r="J96" s="559"/>
    </row>
    <row r="97" spans="1:13">
      <c r="A97" s="560">
        <f t="shared" si="3"/>
        <v>58</v>
      </c>
      <c r="B97" s="548" t="s">
        <v>557</v>
      </c>
      <c r="C97" s="546"/>
      <c r="D97" s="530">
        <f>D32</f>
        <v>136685.71386989779</v>
      </c>
      <c r="E97" s="533"/>
      <c r="F97" s="549"/>
      <c r="G97" s="550"/>
      <c r="H97" s="533"/>
      <c r="I97" s="537"/>
      <c r="J97" s="530"/>
    </row>
    <row r="98" spans="1:13">
      <c r="A98" s="560">
        <f t="shared" si="3"/>
        <v>59</v>
      </c>
      <c r="B98" s="545" t="str">
        <f>"Income Tax Calculation (line "&amp;A92&amp;" * line "&amp;A88&amp;")"</f>
        <v>Income Tax Calculation (line 53 * line 50)</v>
      </c>
      <c r="C98" s="551"/>
      <c r="D98" s="530">
        <f>+D92*J88</f>
        <v>4312930.1059830021</v>
      </c>
      <c r="E98" s="533"/>
      <c r="F98" s="552"/>
      <c r="G98" s="1148">
        <v>1</v>
      </c>
      <c r="H98" s="552"/>
      <c r="J98" s="1139">
        <f>G98*D98</f>
        <v>4312930.1059830021</v>
      </c>
    </row>
    <row r="99" spans="1:13">
      <c r="A99" s="560">
        <f t="shared" si="3"/>
        <v>60</v>
      </c>
      <c r="B99" s="570" t="str">
        <f>"ITC adjustment (line "&amp;A95&amp;" * line "&amp;A96&amp;")"</f>
        <v>ITC adjustment (line 56 * line 57)</v>
      </c>
      <c r="C99" s="571"/>
      <c r="D99" s="572">
        <f>+D95*D96</f>
        <v>0</v>
      </c>
      <c r="E99" s="552"/>
      <c r="F99" s="549" t="s">
        <v>80</v>
      </c>
      <c r="G99" s="554">
        <f>+'Appendix A'!H97</f>
        <v>1</v>
      </c>
      <c r="H99" s="552"/>
      <c r="J99" s="1139">
        <f>G99*D99</f>
        <v>0</v>
      </c>
    </row>
    <row r="100" spans="1:13">
      <c r="A100" s="560">
        <f t="shared" si="3"/>
        <v>61</v>
      </c>
      <c r="B100" s="573" t="s">
        <v>141</v>
      </c>
      <c r="C100" s="548" t="str">
        <f>"(Sum lines "&amp;A97&amp;" to "&amp;A99&amp;")"</f>
        <v>(Sum lines 58 to 60)</v>
      </c>
      <c r="D100" s="557">
        <f>SUM(D97:D99)</f>
        <v>4449615.8198528998</v>
      </c>
      <c r="E100" s="552"/>
      <c r="J100" s="557">
        <f>SUM(J98:J99)</f>
        <v>4312930.1059830021</v>
      </c>
    </row>
    <row r="101" spans="1:13">
      <c r="B101" s="574"/>
      <c r="C101" s="537"/>
      <c r="D101" s="575"/>
      <c r="E101" s="552"/>
      <c r="F101" s="552"/>
      <c r="G101" s="553"/>
      <c r="H101" s="552"/>
      <c r="I101" s="575"/>
      <c r="J101" s="554"/>
    </row>
    <row r="102" spans="1:13">
      <c r="A102" s="560"/>
      <c r="J102" s="559"/>
    </row>
    <row r="103" spans="1:13">
      <c r="A103" s="560">
        <f>+A100+1</f>
        <v>62</v>
      </c>
      <c r="B103" s="537" t="s">
        <v>568</v>
      </c>
      <c r="E103" s="156" t="str">
        <f>"Sum lines "&amp;A88&amp;" and "&amp;A100&amp;""</f>
        <v>Sum lines 50 and 61</v>
      </c>
      <c r="J103" s="530">
        <f>+J100+J88</f>
        <v>24325262.675626419</v>
      </c>
    </row>
    <row r="104" spans="1:13">
      <c r="A104" s="560">
        <f>+A103+1</f>
        <v>63</v>
      </c>
      <c r="B104" s="156" t="s">
        <v>534</v>
      </c>
      <c r="E104" s="156" t="str">
        <f>"Line "&amp;A79&amp;""</f>
        <v>Line 44</v>
      </c>
      <c r="J104" s="550">
        <f>+J79</f>
        <v>233920102.03903374</v>
      </c>
    </row>
    <row r="105" spans="1:13">
      <c r="A105" s="560">
        <f>+A104+1</f>
        <v>64</v>
      </c>
      <c r="B105" s="156" t="s">
        <v>568</v>
      </c>
      <c r="E105" s="156" t="str">
        <f>"Line "&amp;A103&amp;" / line "&amp;A104&amp;""</f>
        <v>Line 62 / line 63</v>
      </c>
      <c r="J105" s="561">
        <f>IF(J104=0,0,J103/J104)</f>
        <v>0.10398962065931092</v>
      </c>
    </row>
    <row r="106" spans="1:13">
      <c r="A106" s="560">
        <f>+A105+1</f>
        <v>65</v>
      </c>
      <c r="B106" s="156" t="s">
        <v>569</v>
      </c>
      <c r="E106" s="156" t="str">
        <f>"Line "&amp;A105&amp;" - Line "&amp;A40&amp;""</f>
        <v>Line 64 - Line 21</v>
      </c>
      <c r="J106" s="561">
        <f>+J105-J40</f>
        <v>5.7943741961687112E-4</v>
      </c>
    </row>
    <row r="107" spans="1:13">
      <c r="A107" s="586"/>
      <c r="J107" s="519" t="str">
        <f>+J43</f>
        <v>Attachment 4</v>
      </c>
    </row>
    <row r="109" spans="1:13">
      <c r="A109" s="560">
        <f>A106+1</f>
        <v>66</v>
      </c>
      <c r="B109" s="587" t="s">
        <v>570</v>
      </c>
      <c r="E109" s="533"/>
      <c r="F109" s="533"/>
      <c r="G109" s="533"/>
      <c r="H109" s="533"/>
      <c r="J109" s="588"/>
    </row>
    <row r="110" spans="1:13">
      <c r="B110" s="587"/>
      <c r="E110" s="533"/>
      <c r="F110" s="533"/>
      <c r="G110" s="533"/>
      <c r="H110" s="533"/>
      <c r="J110" s="588"/>
    </row>
    <row r="111" spans="1:13">
      <c r="A111" s="560">
        <f>A109+1</f>
        <v>67</v>
      </c>
      <c r="B111" s="587" t="s">
        <v>571</v>
      </c>
      <c r="C111" s="156" t="s">
        <v>572</v>
      </c>
      <c r="E111" s="533"/>
      <c r="F111" s="533"/>
      <c r="G111" s="533"/>
      <c r="H111" s="533"/>
      <c r="M111" s="589">
        <f>IF(M136=0,0,('Appendix A'!J153+'Appendix A'!J169)/M136)</f>
        <v>8.3089090030386323E-2</v>
      </c>
    </row>
    <row r="112" spans="1:13">
      <c r="A112" s="560">
        <f>A111+1</f>
        <v>68</v>
      </c>
      <c r="B112" s="587" t="s">
        <v>573</v>
      </c>
      <c r="C112" s="156" t="s">
        <v>574</v>
      </c>
      <c r="E112" s="533"/>
      <c r="F112" s="533"/>
      <c r="G112" s="533"/>
      <c r="H112" s="533"/>
      <c r="M112" s="589">
        <f>+'Appendix A'!M244</f>
        <v>0.1047641552051035</v>
      </c>
    </row>
    <row r="113" spans="1:19">
      <c r="A113" s="590"/>
      <c r="D113" s="533"/>
      <c r="E113" s="533"/>
      <c r="F113" s="533"/>
      <c r="G113" s="533"/>
      <c r="H113" s="533"/>
      <c r="M113" s="588"/>
    </row>
    <row r="114" spans="1:19">
      <c r="A114" s="591" t="s">
        <v>575</v>
      </c>
    </row>
    <row r="115" spans="1:19">
      <c r="A115" s="590"/>
      <c r="D115" s="533"/>
      <c r="E115" s="533"/>
      <c r="F115" s="533"/>
      <c r="G115" s="533"/>
      <c r="H115" s="533"/>
      <c r="J115" s="588"/>
    </row>
    <row r="116" spans="1:19" ht="16.2" thickBot="1">
      <c r="A116" s="590"/>
      <c r="B116" s="156" t="s">
        <v>175</v>
      </c>
      <c r="C116" s="156" t="s">
        <v>176</v>
      </c>
      <c r="D116" s="528" t="s">
        <v>177</v>
      </c>
      <c r="E116" s="528" t="s">
        <v>380</v>
      </c>
      <c r="F116" s="528" t="s">
        <v>381</v>
      </c>
      <c r="G116" s="528" t="s">
        <v>382</v>
      </c>
      <c r="H116" s="528" t="s">
        <v>383</v>
      </c>
      <c r="I116" s="528" t="s">
        <v>384</v>
      </c>
      <c r="J116" s="528" t="s">
        <v>576</v>
      </c>
      <c r="K116" s="528" t="s">
        <v>577</v>
      </c>
      <c r="L116" s="528" t="s">
        <v>578</v>
      </c>
      <c r="M116" s="528" t="s">
        <v>579</v>
      </c>
      <c r="N116" s="528" t="s">
        <v>580</v>
      </c>
      <c r="O116" s="528" t="s">
        <v>581</v>
      </c>
      <c r="P116" s="528" t="s">
        <v>582</v>
      </c>
      <c r="Q116" s="528" t="s">
        <v>583</v>
      </c>
      <c r="R116" s="528" t="s">
        <v>584</v>
      </c>
    </row>
    <row r="117" spans="1:19" s="601" customFormat="1" ht="92.25" customHeight="1" thickBot="1">
      <c r="A117" s="592" t="s">
        <v>30</v>
      </c>
      <c r="B117" s="593" t="s">
        <v>469</v>
      </c>
      <c r="C117" s="594" t="s">
        <v>585</v>
      </c>
      <c r="D117" s="594" t="s">
        <v>586</v>
      </c>
      <c r="E117" s="594" t="s">
        <v>587</v>
      </c>
      <c r="F117" s="594" t="s">
        <v>588</v>
      </c>
      <c r="G117" s="595" t="s">
        <v>589</v>
      </c>
      <c r="H117" s="596" t="s">
        <v>590</v>
      </c>
      <c r="I117" s="594" t="s">
        <v>591</v>
      </c>
      <c r="J117" s="594" t="s">
        <v>592</v>
      </c>
      <c r="K117" s="594" t="s">
        <v>593</v>
      </c>
      <c r="L117" s="597" t="s">
        <v>594</v>
      </c>
      <c r="M117" s="596" t="s">
        <v>595</v>
      </c>
      <c r="N117" s="596" t="s">
        <v>596</v>
      </c>
      <c r="O117" s="596" t="s">
        <v>597</v>
      </c>
      <c r="P117" s="596" t="s">
        <v>598</v>
      </c>
      <c r="Q117" s="598" t="s">
        <v>599</v>
      </c>
      <c r="R117" s="599" t="s">
        <v>600</v>
      </c>
      <c r="S117" s="600"/>
    </row>
    <row r="118" spans="1:19">
      <c r="A118" s="602">
        <v>69</v>
      </c>
      <c r="B118" s="603" t="s">
        <v>601</v>
      </c>
      <c r="C118" s="604">
        <v>-8079167.9782169601</v>
      </c>
      <c r="D118" s="605">
        <v>9.6500000000000002E-2</v>
      </c>
      <c r="E118" s="606">
        <f>+'Appendix A'!I231</f>
        <v>9.6500000000000002E-2</v>
      </c>
      <c r="F118" s="605">
        <v>0</v>
      </c>
      <c r="G118" s="607">
        <f>+$J$73</f>
        <v>7.1752521491910831E-3</v>
      </c>
      <c r="H118" s="608">
        <f>+F118/0.01*G118</f>
        <v>0</v>
      </c>
      <c r="I118" s="609">
        <f>+C118*H118</f>
        <v>0</v>
      </c>
      <c r="J118" s="604">
        <v>0</v>
      </c>
      <c r="K118" s="610">
        <f>+J118*$J$106*C118</f>
        <v>0</v>
      </c>
      <c r="L118" s="611">
        <f t="shared" ref="L118:L135" si="4">+C118*M$112</f>
        <v>-846407.20799802383</v>
      </c>
      <c r="M118" s="604">
        <f>C118</f>
        <v>-8079167.9782169601</v>
      </c>
      <c r="N118" s="612">
        <f>+M111</f>
        <v>8.3089090030386323E-2</v>
      </c>
      <c r="O118" s="610">
        <f>+M118*N118</f>
        <v>-671290.71551268327</v>
      </c>
      <c r="P118" s="604">
        <v>445123.08560133405</v>
      </c>
      <c r="Q118" s="604"/>
      <c r="R118" s="550">
        <f>+I118+L118+O118+P118+K118-Q118</f>
        <v>-1072574.837909373</v>
      </c>
    </row>
    <row r="119" spans="1:19">
      <c r="A119" s="613" t="s">
        <v>602</v>
      </c>
      <c r="B119" s="603" t="s">
        <v>603</v>
      </c>
      <c r="C119" s="614">
        <f>'8b - WP Incentives'!E5</f>
        <v>160989987.90485355</v>
      </c>
      <c r="D119" s="615">
        <v>9.6500000000000002E-2</v>
      </c>
      <c r="E119" s="616">
        <f>+E118</f>
        <v>9.6500000000000002E-2</v>
      </c>
      <c r="F119" s="615">
        <v>0.01</v>
      </c>
      <c r="G119" s="589">
        <f t="shared" ref="G119:G135" si="5">+$J$73</f>
        <v>7.1752521491910831E-3</v>
      </c>
      <c r="H119" s="617">
        <f>+F119/0.01*G119</f>
        <v>7.1752521491910831E-3</v>
      </c>
      <c r="I119" s="618">
        <f>+C119*H119</f>
        <v>1155143.756712547</v>
      </c>
      <c r="J119" s="614">
        <v>0</v>
      </c>
      <c r="K119" s="550">
        <f t="shared" ref="K119:K135" si="6">+J119*$J$106*C119</f>
        <v>0</v>
      </c>
      <c r="L119" s="619">
        <f t="shared" si="4"/>
        <v>16865980.079331812</v>
      </c>
      <c r="M119" s="614">
        <f>'8b - WP Incentives'!D5</f>
        <v>175640511.93686691</v>
      </c>
      <c r="N119" s="620">
        <f>+N118</f>
        <v>8.3089090030386323E-2</v>
      </c>
      <c r="O119" s="550">
        <f>+M119*N119</f>
        <v>14593810.309305478</v>
      </c>
      <c r="P119" s="614">
        <f>'8b - WP Incentives'!N35-'8b - WP Incentives'!N23</f>
        <v>4538015.851722192</v>
      </c>
      <c r="Q119" s="614"/>
      <c r="R119" s="550">
        <f t="shared" ref="R119:R134" si="7">+I119+L119+O119+P119+K119-Q119</f>
        <v>37152949.997072026</v>
      </c>
    </row>
    <row r="120" spans="1:19">
      <c r="A120" s="613" t="s">
        <v>604</v>
      </c>
      <c r="B120" s="603" t="s">
        <v>605</v>
      </c>
      <c r="C120" s="614">
        <f>'8b - WP Incentives'!E6</f>
        <v>37999285.364286415</v>
      </c>
      <c r="D120" s="615">
        <v>9.6500000000000002E-2</v>
      </c>
      <c r="E120" s="616">
        <f t="shared" ref="E120:E134" si="8">+E119</f>
        <v>9.6500000000000002E-2</v>
      </c>
      <c r="F120" s="615">
        <v>0</v>
      </c>
      <c r="G120" s="589">
        <f t="shared" si="5"/>
        <v>7.1752521491910831E-3</v>
      </c>
      <c r="H120" s="617">
        <f>+F120/0.01*G120</f>
        <v>0</v>
      </c>
      <c r="I120" s="618">
        <f>+C120*H120</f>
        <v>0</v>
      </c>
      <c r="J120" s="614">
        <v>0</v>
      </c>
      <c r="K120" s="550">
        <f t="shared" si="6"/>
        <v>0</v>
      </c>
      <c r="L120" s="619">
        <f t="shared" si="4"/>
        <v>3980963.0295871198</v>
      </c>
      <c r="M120" s="614">
        <f>'8b - WP Incentives'!D6</f>
        <v>41457323.039013319</v>
      </c>
      <c r="N120" s="620">
        <f>+N119</f>
        <v>8.3089090030386323E-2</v>
      </c>
      <c r="O120" s="550">
        <f>+M120*N120</f>
        <v>3444651.2464073868</v>
      </c>
      <c r="P120" s="614">
        <f>'8b - WP Incentives'!O35-'8b - WP Incentives'!O23</f>
        <v>1071130.9540513856</v>
      </c>
      <c r="Q120" s="614">
        <f>'8b - WP Incentives'!E25</f>
        <v>796192.60591742396</v>
      </c>
      <c r="R120" s="550">
        <f t="shared" si="7"/>
        <v>7700552.6241284683</v>
      </c>
    </row>
    <row r="121" spans="1:19">
      <c r="A121" s="613" t="s">
        <v>606</v>
      </c>
      <c r="B121" s="603" t="s">
        <v>607</v>
      </c>
      <c r="C121" s="614">
        <f>'8b - WP Incentives'!E7</f>
        <v>41291512.538657509</v>
      </c>
      <c r="D121" s="615">
        <v>9.6500000000000002E-2</v>
      </c>
      <c r="E121" s="616">
        <f t="shared" si="8"/>
        <v>9.6500000000000002E-2</v>
      </c>
      <c r="F121" s="615">
        <v>0.01</v>
      </c>
      <c r="G121" s="589">
        <f t="shared" si="5"/>
        <v>7.1752521491910831E-3</v>
      </c>
      <c r="H121" s="617">
        <f t="shared" ref="H121:H135" si="9">+F121/0.01*G121</f>
        <v>7.1752521491910831E-3</v>
      </c>
      <c r="I121" s="618">
        <f t="shared" ref="I121:I135" si="10">+C121*H121</f>
        <v>296277.01408635284</v>
      </c>
      <c r="J121" s="614">
        <v>0</v>
      </c>
      <c r="K121" s="550">
        <f t="shared" si="6"/>
        <v>0</v>
      </c>
      <c r="L121" s="619">
        <f t="shared" si="4"/>
        <v>4325870.4282533927</v>
      </c>
      <c r="M121" s="614">
        <f>'8b - WP Incentives'!D7</f>
        <v>45049151.784666456</v>
      </c>
      <c r="N121" s="620">
        <f t="shared" ref="N121:N135" si="11">+N120</f>
        <v>8.3089090030386323E-2</v>
      </c>
      <c r="O121" s="550">
        <f t="shared" ref="O121:O135" si="12">+M121*N121</f>
        <v>3743093.02842869</v>
      </c>
      <c r="P121" s="614">
        <f>'8b - WP Incentives'!P35-'8b - WP Incentives'!P23</f>
        <v>1163932.8686250825</v>
      </c>
      <c r="Q121" s="614"/>
      <c r="R121" s="550">
        <f t="shared" si="7"/>
        <v>9529173.339393517</v>
      </c>
    </row>
    <row r="122" spans="1:19">
      <c r="A122" s="613" t="s">
        <v>1298</v>
      </c>
      <c r="B122" s="603"/>
      <c r="C122" s="614"/>
      <c r="D122" s="615"/>
      <c r="E122" s="616">
        <f t="shared" si="8"/>
        <v>9.6500000000000002E-2</v>
      </c>
      <c r="F122" s="614"/>
      <c r="G122" s="589">
        <f t="shared" si="5"/>
        <v>7.1752521491910831E-3</v>
      </c>
      <c r="H122" s="617">
        <f t="shared" si="9"/>
        <v>0</v>
      </c>
      <c r="I122" s="618">
        <f t="shared" si="10"/>
        <v>0</v>
      </c>
      <c r="J122" s="614"/>
      <c r="K122" s="550">
        <f t="shared" si="6"/>
        <v>0</v>
      </c>
      <c r="L122" s="619">
        <f t="shared" si="4"/>
        <v>0</v>
      </c>
      <c r="M122" s="614"/>
      <c r="N122" s="620">
        <f t="shared" si="11"/>
        <v>8.3089090030386323E-2</v>
      </c>
      <c r="O122" s="550">
        <f t="shared" si="12"/>
        <v>0</v>
      </c>
      <c r="P122" s="614"/>
      <c r="Q122" s="614"/>
      <c r="R122" s="550">
        <f t="shared" si="7"/>
        <v>0</v>
      </c>
    </row>
    <row r="123" spans="1:19">
      <c r="A123" s="613" t="s">
        <v>279</v>
      </c>
      <c r="B123" s="603"/>
      <c r="C123" s="614"/>
      <c r="D123" s="621"/>
      <c r="E123" s="616">
        <f t="shared" si="8"/>
        <v>9.6500000000000002E-2</v>
      </c>
      <c r="F123" s="614"/>
      <c r="G123" s="589">
        <f t="shared" si="5"/>
        <v>7.1752521491910831E-3</v>
      </c>
      <c r="H123" s="617">
        <f t="shared" si="9"/>
        <v>0</v>
      </c>
      <c r="I123" s="618">
        <f t="shared" si="10"/>
        <v>0</v>
      </c>
      <c r="J123" s="614"/>
      <c r="K123" s="550">
        <f t="shared" si="6"/>
        <v>0</v>
      </c>
      <c r="L123" s="619">
        <f t="shared" si="4"/>
        <v>0</v>
      </c>
      <c r="M123" s="614"/>
      <c r="N123" s="620">
        <f t="shared" si="11"/>
        <v>8.3089090030386323E-2</v>
      </c>
      <c r="O123" s="550">
        <f t="shared" si="12"/>
        <v>0</v>
      </c>
      <c r="P123" s="614"/>
      <c r="Q123" s="614"/>
      <c r="R123" s="550">
        <f t="shared" si="7"/>
        <v>0</v>
      </c>
    </row>
    <row r="124" spans="1:19">
      <c r="A124" s="613" t="s">
        <v>279</v>
      </c>
      <c r="B124" s="603"/>
      <c r="C124" s="614"/>
      <c r="D124" s="622"/>
      <c r="E124" s="616">
        <f t="shared" si="8"/>
        <v>9.6500000000000002E-2</v>
      </c>
      <c r="F124" s="614"/>
      <c r="G124" s="589">
        <f t="shared" si="5"/>
        <v>7.1752521491910831E-3</v>
      </c>
      <c r="H124" s="617">
        <f t="shared" si="9"/>
        <v>0</v>
      </c>
      <c r="I124" s="618">
        <f t="shared" si="10"/>
        <v>0</v>
      </c>
      <c r="J124" s="614"/>
      <c r="K124" s="550">
        <f t="shared" si="6"/>
        <v>0</v>
      </c>
      <c r="L124" s="619">
        <f t="shared" si="4"/>
        <v>0</v>
      </c>
      <c r="M124" s="614"/>
      <c r="N124" s="620">
        <f t="shared" si="11"/>
        <v>8.3089090030386323E-2</v>
      </c>
      <c r="O124" s="550">
        <f t="shared" si="12"/>
        <v>0</v>
      </c>
      <c r="P124" s="614"/>
      <c r="Q124" s="614"/>
      <c r="R124" s="550">
        <f t="shared" si="7"/>
        <v>0</v>
      </c>
    </row>
    <row r="125" spans="1:19">
      <c r="A125" s="613" t="s">
        <v>279</v>
      </c>
      <c r="B125" s="603"/>
      <c r="C125" s="614"/>
      <c r="D125" s="623"/>
      <c r="E125" s="616">
        <f t="shared" si="8"/>
        <v>9.6500000000000002E-2</v>
      </c>
      <c r="F125" s="614"/>
      <c r="G125" s="589">
        <f t="shared" si="5"/>
        <v>7.1752521491910831E-3</v>
      </c>
      <c r="H125" s="617">
        <f t="shared" si="9"/>
        <v>0</v>
      </c>
      <c r="I125" s="618">
        <f t="shared" si="10"/>
        <v>0</v>
      </c>
      <c r="J125" s="614"/>
      <c r="K125" s="550">
        <f t="shared" si="6"/>
        <v>0</v>
      </c>
      <c r="L125" s="619">
        <f t="shared" si="4"/>
        <v>0</v>
      </c>
      <c r="M125" s="614"/>
      <c r="N125" s="620">
        <f t="shared" si="11"/>
        <v>8.3089090030386323E-2</v>
      </c>
      <c r="O125" s="550">
        <f t="shared" si="12"/>
        <v>0</v>
      </c>
      <c r="P125" s="614"/>
      <c r="Q125" s="614"/>
      <c r="R125" s="550">
        <f t="shared" si="7"/>
        <v>0</v>
      </c>
    </row>
    <row r="126" spans="1:19">
      <c r="A126" s="613" t="s">
        <v>279</v>
      </c>
      <c r="B126" s="603"/>
      <c r="C126" s="614"/>
      <c r="D126" s="624"/>
      <c r="E126" s="616">
        <f t="shared" si="8"/>
        <v>9.6500000000000002E-2</v>
      </c>
      <c r="F126" s="614"/>
      <c r="G126" s="589">
        <f t="shared" si="5"/>
        <v>7.1752521491910831E-3</v>
      </c>
      <c r="H126" s="617">
        <f t="shared" si="9"/>
        <v>0</v>
      </c>
      <c r="I126" s="618">
        <f t="shared" si="10"/>
        <v>0</v>
      </c>
      <c r="J126" s="614"/>
      <c r="K126" s="550">
        <f t="shared" si="6"/>
        <v>0</v>
      </c>
      <c r="L126" s="619">
        <f t="shared" si="4"/>
        <v>0</v>
      </c>
      <c r="M126" s="614"/>
      <c r="N126" s="620">
        <f t="shared" si="11"/>
        <v>8.3089090030386323E-2</v>
      </c>
      <c r="O126" s="550">
        <f t="shared" si="12"/>
        <v>0</v>
      </c>
      <c r="P126" s="614"/>
      <c r="Q126" s="614"/>
      <c r="R126" s="550">
        <f t="shared" si="7"/>
        <v>0</v>
      </c>
    </row>
    <row r="127" spans="1:19">
      <c r="A127" s="613" t="s">
        <v>279</v>
      </c>
      <c r="B127" s="603"/>
      <c r="C127" s="614"/>
      <c r="D127" s="624"/>
      <c r="E127" s="616">
        <f t="shared" si="8"/>
        <v>9.6500000000000002E-2</v>
      </c>
      <c r="F127" s="614"/>
      <c r="G127" s="589">
        <f t="shared" si="5"/>
        <v>7.1752521491910831E-3</v>
      </c>
      <c r="H127" s="617">
        <f t="shared" si="9"/>
        <v>0</v>
      </c>
      <c r="I127" s="618">
        <f t="shared" si="10"/>
        <v>0</v>
      </c>
      <c r="J127" s="614"/>
      <c r="K127" s="550">
        <f t="shared" si="6"/>
        <v>0</v>
      </c>
      <c r="L127" s="619">
        <f t="shared" si="4"/>
        <v>0</v>
      </c>
      <c r="M127" s="614"/>
      <c r="N127" s="620">
        <f t="shared" si="11"/>
        <v>8.3089090030386323E-2</v>
      </c>
      <c r="O127" s="550">
        <f t="shared" si="12"/>
        <v>0</v>
      </c>
      <c r="P127" s="614"/>
      <c r="Q127" s="614"/>
      <c r="R127" s="550">
        <f t="shared" si="7"/>
        <v>0</v>
      </c>
    </row>
    <row r="128" spans="1:19">
      <c r="A128" s="613" t="s">
        <v>279</v>
      </c>
      <c r="B128" s="603"/>
      <c r="C128" s="614"/>
      <c r="D128" s="622"/>
      <c r="E128" s="616">
        <f t="shared" si="8"/>
        <v>9.6500000000000002E-2</v>
      </c>
      <c r="F128" s="614"/>
      <c r="G128" s="589">
        <f t="shared" si="5"/>
        <v>7.1752521491910831E-3</v>
      </c>
      <c r="H128" s="617">
        <f t="shared" si="9"/>
        <v>0</v>
      </c>
      <c r="I128" s="618">
        <f t="shared" si="10"/>
        <v>0</v>
      </c>
      <c r="J128" s="614"/>
      <c r="K128" s="550">
        <f t="shared" si="6"/>
        <v>0</v>
      </c>
      <c r="L128" s="619">
        <f t="shared" si="4"/>
        <v>0</v>
      </c>
      <c r="M128" s="614"/>
      <c r="N128" s="620">
        <f t="shared" si="11"/>
        <v>8.3089090030386323E-2</v>
      </c>
      <c r="O128" s="550">
        <f t="shared" si="12"/>
        <v>0</v>
      </c>
      <c r="P128" s="614"/>
      <c r="Q128" s="614"/>
      <c r="R128" s="550">
        <f t="shared" si="7"/>
        <v>0</v>
      </c>
    </row>
    <row r="129" spans="1:18">
      <c r="A129" s="613" t="s">
        <v>279</v>
      </c>
      <c r="B129" s="603"/>
      <c r="C129" s="614"/>
      <c r="D129" s="625"/>
      <c r="E129" s="616">
        <f t="shared" si="8"/>
        <v>9.6500000000000002E-2</v>
      </c>
      <c r="F129" s="614"/>
      <c r="G129" s="589">
        <f t="shared" si="5"/>
        <v>7.1752521491910831E-3</v>
      </c>
      <c r="H129" s="617">
        <f t="shared" si="9"/>
        <v>0</v>
      </c>
      <c r="I129" s="618">
        <f t="shared" si="10"/>
        <v>0</v>
      </c>
      <c r="J129" s="614"/>
      <c r="K129" s="550">
        <f t="shared" si="6"/>
        <v>0</v>
      </c>
      <c r="L129" s="619">
        <f t="shared" si="4"/>
        <v>0</v>
      </c>
      <c r="M129" s="614"/>
      <c r="N129" s="620">
        <f t="shared" si="11"/>
        <v>8.3089090030386323E-2</v>
      </c>
      <c r="O129" s="550">
        <f t="shared" si="12"/>
        <v>0</v>
      </c>
      <c r="P129" s="614"/>
      <c r="Q129" s="614"/>
      <c r="R129" s="550">
        <f t="shared" si="7"/>
        <v>0</v>
      </c>
    </row>
    <row r="130" spans="1:18">
      <c r="A130" s="613" t="s">
        <v>279</v>
      </c>
      <c r="B130" s="603"/>
      <c r="C130" s="614"/>
      <c r="D130" s="624"/>
      <c r="E130" s="616">
        <f t="shared" si="8"/>
        <v>9.6500000000000002E-2</v>
      </c>
      <c r="F130" s="614"/>
      <c r="G130" s="589">
        <f t="shared" si="5"/>
        <v>7.1752521491910831E-3</v>
      </c>
      <c r="H130" s="617">
        <f t="shared" si="9"/>
        <v>0</v>
      </c>
      <c r="I130" s="618">
        <f t="shared" si="10"/>
        <v>0</v>
      </c>
      <c r="J130" s="614"/>
      <c r="K130" s="550">
        <f t="shared" si="6"/>
        <v>0</v>
      </c>
      <c r="L130" s="619">
        <f t="shared" si="4"/>
        <v>0</v>
      </c>
      <c r="M130" s="614"/>
      <c r="N130" s="620">
        <f t="shared" si="11"/>
        <v>8.3089090030386323E-2</v>
      </c>
      <c r="O130" s="550">
        <f t="shared" si="12"/>
        <v>0</v>
      </c>
      <c r="P130" s="614"/>
      <c r="Q130" s="614"/>
      <c r="R130" s="550">
        <f t="shared" si="7"/>
        <v>0</v>
      </c>
    </row>
    <row r="131" spans="1:18">
      <c r="A131" s="613" t="s">
        <v>279</v>
      </c>
      <c r="B131" s="603"/>
      <c r="C131" s="614"/>
      <c r="D131" s="614"/>
      <c r="E131" s="616">
        <f t="shared" si="8"/>
        <v>9.6500000000000002E-2</v>
      </c>
      <c r="F131" s="614"/>
      <c r="G131" s="589">
        <f t="shared" si="5"/>
        <v>7.1752521491910831E-3</v>
      </c>
      <c r="H131" s="617">
        <f t="shared" si="9"/>
        <v>0</v>
      </c>
      <c r="I131" s="618">
        <f t="shared" si="10"/>
        <v>0</v>
      </c>
      <c r="J131" s="614"/>
      <c r="K131" s="550">
        <f t="shared" si="6"/>
        <v>0</v>
      </c>
      <c r="L131" s="619">
        <f t="shared" si="4"/>
        <v>0</v>
      </c>
      <c r="M131" s="614"/>
      <c r="N131" s="620">
        <f t="shared" si="11"/>
        <v>8.3089090030386323E-2</v>
      </c>
      <c r="O131" s="550">
        <f t="shared" si="12"/>
        <v>0</v>
      </c>
      <c r="P131" s="614"/>
      <c r="Q131" s="614"/>
      <c r="R131" s="550">
        <f t="shared" si="7"/>
        <v>0</v>
      </c>
    </row>
    <row r="132" spans="1:18">
      <c r="A132" s="613" t="s">
        <v>279</v>
      </c>
      <c r="B132" s="603"/>
      <c r="C132" s="614"/>
      <c r="D132" s="614"/>
      <c r="E132" s="616">
        <f t="shared" si="8"/>
        <v>9.6500000000000002E-2</v>
      </c>
      <c r="F132" s="614"/>
      <c r="G132" s="589">
        <f t="shared" si="5"/>
        <v>7.1752521491910831E-3</v>
      </c>
      <c r="H132" s="617">
        <f t="shared" si="9"/>
        <v>0</v>
      </c>
      <c r="I132" s="618">
        <f t="shared" si="10"/>
        <v>0</v>
      </c>
      <c r="J132" s="614"/>
      <c r="K132" s="550">
        <f t="shared" si="6"/>
        <v>0</v>
      </c>
      <c r="L132" s="619">
        <f t="shared" si="4"/>
        <v>0</v>
      </c>
      <c r="M132" s="614"/>
      <c r="N132" s="620">
        <f t="shared" si="11"/>
        <v>8.3089090030386323E-2</v>
      </c>
      <c r="O132" s="550">
        <f t="shared" si="12"/>
        <v>0</v>
      </c>
      <c r="P132" s="614"/>
      <c r="Q132" s="614"/>
      <c r="R132" s="550">
        <f t="shared" si="7"/>
        <v>0</v>
      </c>
    </row>
    <row r="133" spans="1:18">
      <c r="A133" s="613" t="s">
        <v>279</v>
      </c>
      <c r="B133" s="603"/>
      <c r="C133" s="614"/>
      <c r="D133" s="614"/>
      <c r="E133" s="616">
        <f t="shared" si="8"/>
        <v>9.6500000000000002E-2</v>
      </c>
      <c r="F133" s="614"/>
      <c r="G133" s="589">
        <f t="shared" si="5"/>
        <v>7.1752521491910831E-3</v>
      </c>
      <c r="H133" s="617">
        <f t="shared" si="9"/>
        <v>0</v>
      </c>
      <c r="I133" s="618">
        <f t="shared" si="10"/>
        <v>0</v>
      </c>
      <c r="J133" s="614"/>
      <c r="K133" s="550">
        <f t="shared" si="6"/>
        <v>0</v>
      </c>
      <c r="L133" s="619">
        <f t="shared" si="4"/>
        <v>0</v>
      </c>
      <c r="M133" s="614"/>
      <c r="N133" s="620">
        <f t="shared" si="11"/>
        <v>8.3089090030386323E-2</v>
      </c>
      <c r="O133" s="550">
        <f t="shared" si="12"/>
        <v>0</v>
      </c>
      <c r="P133" s="614"/>
      <c r="Q133" s="614"/>
      <c r="R133" s="550">
        <f t="shared" si="7"/>
        <v>0</v>
      </c>
    </row>
    <row r="134" spans="1:18">
      <c r="A134" s="613" t="s">
        <v>279</v>
      </c>
      <c r="B134" s="603"/>
      <c r="C134" s="614"/>
      <c r="D134" s="614"/>
      <c r="E134" s="616">
        <f t="shared" si="8"/>
        <v>9.6500000000000002E-2</v>
      </c>
      <c r="F134" s="614"/>
      <c r="G134" s="589">
        <f t="shared" si="5"/>
        <v>7.1752521491910831E-3</v>
      </c>
      <c r="H134" s="617">
        <f t="shared" si="9"/>
        <v>0</v>
      </c>
      <c r="I134" s="618">
        <f t="shared" si="10"/>
        <v>0</v>
      </c>
      <c r="J134" s="614"/>
      <c r="K134" s="550">
        <f t="shared" si="6"/>
        <v>0</v>
      </c>
      <c r="L134" s="619">
        <f t="shared" si="4"/>
        <v>0</v>
      </c>
      <c r="M134" s="614"/>
      <c r="N134" s="620">
        <f t="shared" si="11"/>
        <v>8.3089090030386323E-2</v>
      </c>
      <c r="O134" s="550">
        <f t="shared" si="12"/>
        <v>0</v>
      </c>
      <c r="P134" s="614"/>
      <c r="Q134" s="614"/>
      <c r="R134" s="550">
        <f t="shared" si="7"/>
        <v>0</v>
      </c>
    </row>
    <row r="135" spans="1:18" ht="16.2" thickBot="1">
      <c r="A135" s="626"/>
      <c r="B135" s="627"/>
      <c r="C135" s="628"/>
      <c r="D135" s="629"/>
      <c r="E135" s="630">
        <f>+E134</f>
        <v>9.6500000000000002E-2</v>
      </c>
      <c r="F135" s="631"/>
      <c r="G135" s="632">
        <f t="shared" si="5"/>
        <v>7.1752521491910831E-3</v>
      </c>
      <c r="H135" s="633">
        <f t="shared" si="9"/>
        <v>0</v>
      </c>
      <c r="I135" s="634">
        <f t="shared" si="10"/>
        <v>0</v>
      </c>
      <c r="J135" s="631"/>
      <c r="K135" s="635">
        <f t="shared" si="6"/>
        <v>0</v>
      </c>
      <c r="L135" s="636">
        <f t="shared" si="4"/>
        <v>0</v>
      </c>
      <c r="M135" s="631"/>
      <c r="N135" s="620">
        <f t="shared" si="11"/>
        <v>8.3089090030386323E-2</v>
      </c>
      <c r="O135" s="635">
        <f t="shared" si="12"/>
        <v>0</v>
      </c>
      <c r="P135" s="631"/>
      <c r="Q135" s="631"/>
      <c r="R135" s="635"/>
    </row>
    <row r="136" spans="1:18" ht="16.2" thickBot="1">
      <c r="A136" s="637">
        <v>70</v>
      </c>
      <c r="B136" s="638" t="s">
        <v>37</v>
      </c>
      <c r="C136" s="639">
        <f>SUM(C118:C135)</f>
        <v>232201617.82958055</v>
      </c>
      <c r="D136" s="638"/>
      <c r="E136" s="638"/>
      <c r="F136" s="638"/>
      <c r="G136" s="638"/>
      <c r="H136" s="638"/>
      <c r="I136" s="636">
        <f>SUM(I118:I135)</f>
        <v>1451420.7707988999</v>
      </c>
      <c r="J136" s="635"/>
      <c r="K136" s="636">
        <f>SUM(K118:K135)</f>
        <v>0</v>
      </c>
      <c r="L136" s="636">
        <f>SUM(L118:L135)</f>
        <v>24326406.329174299</v>
      </c>
      <c r="M136" s="639">
        <f>SUM(M118:M135)</f>
        <v>254067818.78232974</v>
      </c>
      <c r="N136" s="640"/>
      <c r="O136" s="636">
        <f>SUM(O118:O135)</f>
        <v>21110263.868628871</v>
      </c>
      <c r="P136" s="636">
        <f>SUM(P118:P135)</f>
        <v>7218202.7599999942</v>
      </c>
      <c r="Q136" s="636">
        <f>SUM(Q118:Q135)</f>
        <v>796192.60591742396</v>
      </c>
      <c r="R136" s="641">
        <f>SUM(R118:R135)</f>
        <v>53310101.122684643</v>
      </c>
    </row>
    <row r="137" spans="1:18" ht="16.2" thickBot="1">
      <c r="A137" s="590">
        <f>A136+1</f>
        <v>71</v>
      </c>
      <c r="B137" s="537" t="s">
        <v>608</v>
      </c>
      <c r="I137" s="619"/>
      <c r="J137" s="530"/>
      <c r="K137" s="530"/>
      <c r="L137" s="619"/>
      <c r="M137" s="530"/>
      <c r="N137" s="530"/>
      <c r="O137" s="530"/>
      <c r="P137" s="530"/>
      <c r="Q137" s="530"/>
      <c r="R137" s="642">
        <f>+'Appendix A'!J191</f>
        <v>53310101.12268465</v>
      </c>
    </row>
    <row r="138" spans="1:18">
      <c r="A138" s="590">
        <f>A137+1</f>
        <v>72</v>
      </c>
      <c r="B138" s="156" t="s">
        <v>609</v>
      </c>
      <c r="I138" s="619"/>
      <c r="J138" s="569"/>
      <c r="K138" s="569"/>
      <c r="L138" s="619"/>
      <c r="M138" s="569"/>
      <c r="N138" s="569"/>
      <c r="O138" s="569"/>
      <c r="P138" s="569"/>
      <c r="Q138" s="569"/>
      <c r="R138" s="530">
        <f>+R136-R137</f>
        <v>0</v>
      </c>
    </row>
    <row r="139" spans="1:18">
      <c r="A139" s="590"/>
      <c r="I139" s="619"/>
      <c r="J139" s="569"/>
      <c r="K139" s="569"/>
      <c r="L139" s="619"/>
      <c r="M139" s="569"/>
      <c r="N139" s="569"/>
      <c r="O139" s="569"/>
      <c r="P139" s="569"/>
      <c r="Q139" s="569"/>
      <c r="R139" s="530"/>
    </row>
    <row r="140" spans="1:18">
      <c r="A140" s="590" t="s">
        <v>610</v>
      </c>
      <c r="I140" s="619"/>
      <c r="J140" s="530"/>
      <c r="K140" s="530"/>
      <c r="L140" s="619"/>
      <c r="M140" s="530"/>
      <c r="N140" s="530"/>
      <c r="O140" s="530"/>
      <c r="P140" s="530"/>
      <c r="Q140" s="530"/>
      <c r="R140" s="530"/>
    </row>
    <row r="141" spans="1:18">
      <c r="A141" s="518" t="s">
        <v>196</v>
      </c>
      <c r="B141" s="156" t="s">
        <v>611</v>
      </c>
      <c r="O141" s="559"/>
    </row>
    <row r="142" spans="1:18">
      <c r="A142" s="518" t="s">
        <v>199</v>
      </c>
      <c r="B142" s="156" t="s">
        <v>612</v>
      </c>
      <c r="C142" s="643"/>
      <c r="D142" s="643"/>
      <c r="E142" s="643"/>
      <c r="F142" s="643"/>
      <c r="G142" s="643"/>
      <c r="H142" s="643"/>
      <c r="I142" s="643"/>
      <c r="J142" s="643"/>
    </row>
    <row r="143" spans="1:18">
      <c r="A143" s="518" t="s">
        <v>201</v>
      </c>
      <c r="B143" s="644" t="s">
        <v>613</v>
      </c>
    </row>
    <row r="144" spans="1:18" ht="15" customHeight="1">
      <c r="B144" s="156" t="s">
        <v>614</v>
      </c>
      <c r="C144" s="644"/>
      <c r="D144" s="644"/>
      <c r="E144" s="644"/>
      <c r="F144" s="644"/>
      <c r="G144" s="644"/>
      <c r="H144" s="644"/>
      <c r="I144" s="644"/>
      <c r="J144" s="644"/>
      <c r="K144" s="644"/>
    </row>
    <row r="145" spans="1:12">
      <c r="A145" s="518" t="s">
        <v>204</v>
      </c>
      <c r="B145" s="156" t="s">
        <v>615</v>
      </c>
    </row>
    <row r="147" spans="1:12">
      <c r="B147" s="1257" t="s">
        <v>616</v>
      </c>
      <c r="C147" s="1257"/>
      <c r="D147" s="1257" t="s">
        <v>617</v>
      </c>
      <c r="E147" s="1257"/>
      <c r="F147" s="1257"/>
      <c r="G147" s="1257" t="s">
        <v>194</v>
      </c>
      <c r="H147" s="1257"/>
      <c r="I147" s="1257"/>
      <c r="J147" s="1257"/>
      <c r="K147" s="1257"/>
    </row>
    <row r="148" spans="1:12" ht="244.5" customHeight="1">
      <c r="B148" s="1216" t="s">
        <v>603</v>
      </c>
      <c r="C148" s="1216"/>
      <c r="D148" s="1217" t="s">
        <v>618</v>
      </c>
      <c r="E148" s="1218"/>
      <c r="F148" s="1219"/>
      <c r="G148" s="1220" t="s">
        <v>619</v>
      </c>
      <c r="H148" s="1221"/>
      <c r="I148" s="1221"/>
      <c r="J148" s="1221"/>
      <c r="K148" s="1221"/>
      <c r="L148" s="1222"/>
    </row>
    <row r="149" spans="1:12" ht="85.5" customHeight="1">
      <c r="B149" s="1216" t="s">
        <v>605</v>
      </c>
      <c r="C149" s="1216"/>
      <c r="D149" s="1217" t="s">
        <v>618</v>
      </c>
      <c r="E149" s="1218"/>
      <c r="F149" s="1219"/>
      <c r="G149" s="1227" t="s">
        <v>620</v>
      </c>
      <c r="H149" s="1228"/>
      <c r="I149" s="1228"/>
      <c r="J149" s="1228"/>
      <c r="K149" s="1228"/>
      <c r="L149" s="1229"/>
    </row>
    <row r="150" spans="1:12" ht="54.75" customHeight="1">
      <c r="B150" s="1216" t="s">
        <v>607</v>
      </c>
      <c r="C150" s="1216"/>
      <c r="D150" s="1217" t="s">
        <v>618</v>
      </c>
      <c r="E150" s="1218"/>
      <c r="F150" s="1219"/>
      <c r="G150" s="1220" t="s">
        <v>621</v>
      </c>
      <c r="H150" s="1255"/>
      <c r="I150" s="1255"/>
      <c r="J150" s="1255"/>
      <c r="K150" s="1255"/>
      <c r="L150" s="1256"/>
    </row>
    <row r="151" spans="1:12" ht="118.5" customHeight="1">
      <c r="B151" s="1216" t="s">
        <v>622</v>
      </c>
      <c r="C151" s="1216"/>
      <c r="D151" s="1217" t="s">
        <v>618</v>
      </c>
      <c r="E151" s="1218"/>
      <c r="F151" s="1219"/>
      <c r="G151" s="1227" t="s">
        <v>623</v>
      </c>
      <c r="H151" s="1228"/>
      <c r="I151" s="1228"/>
      <c r="J151" s="1228"/>
      <c r="K151" s="1228"/>
      <c r="L151" s="1229"/>
    </row>
    <row r="152" spans="1:12" ht="27" customHeight="1">
      <c r="B152" s="1230" t="s">
        <v>624</v>
      </c>
      <c r="C152" s="1231"/>
      <c r="D152" s="1236" t="s">
        <v>618</v>
      </c>
      <c r="E152" s="1237"/>
      <c r="F152" s="1238"/>
      <c r="G152" s="1245" t="s">
        <v>624</v>
      </c>
      <c r="H152" s="1246"/>
      <c r="I152" s="1247"/>
      <c r="J152" s="1248"/>
      <c r="K152" s="1249"/>
      <c r="L152" s="1229"/>
    </row>
    <row r="153" spans="1:12" ht="38.25" customHeight="1">
      <c r="B153" s="1232"/>
      <c r="C153" s="1233"/>
      <c r="D153" s="1239"/>
      <c r="E153" s="1240"/>
      <c r="F153" s="1241"/>
      <c r="G153" s="1225" t="s">
        <v>625</v>
      </c>
      <c r="H153" s="1226"/>
      <c r="I153" s="1225" t="s">
        <v>626</v>
      </c>
      <c r="J153" s="1254"/>
      <c r="K153" s="1250"/>
      <c r="L153" s="1251"/>
    </row>
    <row r="154" spans="1:12" ht="30" customHeight="1">
      <c r="B154" s="1232"/>
      <c r="C154" s="1233"/>
      <c r="D154" s="1239"/>
      <c r="E154" s="1240"/>
      <c r="F154" s="1241"/>
      <c r="G154" s="1225" t="s">
        <v>627</v>
      </c>
      <c r="H154" s="1226"/>
      <c r="I154" s="1223" t="s">
        <v>628</v>
      </c>
      <c r="J154" s="1224"/>
      <c r="K154" s="1250"/>
      <c r="L154" s="1251"/>
    </row>
    <row r="155" spans="1:12" ht="30" customHeight="1">
      <c r="B155" s="1232"/>
      <c r="C155" s="1233"/>
      <c r="D155" s="1239"/>
      <c r="E155" s="1240"/>
      <c r="F155" s="1241"/>
      <c r="G155" s="1225" t="s">
        <v>629</v>
      </c>
      <c r="H155" s="1226"/>
      <c r="I155" s="1223" t="s">
        <v>630</v>
      </c>
      <c r="J155" s="1224"/>
      <c r="K155" s="1250"/>
      <c r="L155" s="1251"/>
    </row>
    <row r="156" spans="1:12" ht="30.75" customHeight="1">
      <c r="B156" s="1232"/>
      <c r="C156" s="1233"/>
      <c r="D156" s="1239"/>
      <c r="E156" s="1240"/>
      <c r="F156" s="1241"/>
      <c r="G156" s="1225" t="s">
        <v>631</v>
      </c>
      <c r="H156" s="1226"/>
      <c r="I156" s="1223" t="s">
        <v>632</v>
      </c>
      <c r="J156" s="1224"/>
      <c r="K156" s="1250"/>
      <c r="L156" s="1251"/>
    </row>
    <row r="157" spans="1:12" ht="26.25" customHeight="1">
      <c r="B157" s="1232"/>
      <c r="C157" s="1233"/>
      <c r="D157" s="1239"/>
      <c r="E157" s="1240"/>
      <c r="F157" s="1241"/>
      <c r="G157" s="1225" t="s">
        <v>633</v>
      </c>
      <c r="H157" s="1226"/>
      <c r="I157" s="1223" t="s">
        <v>634</v>
      </c>
      <c r="J157" s="1224"/>
      <c r="K157" s="1250"/>
      <c r="L157" s="1251"/>
    </row>
    <row r="158" spans="1:12" ht="26.25" customHeight="1">
      <c r="B158" s="1232"/>
      <c r="C158" s="1233"/>
      <c r="D158" s="1239"/>
      <c r="E158" s="1240"/>
      <c r="F158" s="1241"/>
      <c r="G158" s="1225" t="s">
        <v>635</v>
      </c>
      <c r="H158" s="1226"/>
      <c r="I158" s="1223" t="s">
        <v>636</v>
      </c>
      <c r="J158" s="1224"/>
      <c r="K158" s="1250"/>
      <c r="L158" s="1251"/>
    </row>
    <row r="159" spans="1:12" ht="25.5" customHeight="1">
      <c r="B159" s="1234"/>
      <c r="C159" s="1235"/>
      <c r="D159" s="1242"/>
      <c r="E159" s="1243"/>
      <c r="F159" s="1244"/>
      <c r="G159" s="1225" t="s">
        <v>637</v>
      </c>
      <c r="H159" s="1226"/>
      <c r="I159" s="1223" t="s">
        <v>638</v>
      </c>
      <c r="J159" s="1224"/>
      <c r="K159" s="1252"/>
      <c r="L159" s="1253"/>
    </row>
    <row r="160" spans="1:12">
      <c r="B160" s="1216"/>
      <c r="C160" s="1216"/>
      <c r="D160" s="1217"/>
      <c r="E160" s="1218"/>
      <c r="F160" s="1219"/>
      <c r="G160" s="1220"/>
      <c r="H160" s="1221"/>
      <c r="I160" s="1221"/>
      <c r="J160" s="1221"/>
      <c r="K160" s="1221"/>
      <c r="L160" s="1222"/>
    </row>
    <row r="164" spans="12:17">
      <c r="L164" s="530"/>
      <c r="M164" s="530"/>
      <c r="N164" s="530"/>
      <c r="O164" s="530"/>
      <c r="P164" s="530"/>
      <c r="Q164" s="530"/>
    </row>
    <row r="165" spans="12:17">
      <c r="L165" s="530"/>
      <c r="M165" s="530"/>
      <c r="N165" s="530"/>
      <c r="O165" s="530"/>
      <c r="P165" s="530"/>
      <c r="Q165" s="530"/>
    </row>
    <row r="166" spans="12:17">
      <c r="L166" s="582"/>
    </row>
  </sheetData>
  <mergeCells count="36">
    <mergeCell ref="B147:C147"/>
    <mergeCell ref="D147:F147"/>
    <mergeCell ref="G147:K147"/>
    <mergeCell ref="B148:C148"/>
    <mergeCell ref="D148:F148"/>
    <mergeCell ref="G148:L148"/>
    <mergeCell ref="B149:C149"/>
    <mergeCell ref="D149:F149"/>
    <mergeCell ref="G149:L149"/>
    <mergeCell ref="B150:C150"/>
    <mergeCell ref="D150:F150"/>
    <mergeCell ref="G150:L150"/>
    <mergeCell ref="B151:C151"/>
    <mergeCell ref="D151:F151"/>
    <mergeCell ref="G151:L151"/>
    <mergeCell ref="B152:C159"/>
    <mergeCell ref="D152:F159"/>
    <mergeCell ref="G152:J152"/>
    <mergeCell ref="K152:L159"/>
    <mergeCell ref="G153:H153"/>
    <mergeCell ref="I153:J153"/>
    <mergeCell ref="G154:H154"/>
    <mergeCell ref="I154:J154"/>
    <mergeCell ref="G155:H155"/>
    <mergeCell ref="I155:J155"/>
    <mergeCell ref="G156:H156"/>
    <mergeCell ref="B160:C160"/>
    <mergeCell ref="D160:F160"/>
    <mergeCell ref="G160:L160"/>
    <mergeCell ref="I156:J156"/>
    <mergeCell ref="G158:H158"/>
    <mergeCell ref="I158:J158"/>
    <mergeCell ref="G159:H159"/>
    <mergeCell ref="I159:J159"/>
    <mergeCell ref="G157:H157"/>
    <mergeCell ref="I157:J157"/>
  </mergeCells>
  <pageMargins left="0.25" right="0.25" top="0.75" bottom="0.75" header="0.3" footer="0.3"/>
  <pageSetup scale="37" fitToHeight="0" orientation="landscape" r:id="rId1"/>
  <rowBreaks count="3" manualBreakCount="3">
    <brk id="42" max="18" man="1"/>
    <brk id="106" max="18" man="1"/>
    <brk id="149" max="17" man="1"/>
  </rowBreaks>
  <customProperties>
    <customPr name="_pios_id" r:id="rId2"/>
  </customPropertie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C2390F-D627-47EA-BFE2-41967B275A1B}">
  <sheetPr>
    <tabColor theme="9" tint="0.79998168889431442"/>
  </sheetPr>
  <dimension ref="A1:L51"/>
  <sheetViews>
    <sheetView zoomScale="80" zoomScaleNormal="80" zoomScaleSheetLayoutView="100" workbookViewId="0">
      <selection activeCell="K12" sqref="K12"/>
    </sheetView>
  </sheetViews>
  <sheetFormatPr defaultColWidth="8.81640625" defaultRowHeight="15.6"/>
  <cols>
    <col min="1" max="1" width="6.1796875" style="229" bestFit="1" customWidth="1"/>
    <col min="2" max="2" width="23.54296875" style="224" customWidth="1"/>
    <col min="3" max="3" width="26.1796875" style="224" customWidth="1"/>
    <col min="4" max="4" width="13.1796875" style="224" bestFit="1" customWidth="1"/>
    <col min="5" max="5" width="18.81640625" style="224" customWidth="1"/>
    <col min="6" max="6" width="13.1796875" style="224" bestFit="1" customWidth="1"/>
    <col min="7" max="7" width="18.81640625" style="224" customWidth="1"/>
    <col min="8" max="8" width="13.1796875" style="224" bestFit="1" customWidth="1"/>
    <col min="9" max="9" width="15" style="224" customWidth="1"/>
    <col min="10" max="10" width="15.81640625" style="224" customWidth="1"/>
    <col min="11" max="11" width="17.1796875" style="224" customWidth="1"/>
    <col min="12" max="12" width="13.453125" style="224" customWidth="1"/>
    <col min="14" max="14" width="8.453125" bestFit="1" customWidth="1"/>
  </cols>
  <sheetData>
    <row r="1" spans="1:12" s="646" customFormat="1">
      <c r="A1" s="645"/>
      <c r="B1" s="1258"/>
      <c r="C1" s="1258"/>
      <c r="D1" s="1258"/>
      <c r="E1" s="1258"/>
      <c r="F1" s="1258"/>
      <c r="G1" s="1258"/>
      <c r="H1" s="1258"/>
      <c r="I1" s="1258"/>
      <c r="J1" s="1258"/>
      <c r="K1" s="1258"/>
      <c r="L1" s="1258"/>
    </row>
    <row r="2" spans="1:12" s="646" customFormat="1">
      <c r="A2" s="1259" t="s">
        <v>639</v>
      </c>
      <c r="B2" s="1259"/>
      <c r="C2" s="1259"/>
      <c r="D2" s="1259"/>
      <c r="E2" s="1259"/>
      <c r="F2" s="1259"/>
      <c r="G2" s="1259"/>
      <c r="H2" s="1259"/>
      <c r="I2" s="1259"/>
      <c r="J2" s="1259"/>
      <c r="K2" s="645"/>
      <c r="L2" s="645"/>
    </row>
    <row r="3" spans="1:12" s="646" customFormat="1">
      <c r="A3" s="1260" t="str">
        <f>+'Appendix A'!E258</f>
        <v>NextEra Energy Transmission New York, Inc.</v>
      </c>
      <c r="B3" s="1260"/>
      <c r="C3" s="1260"/>
      <c r="D3" s="1260"/>
      <c r="E3" s="1260"/>
      <c r="F3" s="1260"/>
      <c r="G3" s="1260"/>
      <c r="H3" s="1260"/>
      <c r="I3" s="1260"/>
      <c r="J3" s="1260"/>
      <c r="K3" s="647"/>
      <c r="L3" s="647"/>
    </row>
    <row r="4" spans="1:12">
      <c r="B4" s="645"/>
      <c r="C4" s="645"/>
      <c r="D4" s="645"/>
      <c r="E4" s="645"/>
      <c r="F4" s="645"/>
      <c r="G4" s="645"/>
      <c r="H4" s="645"/>
      <c r="I4" s="645"/>
      <c r="J4" s="645"/>
      <c r="K4" s="645"/>
      <c r="L4" s="645"/>
    </row>
    <row r="5" spans="1:12">
      <c r="A5" s="520"/>
      <c r="B5" s="648"/>
      <c r="C5" s="648"/>
      <c r="D5" s="648"/>
      <c r="E5" s="649"/>
      <c r="F5" s="649"/>
      <c r="G5" s="649"/>
      <c r="H5" s="648"/>
      <c r="I5" s="525"/>
      <c r="J5" s="525"/>
    </row>
    <row r="6" spans="1:12">
      <c r="A6" s="650"/>
      <c r="B6" s="651"/>
      <c r="C6" s="651"/>
      <c r="D6" s="651"/>
      <c r="E6" s="652"/>
      <c r="F6" s="653"/>
      <c r="G6" s="654"/>
      <c r="H6" s="655"/>
      <c r="I6" s="650"/>
      <c r="J6" s="650"/>
    </row>
    <row r="7" spans="1:12">
      <c r="A7" s="656"/>
      <c r="B7" s="651" t="s">
        <v>300</v>
      </c>
      <c r="C7" s="651"/>
      <c r="D7" s="651"/>
      <c r="E7" s="648"/>
      <c r="F7" s="1261" t="s">
        <v>640</v>
      </c>
      <c r="G7" s="1262"/>
      <c r="H7" s="1263"/>
      <c r="I7" s="648"/>
      <c r="J7" s="648"/>
      <c r="K7" s="156"/>
    </row>
    <row r="8" spans="1:12">
      <c r="A8" s="657">
        <v>1</v>
      </c>
      <c r="B8" s="658">
        <f>'2 - Cost Support '!E7-1</f>
        <v>2023</v>
      </c>
      <c r="C8" s="651"/>
      <c r="D8" s="659"/>
      <c r="E8" s="659"/>
      <c r="F8" s="659"/>
      <c r="G8" s="659"/>
      <c r="H8" s="659"/>
      <c r="I8" s="648"/>
      <c r="J8" s="648"/>
      <c r="K8" s="156"/>
    </row>
    <row r="9" spans="1:12">
      <c r="A9" s="657"/>
      <c r="B9" s="660" t="s">
        <v>196</v>
      </c>
      <c r="C9" s="661" t="s">
        <v>199</v>
      </c>
      <c r="D9" s="662" t="s">
        <v>201</v>
      </c>
      <c r="E9" s="662" t="s">
        <v>204</v>
      </c>
      <c r="F9" s="662" t="s">
        <v>211</v>
      </c>
      <c r="G9" s="662" t="s">
        <v>215</v>
      </c>
      <c r="H9" s="662" t="s">
        <v>231</v>
      </c>
      <c r="I9" s="648"/>
      <c r="J9" s="648"/>
      <c r="K9" s="156"/>
    </row>
    <row r="10" spans="1:12" ht="20.399999999999999">
      <c r="A10" s="657"/>
      <c r="B10" s="663"/>
      <c r="C10" s="663"/>
      <c r="D10" s="664"/>
      <c r="E10" s="664"/>
      <c r="F10" s="664" t="s">
        <v>641</v>
      </c>
      <c r="G10" s="665"/>
      <c r="H10" s="665"/>
      <c r="I10" s="648"/>
      <c r="J10" s="1064"/>
      <c r="K10" s="156"/>
    </row>
    <row r="11" spans="1:12">
      <c r="A11" s="657"/>
      <c r="B11" s="666"/>
      <c r="C11" s="664"/>
      <c r="D11" s="664" t="s">
        <v>642</v>
      </c>
      <c r="E11" s="664"/>
      <c r="F11" s="664" t="s">
        <v>643</v>
      </c>
      <c r="G11" s="664" t="s">
        <v>644</v>
      </c>
      <c r="H11" s="666" t="s">
        <v>645</v>
      </c>
      <c r="I11" s="648"/>
      <c r="J11" s="648"/>
      <c r="K11" s="156"/>
    </row>
    <row r="12" spans="1:12">
      <c r="A12" s="657"/>
      <c r="B12" s="667" t="s">
        <v>616</v>
      </c>
      <c r="C12" s="664"/>
      <c r="D12" s="664" t="s">
        <v>646</v>
      </c>
      <c r="E12" s="664"/>
      <c r="F12" s="664" t="s">
        <v>647</v>
      </c>
      <c r="G12" s="664" t="s">
        <v>648</v>
      </c>
      <c r="H12" s="666" t="s">
        <v>649</v>
      </c>
      <c r="I12" s="648"/>
      <c r="J12" s="648"/>
      <c r="K12" s="156"/>
    </row>
    <row r="13" spans="1:12" ht="18.600000000000001">
      <c r="A13" s="657"/>
      <c r="B13" s="662" t="s">
        <v>650</v>
      </c>
      <c r="C13" s="662" t="s">
        <v>651</v>
      </c>
      <c r="D13" s="662" t="s">
        <v>652</v>
      </c>
      <c r="E13" s="668" t="s">
        <v>653</v>
      </c>
      <c r="F13" s="662" t="s">
        <v>654</v>
      </c>
      <c r="G13" s="662" t="s">
        <v>655</v>
      </c>
      <c r="H13" s="662" t="s">
        <v>656</v>
      </c>
      <c r="I13" s="648"/>
      <c r="J13" s="648"/>
      <c r="K13" s="156"/>
    </row>
    <row r="14" spans="1:12">
      <c r="A14" s="657">
        <v>2</v>
      </c>
      <c r="B14" s="669" t="s">
        <v>657</v>
      </c>
      <c r="C14" s="669" t="s">
        <v>658</v>
      </c>
      <c r="D14" s="670">
        <v>54105830.724777803</v>
      </c>
      <c r="E14" s="670">
        <v>44620500</v>
      </c>
      <c r="F14" s="671">
        <f t="shared" ref="F14:F19" si="0">D14-E14</f>
        <v>9485330.7247778028</v>
      </c>
      <c r="G14" s="672">
        <f>F14*(E45/12)*24</f>
        <v>1508980.6135875089</v>
      </c>
      <c r="H14" s="673">
        <f t="shared" ref="H14:H19" si="1">+F14+G14</f>
        <v>10994311.338365313</v>
      </c>
      <c r="I14" s="648"/>
      <c r="J14" s="648"/>
      <c r="K14" s="156"/>
    </row>
    <row r="15" spans="1:12">
      <c r="A15" s="657" t="s">
        <v>659</v>
      </c>
      <c r="B15" s="674" t="s">
        <v>1004</v>
      </c>
      <c r="C15" s="674"/>
      <c r="D15" s="675">
        <v>-6684.9204940218478</v>
      </c>
      <c r="E15" s="676">
        <v>0</v>
      </c>
      <c r="F15" s="671">
        <f t="shared" si="0"/>
        <v>-6684.9204940218478</v>
      </c>
      <c r="G15" s="678">
        <f>F15*(E45/12)*24</f>
        <v>-1063.4753517346758</v>
      </c>
      <c r="H15" s="677">
        <f t="shared" si="1"/>
        <v>-7748.3958457565241</v>
      </c>
      <c r="I15" s="648"/>
      <c r="J15" s="648"/>
      <c r="K15" s="156"/>
    </row>
    <row r="16" spans="1:12">
      <c r="A16" s="657" t="s">
        <v>660</v>
      </c>
      <c r="B16" s="674"/>
      <c r="C16" s="674"/>
      <c r="D16" s="675">
        <v>0</v>
      </c>
      <c r="E16" s="676">
        <v>0</v>
      </c>
      <c r="F16" s="671">
        <f t="shared" si="0"/>
        <v>0</v>
      </c>
      <c r="G16" s="678">
        <v>0</v>
      </c>
      <c r="H16" s="677">
        <f t="shared" si="1"/>
        <v>0</v>
      </c>
      <c r="I16" s="648"/>
      <c r="J16" s="648"/>
      <c r="K16" s="156"/>
    </row>
    <row r="17" spans="1:11">
      <c r="A17" s="657" t="s">
        <v>661</v>
      </c>
      <c r="B17" s="674"/>
      <c r="C17" s="674"/>
      <c r="D17" s="675">
        <v>0</v>
      </c>
      <c r="E17" s="676">
        <v>0</v>
      </c>
      <c r="F17" s="671">
        <f t="shared" si="0"/>
        <v>0</v>
      </c>
      <c r="G17" s="678">
        <v>0</v>
      </c>
      <c r="H17" s="677">
        <f t="shared" si="1"/>
        <v>0</v>
      </c>
      <c r="I17" s="648"/>
      <c r="J17" s="648"/>
      <c r="K17" s="156"/>
    </row>
    <row r="18" spans="1:11">
      <c r="A18" s="657" t="s">
        <v>662</v>
      </c>
      <c r="B18" s="674"/>
      <c r="C18" s="674"/>
      <c r="D18" s="675">
        <v>0</v>
      </c>
      <c r="E18" s="676">
        <v>0</v>
      </c>
      <c r="F18" s="671">
        <f t="shared" si="0"/>
        <v>0</v>
      </c>
      <c r="G18" s="678">
        <v>0</v>
      </c>
      <c r="H18" s="677">
        <f t="shared" si="1"/>
        <v>0</v>
      </c>
      <c r="I18" s="648"/>
      <c r="J18" s="648"/>
      <c r="K18" s="156"/>
    </row>
    <row r="19" spans="1:11">
      <c r="A19" s="657"/>
      <c r="B19" s="679"/>
      <c r="C19" s="679"/>
      <c r="D19" s="680">
        <v>0</v>
      </c>
      <c r="E19" s="681">
        <v>0</v>
      </c>
      <c r="F19" s="682">
        <f t="shared" si="0"/>
        <v>0</v>
      </c>
      <c r="G19" s="683">
        <v>0</v>
      </c>
      <c r="H19" s="684">
        <f t="shared" si="1"/>
        <v>0</v>
      </c>
      <c r="I19" s="648"/>
      <c r="J19" s="648"/>
      <c r="K19" s="156"/>
    </row>
    <row r="20" spans="1:11">
      <c r="A20" s="657"/>
      <c r="B20" s="651"/>
      <c r="C20" s="685"/>
      <c r="D20" s="685"/>
      <c r="E20" s="685"/>
      <c r="F20" s="685"/>
      <c r="G20" s="685"/>
      <c r="H20" s="686"/>
      <c r="I20" s="648"/>
      <c r="J20" s="685"/>
      <c r="K20" s="156"/>
    </row>
    <row r="21" spans="1:11">
      <c r="A21" s="657">
        <v>3</v>
      </c>
      <c r="B21" s="619" t="s">
        <v>37</v>
      </c>
      <c r="C21" s="685"/>
      <c r="D21" s="685">
        <f>SUM(D14:D19)</f>
        <v>54099145.804283783</v>
      </c>
      <c r="E21" s="685">
        <f>SUM(E14:E19)</f>
        <v>44620500</v>
      </c>
      <c r="F21" s="685">
        <f>SUM(F14:F19)</f>
        <v>9478645.804283781</v>
      </c>
      <c r="G21" s="685">
        <f>SUM(G14:G19)</f>
        <v>1507917.1382357741</v>
      </c>
      <c r="H21" s="685">
        <f>SUM(H14:H19)</f>
        <v>10986562.942519557</v>
      </c>
      <c r="I21" s="648"/>
      <c r="J21" s="685"/>
      <c r="K21" s="156"/>
    </row>
    <row r="22" spans="1:11">
      <c r="A22" s="657"/>
      <c r="B22" s="651"/>
      <c r="C22" s="685"/>
      <c r="D22" s="685"/>
      <c r="E22" s="685"/>
      <c r="F22" s="685"/>
      <c r="G22" s="685"/>
      <c r="H22" s="685"/>
      <c r="I22" s="686"/>
      <c r="J22" s="685"/>
      <c r="K22" s="156"/>
    </row>
    <row r="23" spans="1:11">
      <c r="A23" s="619"/>
      <c r="B23" s="651"/>
      <c r="C23" s="685"/>
      <c r="D23" s="685"/>
      <c r="E23" s="685"/>
      <c r="F23" s="685"/>
      <c r="G23" s="685"/>
      <c r="H23" s="685"/>
      <c r="I23" s="686"/>
      <c r="J23" s="685"/>
      <c r="K23" s="156"/>
    </row>
    <row r="24" spans="1:11">
      <c r="A24" s="619"/>
      <c r="B24" s="687" t="s">
        <v>663</v>
      </c>
      <c r="C24" s="156"/>
      <c r="D24" s="156"/>
      <c r="E24" s="156"/>
      <c r="F24" s="688"/>
      <c r="G24" s="688"/>
      <c r="H24" s="156"/>
      <c r="I24" s="689"/>
      <c r="J24" s="690"/>
      <c r="K24" s="156"/>
    </row>
    <row r="25" spans="1:11">
      <c r="A25" s="619"/>
      <c r="B25" s="156" t="s">
        <v>664</v>
      </c>
      <c r="C25" s="156"/>
      <c r="D25" s="156"/>
      <c r="E25" s="156"/>
      <c r="F25" s="156"/>
      <c r="G25" s="156"/>
      <c r="H25" s="156"/>
      <c r="I25" s="651"/>
      <c r="J25" s="651"/>
      <c r="K25" s="156"/>
    </row>
    <row r="26" spans="1:11">
      <c r="A26" s="619"/>
      <c r="B26" s="156" t="s">
        <v>665</v>
      </c>
      <c r="C26" s="156"/>
      <c r="D26" s="156"/>
      <c r="E26" s="156"/>
      <c r="F26" s="156"/>
      <c r="G26" s="156"/>
      <c r="H26" s="156"/>
      <c r="I26" s="651"/>
      <c r="J26" s="651"/>
      <c r="K26" s="156"/>
    </row>
    <row r="27" spans="1:11">
      <c r="A27" s="619"/>
      <c r="B27" s="156" t="s">
        <v>666</v>
      </c>
      <c r="C27" s="156"/>
      <c r="D27" s="156"/>
      <c r="E27" s="156"/>
      <c r="F27" s="156"/>
      <c r="G27" s="156"/>
      <c r="H27" s="156"/>
      <c r="I27" s="651"/>
      <c r="J27" s="651"/>
      <c r="K27" s="156"/>
    </row>
    <row r="28" spans="1:11">
      <c r="A28" s="619"/>
      <c r="B28" s="691" t="s">
        <v>667</v>
      </c>
      <c r="C28" s="156"/>
      <c r="D28" s="156"/>
      <c r="E28" s="156"/>
      <c r="F28" s="156"/>
      <c r="G28" s="156"/>
      <c r="H28" s="156"/>
      <c r="I28" s="651"/>
      <c r="J28" s="651"/>
      <c r="K28" s="156"/>
    </row>
    <row r="29" spans="1:11">
      <c r="A29" s="619"/>
      <c r="B29" s="691" t="s">
        <v>668</v>
      </c>
      <c r="C29" s="156"/>
      <c r="D29" s="156"/>
      <c r="E29" s="156"/>
      <c r="F29" s="156"/>
      <c r="G29" s="156"/>
      <c r="H29" s="156"/>
      <c r="I29" s="651"/>
      <c r="J29" s="651"/>
      <c r="K29" s="156"/>
    </row>
    <row r="30" spans="1:11">
      <c r="A30" s="619"/>
      <c r="B30" s="156"/>
      <c r="C30" s="156"/>
      <c r="D30" s="156"/>
      <c r="E30" s="156"/>
      <c r="F30" s="156"/>
      <c r="G30" s="156"/>
      <c r="H30" s="156"/>
      <c r="I30" s="651"/>
      <c r="J30" s="651"/>
      <c r="K30" s="156"/>
    </row>
    <row r="31" spans="1:11">
      <c r="A31" s="692"/>
      <c r="B31" s="693"/>
      <c r="C31" s="693"/>
      <c r="D31" s="693"/>
      <c r="E31" s="693"/>
      <c r="F31" s="693"/>
      <c r="G31" s="693"/>
      <c r="H31" s="693"/>
      <c r="I31" s="693"/>
      <c r="J31" s="693"/>
      <c r="K31" s="156"/>
    </row>
    <row r="32" spans="1:11">
      <c r="A32" s="156"/>
      <c r="B32" s="694" t="s">
        <v>669</v>
      </c>
      <c r="C32" s="648"/>
      <c r="D32" s="648"/>
      <c r="E32" s="648"/>
      <c r="F32" s="648"/>
      <c r="G32" s="156"/>
      <c r="H32" s="156"/>
      <c r="I32" s="156"/>
      <c r="J32" s="156"/>
      <c r="K32" s="156"/>
    </row>
    <row r="33" spans="1:11">
      <c r="A33" s="648"/>
      <c r="B33" s="648"/>
      <c r="C33" s="648"/>
      <c r="D33" s="648"/>
      <c r="E33" s="648"/>
      <c r="F33" s="648"/>
      <c r="G33" s="156"/>
      <c r="H33" s="156"/>
      <c r="I33" s="156"/>
      <c r="J33" s="156"/>
      <c r="K33" s="156"/>
    </row>
    <row r="34" spans="1:11">
      <c r="A34" s="648"/>
      <c r="B34" s="528" t="s">
        <v>175</v>
      </c>
      <c r="C34" s="528" t="s">
        <v>176</v>
      </c>
      <c r="D34" s="528" t="s">
        <v>177</v>
      </c>
      <c r="E34" s="528" t="s">
        <v>380</v>
      </c>
      <c r="F34" s="648"/>
      <c r="G34" s="156"/>
      <c r="H34" s="156"/>
      <c r="I34" s="156"/>
      <c r="J34" s="156"/>
      <c r="K34" s="156"/>
    </row>
    <row r="35" spans="1:11" ht="31.2">
      <c r="A35" s="695">
        <v>4</v>
      </c>
      <c r="B35" s="696" t="s">
        <v>670</v>
      </c>
      <c r="C35" s="656" t="s">
        <v>671</v>
      </c>
      <c r="D35" s="656" t="s">
        <v>300</v>
      </c>
      <c r="E35" s="697" t="s">
        <v>672</v>
      </c>
      <c r="F35" s="648"/>
      <c r="G35" s="156"/>
      <c r="H35" s="156"/>
      <c r="I35" s="156"/>
      <c r="J35" s="156"/>
      <c r="K35" s="156"/>
    </row>
    <row r="36" spans="1:11">
      <c r="A36" s="695">
        <v>5</v>
      </c>
      <c r="B36" s="648"/>
      <c r="C36" s="696" t="s">
        <v>673</v>
      </c>
      <c r="D36" s="698">
        <f>B8</f>
        <v>2023</v>
      </c>
      <c r="E36" s="1061">
        <v>6.3100000000000003E-2</v>
      </c>
      <c r="F36" s="539"/>
      <c r="G36" s="156"/>
      <c r="H36" s="156"/>
      <c r="I36" s="156"/>
      <c r="J36" s="156"/>
      <c r="K36" s="156"/>
    </row>
    <row r="37" spans="1:11">
      <c r="A37" s="695">
        <v>6</v>
      </c>
      <c r="B37" s="648"/>
      <c r="C37" s="696" t="s">
        <v>674</v>
      </c>
      <c r="D37" s="698">
        <f>D36</f>
        <v>2023</v>
      </c>
      <c r="E37" s="1061">
        <v>7.4999999999999997E-2</v>
      </c>
      <c r="F37" s="539"/>
      <c r="G37" s="156"/>
      <c r="H37" s="156"/>
      <c r="I37" s="156"/>
      <c r="J37" s="156"/>
      <c r="K37" s="156"/>
    </row>
    <row r="38" spans="1:11">
      <c r="A38" s="695">
        <v>7</v>
      </c>
      <c r="B38" s="648"/>
      <c r="C38" s="696" t="s">
        <v>675</v>
      </c>
      <c r="D38" s="698">
        <f>D37</f>
        <v>2023</v>
      </c>
      <c r="E38" s="1061">
        <v>8.0199999999999994E-2</v>
      </c>
      <c r="F38" s="539"/>
      <c r="G38" s="156"/>
      <c r="H38" s="156"/>
      <c r="I38" s="156"/>
      <c r="J38" s="156"/>
      <c r="K38" s="156"/>
    </row>
    <row r="39" spans="1:11">
      <c r="A39" s="695">
        <v>8</v>
      </c>
      <c r="B39" s="648"/>
      <c r="C39" s="696" t="s">
        <v>676</v>
      </c>
      <c r="D39" s="698">
        <f>D38</f>
        <v>2023</v>
      </c>
      <c r="E39" s="1061">
        <v>8.3500000000000005E-2</v>
      </c>
      <c r="F39" s="539"/>
      <c r="G39" s="156"/>
      <c r="H39" s="156"/>
      <c r="I39" s="156"/>
      <c r="J39" s="156"/>
      <c r="K39" s="156"/>
    </row>
    <row r="40" spans="1:11">
      <c r="A40" s="695">
        <v>9</v>
      </c>
      <c r="B40" s="648"/>
      <c r="C40" s="696" t="s">
        <v>677</v>
      </c>
      <c r="D40" s="698">
        <f>D39+1</f>
        <v>2024</v>
      </c>
      <c r="E40" s="1061">
        <v>8.5000000000000006E-2</v>
      </c>
      <c r="F40" s="539"/>
      <c r="G40" s="156"/>
      <c r="H40" s="156"/>
      <c r="I40" s="156"/>
      <c r="J40" s="156"/>
      <c r="K40" s="156"/>
    </row>
    <row r="41" spans="1:11">
      <c r="A41" s="695">
        <v>10</v>
      </c>
      <c r="B41" s="648"/>
      <c r="C41" s="696" t="s">
        <v>674</v>
      </c>
      <c r="D41" s="698">
        <f>D40</f>
        <v>2024</v>
      </c>
      <c r="E41" s="1061">
        <v>8.5000000000000006E-2</v>
      </c>
      <c r="F41" s="539"/>
      <c r="G41" s="156"/>
      <c r="H41" s="156"/>
      <c r="I41" s="156"/>
      <c r="J41" s="156"/>
      <c r="K41" s="156"/>
    </row>
    <row r="42" spans="1:11">
      <c r="A42" s="695">
        <v>11</v>
      </c>
      <c r="B42" s="648"/>
      <c r="C42" s="696" t="s">
        <v>675</v>
      </c>
      <c r="D42" s="1062">
        <f>+D41</f>
        <v>2024</v>
      </c>
      <c r="E42" s="1061">
        <v>8.5000000000000006E-2</v>
      </c>
      <c r="F42" s="539"/>
      <c r="G42" s="156"/>
      <c r="H42" s="156"/>
      <c r="I42" s="156"/>
      <c r="J42" s="156"/>
      <c r="K42" s="156"/>
    </row>
    <row r="43" spans="1:11">
      <c r="A43" s="695">
        <v>12</v>
      </c>
      <c r="B43" s="648"/>
      <c r="C43" s="648" t="s">
        <v>678</v>
      </c>
      <c r="D43" s="539"/>
      <c r="E43" s="699">
        <f>SUM(E36:E42)</f>
        <v>0.55680000000000007</v>
      </c>
      <c r="F43" s="539"/>
      <c r="G43" s="156"/>
      <c r="H43" s="156"/>
      <c r="I43" s="156"/>
      <c r="J43" s="156"/>
      <c r="K43" s="156"/>
    </row>
    <row r="44" spans="1:11">
      <c r="A44" s="695"/>
      <c r="B44" s="648"/>
      <c r="C44" s="696"/>
      <c r="D44" s="554"/>
      <c r="E44" s="700"/>
      <c r="F44" s="539"/>
      <c r="G44" s="156"/>
      <c r="H44" s="156"/>
      <c r="I44" s="156"/>
      <c r="J44" s="156"/>
      <c r="K44" s="156"/>
    </row>
    <row r="45" spans="1:11">
      <c r="A45" s="695">
        <v>13</v>
      </c>
      <c r="B45" s="701" t="s">
        <v>679</v>
      </c>
      <c r="C45" s="648" t="s">
        <v>680</v>
      </c>
      <c r="D45" s="554"/>
      <c r="E45" s="1063">
        <f>E43/7</f>
        <v>7.9542857142857151E-2</v>
      </c>
      <c r="F45" s="539"/>
      <c r="G45" s="156"/>
      <c r="H45" s="156"/>
      <c r="I45" s="156"/>
      <c r="J45" s="156"/>
      <c r="K45" s="156"/>
    </row>
    <row r="46" spans="1:11">
      <c r="A46" s="702"/>
      <c r="B46" s="156"/>
      <c r="C46" s="156"/>
      <c r="D46" s="156"/>
      <c r="E46" s="156"/>
      <c r="F46" s="156"/>
      <c r="G46" s="156"/>
      <c r="H46" s="156"/>
      <c r="I46" s="156"/>
      <c r="J46" s="156"/>
      <c r="K46" s="156"/>
    </row>
    <row r="47" spans="1:11">
      <c r="A47" s="702"/>
      <c r="B47" s="156"/>
      <c r="C47" s="156"/>
      <c r="D47" s="156"/>
      <c r="E47" s="156"/>
      <c r="F47" s="156"/>
      <c r="G47" s="156"/>
      <c r="H47" s="156"/>
      <c r="I47" s="156"/>
      <c r="J47" s="156"/>
      <c r="K47" s="156"/>
    </row>
    <row r="48" spans="1:11">
      <c r="A48" s="702"/>
      <c r="B48" s="156"/>
      <c r="C48" s="156"/>
      <c r="D48" s="156"/>
      <c r="E48" s="156"/>
      <c r="F48" s="156"/>
      <c r="G48" s="156"/>
      <c r="H48" s="156"/>
      <c r="I48" s="156"/>
      <c r="J48" s="156"/>
      <c r="K48" s="156"/>
    </row>
    <row r="49" spans="1:11">
      <c r="A49" s="702"/>
      <c r="B49" s="156"/>
      <c r="C49" s="156"/>
      <c r="D49" s="156"/>
      <c r="E49" s="156"/>
      <c r="F49" s="156"/>
      <c r="G49" s="156"/>
      <c r="H49" s="156"/>
      <c r="I49" s="156"/>
      <c r="J49" s="156"/>
      <c r="K49" s="156"/>
    </row>
    <row r="50" spans="1:11">
      <c r="A50" s="702"/>
      <c r="B50" s="156"/>
      <c r="C50" s="156"/>
      <c r="D50" s="156"/>
      <c r="E50" s="156"/>
      <c r="F50" s="156"/>
      <c r="G50" s="156"/>
      <c r="H50" s="156"/>
      <c r="I50" s="156"/>
      <c r="J50" s="156"/>
      <c r="K50" s="156"/>
    </row>
    <row r="51" spans="1:11">
      <c r="A51" s="702"/>
      <c r="B51" s="156"/>
      <c r="C51" s="156"/>
      <c r="D51" s="156"/>
      <c r="E51" s="156"/>
      <c r="F51" s="156"/>
      <c r="G51" s="156"/>
      <c r="H51" s="156"/>
      <c r="I51" s="156"/>
      <c r="J51" s="156"/>
      <c r="K51" s="156"/>
    </row>
  </sheetData>
  <mergeCells count="4">
    <mergeCell ref="B1:L1"/>
    <mergeCell ref="A2:J2"/>
    <mergeCell ref="A3:J3"/>
    <mergeCell ref="F7:H7"/>
  </mergeCells>
  <pageMargins left="0.75" right="0.75" top="1" bottom="1" header="0.5" footer="0.5"/>
  <pageSetup scale="43" orientation="portrait" r:id="rId1"/>
  <headerFooter alignWithMargins="0"/>
  <customProperties>
    <customPr name="_pios_id" r:id="rId2"/>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Application xmlns="http://www.sap.com/cof/excel/application">
  <Version>2</Version>
  <Revision>2.8.2000.1138</Revision>
</Application>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39D339F-1ACB-4E72-95CC-03765C6B801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A7DB1E3D-9B8B-4FAB-8DB9-498D9F91441C}">
  <ds:schemaRefs>
    <ds:schemaRef ds:uri="http://www.sap.com/cof/excel/application"/>
  </ds:schemaRefs>
</ds:datastoreItem>
</file>

<file path=customXml/itemProps3.xml><?xml version="1.0" encoding="utf-8"?>
<ds:datastoreItem xmlns:ds="http://schemas.openxmlformats.org/officeDocument/2006/customXml" ds:itemID="{7C1F522C-0F8B-41DC-ABF0-413CB42A9244}">
  <ds:schemaRefs>
    <ds:schemaRef ds:uri="http://schemas.microsoft.com/office/2006/metadata/properties"/>
    <ds:schemaRef ds:uri="http://schemas.microsoft.com/office/infopath/2007/PartnerControls"/>
  </ds:schemaRefs>
</ds:datastoreItem>
</file>

<file path=customXml/itemProps4.xml><?xml version="1.0" encoding="utf-8"?>
<ds:datastoreItem xmlns:ds="http://schemas.openxmlformats.org/officeDocument/2006/customXml" ds:itemID="{000571BD-78EB-4532-8AFC-8F626F64835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22</vt:i4>
      </vt:variant>
      <vt:variant>
        <vt:lpstr>Named Ranges</vt:lpstr>
      </vt:variant>
      <vt:variant>
        <vt:i4>24</vt:i4>
      </vt:variant>
    </vt:vector>
  </HeadingPairs>
  <TitlesOfParts>
    <vt:vector size="46" baseType="lpstr">
      <vt:lpstr>Index</vt:lpstr>
      <vt:lpstr>Appendix A</vt:lpstr>
      <vt:lpstr>1 - Revenue Credits</vt:lpstr>
      <vt:lpstr>2 - Cost Support </vt:lpstr>
      <vt:lpstr>3 - Cost Support</vt:lpstr>
      <vt:lpstr>3 - Cost Support (cont.)</vt:lpstr>
      <vt:lpstr>4 - Incentives</vt:lpstr>
      <vt:lpstr>5 - True-Up</vt:lpstr>
      <vt:lpstr>6a-ADIT Projection</vt:lpstr>
      <vt:lpstr>6b-ADIT Projection Proration</vt:lpstr>
      <vt:lpstr>6c- ADIT BOY</vt:lpstr>
      <vt:lpstr>6d- ADIT EOY</vt:lpstr>
      <vt:lpstr>6e-ADIT True-up</vt:lpstr>
      <vt:lpstr>6f-ADIT True-up Proration</vt:lpstr>
      <vt:lpstr>7- Depreciation Rates</vt:lpstr>
      <vt:lpstr>8a - Workpaper</vt:lpstr>
      <vt:lpstr>8b - WP Incentives</vt:lpstr>
      <vt:lpstr>8c - WP Inc Tax Adj</vt:lpstr>
      <vt:lpstr>Coates - Dev</vt:lpstr>
      <vt:lpstr>not used--&gt;</vt:lpstr>
      <vt:lpstr>BOBJ BS</vt:lpstr>
      <vt:lpstr>OPEX</vt:lpstr>
      <vt:lpstr>'Appendix A'!_ftn1</vt:lpstr>
      <vt:lpstr>'Appendix A'!_ftnref1</vt:lpstr>
      <vt:lpstr>'1 - Revenue Credits'!Print_Area</vt:lpstr>
      <vt:lpstr>'2 - Cost Support '!Print_Area</vt:lpstr>
      <vt:lpstr>'3 - Cost Support'!Print_Area</vt:lpstr>
      <vt:lpstr>'3 - Cost Support (cont.)'!Print_Area</vt:lpstr>
      <vt:lpstr>'4 - Incentives'!Print_Area</vt:lpstr>
      <vt:lpstr>'5 - True-Up'!Print_Area</vt:lpstr>
      <vt:lpstr>'6a-ADIT Projection'!Print_Area</vt:lpstr>
      <vt:lpstr>'6b-ADIT Projection Proration'!Print_Area</vt:lpstr>
      <vt:lpstr>'6c- ADIT BOY'!Print_Area</vt:lpstr>
      <vt:lpstr>'6d- ADIT EOY'!Print_Area</vt:lpstr>
      <vt:lpstr>'6e-ADIT True-up'!Print_Area</vt:lpstr>
      <vt:lpstr>'6f-ADIT True-up Proration'!Print_Area</vt:lpstr>
      <vt:lpstr>'7- Depreciation Rates'!Print_Area</vt:lpstr>
      <vt:lpstr>'8a - Workpaper'!Print_Area</vt:lpstr>
      <vt:lpstr>'8c - WP Inc Tax Adj'!Print_Area</vt:lpstr>
      <vt:lpstr>'Appendix A'!Print_Area</vt:lpstr>
      <vt:lpstr>'6a-ADIT Projection'!Print_Titles</vt:lpstr>
      <vt:lpstr>'6b-ADIT Projection Proration'!Print_Titles</vt:lpstr>
      <vt:lpstr>'6e-ADIT True-up'!Print_Titles</vt:lpstr>
      <vt:lpstr>'6f-ADIT True-up Proration'!Print_Titles</vt:lpstr>
      <vt:lpstr>SAPCrosstab1</vt:lpstr>
      <vt:lpstr>SAPCrosstab2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Nowak, Matthew</dc:creator>
  <cp:lastModifiedBy>Bissell, Garrett E</cp:lastModifiedBy>
  <cp:lastPrinted>2024-09-26T23:51:17Z</cp:lastPrinted>
  <dcterms:created xsi:type="dcterms:W3CDTF">2023-11-28T17:59:26Z</dcterms:created>
  <dcterms:modified xsi:type="dcterms:W3CDTF">2025-03-18T14:17:20Z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ustomUiType">
    <vt:lpwstr>2</vt:lpwstr>
  </property>
  <property fmtid="{D5CDD505-2E9C-101B-9397-08002B2CF9AE}" pid="3" name="MSIP_Label_a5049dce-8671-4c79-90d7-f6ec79470f4e_Enabled">
    <vt:lpwstr>true</vt:lpwstr>
  </property>
  <property fmtid="{D5CDD505-2E9C-101B-9397-08002B2CF9AE}" pid="4" name="MSIP_Label_a5049dce-8671-4c79-90d7-f6ec79470f4e_SetDate">
    <vt:lpwstr>2024-09-27T15:58:44Z</vt:lpwstr>
  </property>
  <property fmtid="{D5CDD505-2E9C-101B-9397-08002B2CF9AE}" pid="5" name="MSIP_Label_a5049dce-8671-4c79-90d7-f6ec79470f4e_Method">
    <vt:lpwstr>Privileged</vt:lpwstr>
  </property>
  <property fmtid="{D5CDD505-2E9C-101B-9397-08002B2CF9AE}" pid="6" name="MSIP_Label_a5049dce-8671-4c79-90d7-f6ec79470f4e_Name">
    <vt:lpwstr>Public</vt:lpwstr>
  </property>
  <property fmtid="{D5CDD505-2E9C-101B-9397-08002B2CF9AE}" pid="7" name="MSIP_Label_a5049dce-8671-4c79-90d7-f6ec79470f4e_SiteId">
    <vt:lpwstr>7658602a-f7b9-4209-bc62-d2bfc30dea0d</vt:lpwstr>
  </property>
  <property fmtid="{D5CDD505-2E9C-101B-9397-08002B2CF9AE}" pid="8" name="MSIP_Label_a5049dce-8671-4c79-90d7-f6ec79470f4e_ActionId">
    <vt:lpwstr>05a9aeeb-0bb6-4405-868b-d4ed262e1729</vt:lpwstr>
  </property>
  <property fmtid="{D5CDD505-2E9C-101B-9397-08002B2CF9AE}" pid="9" name="MSIP_Label_a5049dce-8671-4c79-90d7-f6ec79470f4e_ContentBits">
    <vt:lpwstr>0</vt:lpwstr>
  </property>
  <property fmtid="{D5CDD505-2E9C-101B-9397-08002B2CF9AE}" pid="10" name="_NewReviewCycle">
    <vt:lpwstr/>
  </property>
  <property fmtid="{D5CDD505-2E9C-101B-9397-08002B2CF9AE}" pid="11" name="_AdHocReviewCycleID">
    <vt:i4>780527487</vt:i4>
  </property>
  <property fmtid="{D5CDD505-2E9C-101B-9397-08002B2CF9AE}" pid="12" name="_EmailSubject">
    <vt:lpwstr>NEET New York Formula Rate Update Informational Filing - Posting Request</vt:lpwstr>
  </property>
  <property fmtid="{D5CDD505-2E9C-101B-9397-08002B2CF9AE}" pid="13" name="_AuthorEmail">
    <vt:lpwstr>GBissell@nyiso.com</vt:lpwstr>
  </property>
  <property fmtid="{D5CDD505-2E9C-101B-9397-08002B2CF9AE}" pid="14" name="_AuthorEmailDisplayName">
    <vt:lpwstr>Bissell, Garrett E</vt:lpwstr>
  </property>
</Properties>
</file>