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pofs002\corpfinance$\Transmission\2018 Transmission COS\Supplemental documents\"/>
    </mc:Choice>
  </mc:AlternateContent>
  <bookViews>
    <workbookView xWindow="1770" yWindow="0" windowWidth="17430" windowHeight="6075"/>
  </bookViews>
  <sheets>
    <sheet name="Index" sheetId="2" r:id="rId1"/>
    <sheet name="SUMMARY" sheetId="3" r:id="rId2"/>
    <sheet name="A1-O&amp;M" sheetId="4" r:id="rId3"/>
    <sheet name="A2-A&amp;G" sheetId="5" r:id="rId4"/>
    <sheet name="B1-Depn" sheetId="6" r:id="rId5"/>
    <sheet name="B2-Plant" sheetId="7" r:id="rId6"/>
    <sheet name="B3-Depn Rates" sheetId="8" r:id="rId7"/>
    <sheet name="C1-Rate Base" sheetId="9" r:id="rId8"/>
    <sheet name="D1-Cap Structure" sheetId="10" r:id="rId9"/>
    <sheet name="D2-Project Cap Structures" sheetId="11" r:id="rId10"/>
    <sheet name="E1-Labor Ratio" sheetId="12" r:id="rId11"/>
    <sheet name="F1-Proj RR" sheetId="13" r:id="rId12"/>
    <sheet name="F2-Incentives" sheetId="14" r:id="rId13"/>
    <sheet name="F3-True-Up" sheetId="15" r:id="rId14"/>
    <sheet name="WP-AA" sheetId="16" r:id="rId15"/>
    <sheet name="WP-AB" sheetId="17" r:id="rId16"/>
    <sheet name="WP-AC" sheetId="18" r:id="rId17"/>
    <sheet name="WP-AD" sheetId="19" r:id="rId18"/>
    <sheet name="WP-AE" sheetId="20" r:id="rId19"/>
    <sheet name="WP-AF" sheetId="21" r:id="rId20"/>
    <sheet name="WP-AG" sheetId="22" r:id="rId21"/>
    <sheet name="WP-AH" sheetId="23" r:id="rId22"/>
    <sheet name="WP-AI" sheetId="24" r:id="rId23"/>
    <sheet name="WP-BA" sheetId="25" r:id="rId24"/>
    <sheet name="WP-BB" sheetId="26" r:id="rId25"/>
    <sheet name="WP-BC" sheetId="27" r:id="rId26"/>
    <sheet name="WP-BD" sheetId="28" r:id="rId27"/>
    <sheet name="WP-BE" sheetId="29" r:id="rId28"/>
    <sheet name="WP-BF" sheetId="30" r:id="rId29"/>
    <sheet name="WP-BG" sheetId="31" r:id="rId30"/>
    <sheet name="WP-BH" sheetId="32" r:id="rId31"/>
    <sheet name="WP-BI" sheetId="33" r:id="rId32"/>
    <sheet name="WP-CA" sheetId="34" r:id="rId33"/>
    <sheet name="WP-CB" sheetId="35" r:id="rId34"/>
    <sheet name="WP-DA" sheetId="36" r:id="rId35"/>
    <sheet name="WP-DB" sheetId="37" r:id="rId36"/>
    <sheet name="WP-EA" sheetId="38" r:id="rId37"/>
    <sheet name="WP-AR-IS" sheetId="39" r:id="rId38"/>
    <sheet name="WP-AR-BS" sheetId="40" r:id="rId39"/>
    <sheet name="WP-AR-Cap Assets" sheetId="41" r:id="rId40"/>
    <sheet name="WP-Reconciliations" sheetId="42" r:id="rId41"/>
  </sheets>
  <externalReferences>
    <externalReference r:id="rId42"/>
    <externalReference r:id="rId43"/>
  </externalReferences>
  <definedNames>
    <definedName name="_xlnm._FilterDatabase" localSheetId="24" hidden="1">'WP-BB'!$A$18:$AD$143</definedName>
    <definedName name="_xlnm._FilterDatabase" localSheetId="25" hidden="1">'WP-BC'!$A$13:$N$13</definedName>
    <definedName name="_Key1" localSheetId="9" hidden="1">#REF!</definedName>
    <definedName name="_Key1" localSheetId="38" hidden="1">#REF!</definedName>
    <definedName name="_Key1" localSheetId="37" hidden="1">#REF!</definedName>
    <definedName name="_Key1" localSheetId="24" hidden="1">#REF!</definedName>
    <definedName name="_Key1" localSheetId="25" hidden="1">#REF!</definedName>
    <definedName name="_Key1" hidden="1">#REF!</definedName>
    <definedName name="_Order1" hidden="1">255</definedName>
    <definedName name="_Sort" localSheetId="9" hidden="1">#REF!</definedName>
    <definedName name="_Sort" localSheetId="38" hidden="1">#REF!</definedName>
    <definedName name="_Sort" localSheetId="37" hidden="1">#REF!</definedName>
    <definedName name="_Sort" localSheetId="24" hidden="1">#REF!</definedName>
    <definedName name="_Sort" localSheetId="25" hidden="1">#REF!</definedName>
    <definedName name="_Sort" hidden="1">#REF!</definedName>
    <definedName name="ASH_KENSICO" localSheetId="4">#REF!</definedName>
    <definedName name="ASH_KENSICO" localSheetId="9">#REF!</definedName>
    <definedName name="ASH_KENSICO" localSheetId="16">#REF!</definedName>
    <definedName name="ASH_KENSICO" localSheetId="17">#REF!</definedName>
    <definedName name="ASH_KENSICO" localSheetId="20">#REF!</definedName>
    <definedName name="ASH_KENSICO" localSheetId="21">#REF!</definedName>
    <definedName name="ASH_KENSICO" localSheetId="38">#REF!</definedName>
    <definedName name="ASH_KENSICO" localSheetId="37">#REF!</definedName>
    <definedName name="ASH_KENSICO" localSheetId="23">#REF!</definedName>
    <definedName name="ASH_KENSICO" localSheetId="24">#REF!</definedName>
    <definedName name="ASH_KENSICO" localSheetId="25">#REF!</definedName>
    <definedName name="ASH_KENSICO" localSheetId="33">#REF!</definedName>
    <definedName name="ASH_KENSICO" localSheetId="36">#REF!</definedName>
    <definedName name="ASH_KENSICO">#REF!</definedName>
    <definedName name="BLEN_GILBOA" localSheetId="4">#REF!</definedName>
    <definedName name="BLEN_GILBOA" localSheetId="9">#REF!</definedName>
    <definedName name="BLEN_GILBOA" localSheetId="16">#REF!</definedName>
    <definedName name="BLEN_GILBOA" localSheetId="17">#REF!</definedName>
    <definedName name="BLEN_GILBOA" localSheetId="20">#REF!</definedName>
    <definedName name="BLEN_GILBOA" localSheetId="21">#REF!</definedName>
    <definedName name="BLEN_GILBOA" localSheetId="38">#REF!</definedName>
    <definedName name="BLEN_GILBOA" localSheetId="37">#REF!</definedName>
    <definedName name="BLEN_GILBOA" localSheetId="23">#REF!</definedName>
    <definedName name="BLEN_GILBOA" localSheetId="24">#REF!</definedName>
    <definedName name="BLEN_GILBOA" localSheetId="25">#REF!</definedName>
    <definedName name="BLEN_GILBOA" localSheetId="33">#REF!</definedName>
    <definedName name="BLEN_GILBOA" localSheetId="36">#REF!</definedName>
    <definedName name="BLEN_GILBOA">#REF!</definedName>
    <definedName name="FACILITY" localSheetId="4">#REF!</definedName>
    <definedName name="FACILITY" localSheetId="9">#REF!</definedName>
    <definedName name="FACILITY" localSheetId="16">#REF!</definedName>
    <definedName name="FACILITY" localSheetId="17">#REF!</definedName>
    <definedName name="FACILITY" localSheetId="20">#REF!</definedName>
    <definedName name="FACILITY" localSheetId="21">#REF!</definedName>
    <definedName name="FACILITY" localSheetId="38">#REF!</definedName>
    <definedName name="FACILITY" localSheetId="37">#REF!</definedName>
    <definedName name="FACILITY" localSheetId="23">#REF!</definedName>
    <definedName name="FACILITY" localSheetId="24">#REF!</definedName>
    <definedName name="FACILITY" localSheetId="25">#REF!</definedName>
    <definedName name="FACILITY" localSheetId="33">#REF!</definedName>
    <definedName name="FACILITY" localSheetId="36">#REF!</definedName>
    <definedName name="FACILITY">#REF!</definedName>
    <definedName name="FITZPATRICK" localSheetId="4">#REF!</definedName>
    <definedName name="FITZPATRICK" localSheetId="9">#REF!</definedName>
    <definedName name="FITZPATRICK" localSheetId="16">#REF!</definedName>
    <definedName name="FITZPATRICK" localSheetId="17">#REF!</definedName>
    <definedName name="FITZPATRICK" localSheetId="20">#REF!</definedName>
    <definedName name="FITZPATRICK" localSheetId="21">#REF!</definedName>
    <definedName name="FITZPATRICK" localSheetId="38">#REF!</definedName>
    <definedName name="FITZPATRICK" localSheetId="37">#REF!</definedName>
    <definedName name="FITZPATRICK" localSheetId="23">#REF!</definedName>
    <definedName name="FITZPATRICK" localSheetId="24">#REF!</definedName>
    <definedName name="FITZPATRICK" localSheetId="25">#REF!</definedName>
    <definedName name="FITZPATRICK" localSheetId="33">#REF!</definedName>
    <definedName name="FITZPATRICK" localSheetId="36">#REF!</definedName>
    <definedName name="FITZPATRICK">#REF!</definedName>
    <definedName name="FLYNN" localSheetId="4">#REF!</definedName>
    <definedName name="FLYNN" localSheetId="9">#REF!</definedName>
    <definedName name="FLYNN" localSheetId="16">#REF!</definedName>
    <definedName name="FLYNN" localSheetId="17">#REF!</definedName>
    <definedName name="FLYNN" localSheetId="20">#REF!</definedName>
    <definedName name="FLYNN" localSheetId="21">#REF!</definedName>
    <definedName name="FLYNN" localSheetId="38">#REF!</definedName>
    <definedName name="FLYNN" localSheetId="37">#REF!</definedName>
    <definedName name="FLYNN" localSheetId="23">#REF!</definedName>
    <definedName name="FLYNN" localSheetId="24">#REF!</definedName>
    <definedName name="FLYNN" localSheetId="25">#REF!</definedName>
    <definedName name="FLYNN" localSheetId="33">#REF!</definedName>
    <definedName name="FLYNN" localSheetId="36">#REF!</definedName>
    <definedName name="FLYNN">#REF!</definedName>
    <definedName name="FUNCTION" localSheetId="4">#REF!</definedName>
    <definedName name="FUNCTION" localSheetId="9">#REF!</definedName>
    <definedName name="FUNCTION" localSheetId="16">#REF!</definedName>
    <definedName name="FUNCTION" localSheetId="17">#REF!</definedName>
    <definedName name="FUNCTION" localSheetId="20">#REF!</definedName>
    <definedName name="FUNCTION" localSheetId="21">#REF!</definedName>
    <definedName name="FUNCTION" localSheetId="38">#REF!</definedName>
    <definedName name="FUNCTION" localSheetId="37">#REF!</definedName>
    <definedName name="FUNCTION" localSheetId="23">#REF!</definedName>
    <definedName name="FUNCTION" localSheetId="24">#REF!</definedName>
    <definedName name="FUNCTION" localSheetId="25">#REF!</definedName>
    <definedName name="FUNCTION" localSheetId="33">#REF!</definedName>
    <definedName name="FUNCTION" localSheetId="36">#REF!</definedName>
    <definedName name="FUNCTION">#REF!</definedName>
    <definedName name="GPLTdist">[1]BK!$N$462</definedName>
    <definedName name="GPLTprod">[1]BK!$J$462</definedName>
    <definedName name="GPLTtran">[1]BK!$L$462</definedName>
    <definedName name="HEADQUARTERS" localSheetId="4">#REF!</definedName>
    <definedName name="HEADQUARTERS" localSheetId="9">#REF!</definedName>
    <definedName name="HEADQUARTERS" localSheetId="16">#REF!</definedName>
    <definedName name="HEADQUARTERS" localSheetId="17">#REF!</definedName>
    <definedName name="HEADQUARTERS" localSheetId="20">#REF!</definedName>
    <definedName name="HEADQUARTERS" localSheetId="21">#REF!</definedName>
    <definedName name="HEADQUARTERS" localSheetId="38">#REF!</definedName>
    <definedName name="HEADQUARTERS" localSheetId="37">#REF!</definedName>
    <definedName name="HEADQUARTERS" localSheetId="23">#REF!</definedName>
    <definedName name="HEADQUARTERS" localSheetId="24">#REF!</definedName>
    <definedName name="HEADQUARTERS" localSheetId="25">#REF!</definedName>
    <definedName name="HEADQUARTERS" localSheetId="33">#REF!</definedName>
    <definedName name="HEADQUARTERS" localSheetId="36">#REF!</definedName>
    <definedName name="HEADQUARTERS">#REF!</definedName>
    <definedName name="INDIAN_PT_3" localSheetId="4">#REF!</definedName>
    <definedName name="INDIAN_PT_3" localSheetId="9">#REF!</definedName>
    <definedName name="INDIAN_PT_3" localSheetId="16">#REF!</definedName>
    <definedName name="INDIAN_PT_3" localSheetId="17">#REF!</definedName>
    <definedName name="INDIAN_PT_3" localSheetId="20">#REF!</definedName>
    <definedName name="INDIAN_PT_3" localSheetId="21">#REF!</definedName>
    <definedName name="INDIAN_PT_3" localSheetId="38">#REF!</definedName>
    <definedName name="INDIAN_PT_3" localSheetId="37">#REF!</definedName>
    <definedName name="INDIAN_PT_3" localSheetId="23">#REF!</definedName>
    <definedName name="INDIAN_PT_3" localSheetId="24">#REF!</definedName>
    <definedName name="INDIAN_PT_3" localSheetId="25">#REF!</definedName>
    <definedName name="INDIAN_PT_3" localSheetId="33">#REF!</definedName>
    <definedName name="INDIAN_PT_3" localSheetId="36">#REF!</definedName>
    <definedName name="INDIAN_PT_3">#REF!</definedName>
    <definedName name="L.I.SOUND" localSheetId="4">#REF!</definedName>
    <definedName name="L.I.SOUND" localSheetId="9">#REF!</definedName>
    <definedName name="L.I.SOUND" localSheetId="16">#REF!</definedName>
    <definedName name="L.I.SOUND" localSheetId="17">#REF!</definedName>
    <definedName name="L.I.SOUND" localSheetId="20">#REF!</definedName>
    <definedName name="L.I.SOUND" localSheetId="21">#REF!</definedName>
    <definedName name="L.I.SOUND" localSheetId="38">#REF!</definedName>
    <definedName name="L.I.SOUND" localSheetId="37">#REF!</definedName>
    <definedName name="L.I.SOUND" localSheetId="23">#REF!</definedName>
    <definedName name="L.I.SOUND" localSheetId="24">#REF!</definedName>
    <definedName name="L.I.SOUND" localSheetId="25">#REF!</definedName>
    <definedName name="L.I.SOUND" localSheetId="33">#REF!</definedName>
    <definedName name="L.I.SOUND" localSheetId="36">#REF!</definedName>
    <definedName name="L.I.SOUND">#REF!</definedName>
    <definedName name="MARCY_SOUTH" localSheetId="4">#REF!</definedName>
    <definedName name="MARCY_SOUTH" localSheetId="9">#REF!</definedName>
    <definedName name="MARCY_SOUTH" localSheetId="16">#REF!</definedName>
    <definedName name="MARCY_SOUTH" localSheetId="17">#REF!</definedName>
    <definedName name="MARCY_SOUTH" localSheetId="20">#REF!</definedName>
    <definedName name="MARCY_SOUTH" localSheetId="21">#REF!</definedName>
    <definedName name="MARCY_SOUTH" localSheetId="38">#REF!</definedName>
    <definedName name="MARCY_SOUTH" localSheetId="37">#REF!</definedName>
    <definedName name="MARCY_SOUTH" localSheetId="23">#REF!</definedName>
    <definedName name="MARCY_SOUTH" localSheetId="24">#REF!</definedName>
    <definedName name="MARCY_SOUTH" localSheetId="25">#REF!</definedName>
    <definedName name="MARCY_SOUTH" localSheetId="33">#REF!</definedName>
    <definedName name="MARCY_SOUTH" localSheetId="36">#REF!</definedName>
    <definedName name="MARCY_SOUTH">#REF!</definedName>
    <definedName name="MASS_MARCY" localSheetId="4">#REF!</definedName>
    <definedName name="MASS_MARCY" localSheetId="9">#REF!</definedName>
    <definedName name="MASS_MARCY" localSheetId="16">#REF!</definedName>
    <definedName name="MASS_MARCY" localSheetId="17">#REF!</definedName>
    <definedName name="MASS_MARCY" localSheetId="20">#REF!</definedName>
    <definedName name="MASS_MARCY" localSheetId="21">#REF!</definedName>
    <definedName name="MASS_MARCY" localSheetId="38">#REF!</definedName>
    <definedName name="MASS_MARCY" localSheetId="37">#REF!</definedName>
    <definedName name="MASS_MARCY" localSheetId="23">#REF!</definedName>
    <definedName name="MASS_MARCY" localSheetId="24">#REF!</definedName>
    <definedName name="MASS_MARCY" localSheetId="25">#REF!</definedName>
    <definedName name="MASS_MARCY" localSheetId="33">#REF!</definedName>
    <definedName name="MASS_MARCY" localSheetId="36">#REF!</definedName>
    <definedName name="MASS_MARCY">#REF!</definedName>
    <definedName name="NIAGARA" localSheetId="4">#REF!</definedName>
    <definedName name="NIAGARA" localSheetId="9">#REF!</definedName>
    <definedName name="NIAGARA" localSheetId="16">#REF!</definedName>
    <definedName name="NIAGARA" localSheetId="17">#REF!</definedName>
    <definedName name="NIAGARA" localSheetId="20">#REF!</definedName>
    <definedName name="NIAGARA" localSheetId="21">#REF!</definedName>
    <definedName name="NIAGARA" localSheetId="38">#REF!</definedName>
    <definedName name="NIAGARA" localSheetId="37">#REF!</definedName>
    <definedName name="NIAGARA" localSheetId="23">#REF!</definedName>
    <definedName name="NIAGARA" localSheetId="24">#REF!</definedName>
    <definedName name="NIAGARA" localSheetId="25">#REF!</definedName>
    <definedName name="NIAGARA" localSheetId="33">#REF!</definedName>
    <definedName name="NIAGARA" localSheetId="36">#REF!</definedName>
    <definedName name="NIAGARA">#REF!</definedName>
    <definedName name="NPLTDist">[1]BK!$N$464</definedName>
    <definedName name="NPLTPRod">[1]BK!$J$464</definedName>
    <definedName name="NPLTTran">[1]BK!$L$464</definedName>
    <definedName name="POLETTI" localSheetId="4">#REF!</definedName>
    <definedName name="POLETTI" localSheetId="9">#REF!</definedName>
    <definedName name="POLETTI" localSheetId="16">#REF!</definedName>
    <definedName name="POLETTI" localSheetId="17">#REF!</definedName>
    <definedName name="POLETTI" localSheetId="20">#REF!</definedName>
    <definedName name="POLETTI" localSheetId="21">#REF!</definedName>
    <definedName name="POLETTI" localSheetId="38">#REF!</definedName>
    <definedName name="POLETTI" localSheetId="37">#REF!</definedName>
    <definedName name="POLETTI" localSheetId="23">#REF!</definedName>
    <definedName name="POLETTI" localSheetId="24">#REF!</definedName>
    <definedName name="POLETTI" localSheetId="25">#REF!</definedName>
    <definedName name="POLETTI" localSheetId="33">#REF!</definedName>
    <definedName name="POLETTI" localSheetId="36">#REF!</definedName>
    <definedName name="POLETTI">#REF!</definedName>
    <definedName name="_xlnm.Print_Area" localSheetId="2">'A1-O&amp;M'!$A$1:$K$39</definedName>
    <definedName name="_xlnm.Print_Area" localSheetId="3">'A2-A&amp;G'!$A$1:$N$45</definedName>
    <definedName name="_xlnm.Print_Area" localSheetId="4">'B1-Depn'!$A$1:$Q$50</definedName>
    <definedName name="_xlnm.Print_Area" localSheetId="5">'B2-Plant'!$A$1:$U$62</definedName>
    <definedName name="_xlnm.Print_Area" localSheetId="6">'B3-Depn Rates'!$A$1:$N$60</definedName>
    <definedName name="_xlnm.Print_Area" localSheetId="7">'C1-Rate Base'!$A$1:$R$50</definedName>
    <definedName name="_xlnm.Print_Area" localSheetId="8">'D1-Cap Structure'!$A$1:$L$32</definedName>
    <definedName name="_xlnm.Print_Area" localSheetId="9">'D2-Project Cap Structures'!$A$1:$L$48</definedName>
    <definedName name="_xlnm.Print_Area" localSheetId="10">'E1-Labor Ratio'!$A$1:$M$38</definedName>
    <definedName name="_xlnm.Print_Area" localSheetId="11">'F1-Proj RR'!$A$1:$T$83</definedName>
    <definedName name="_xlnm.Print_Area" localSheetId="12">'F2-Incentives'!$A$1:$K$31</definedName>
    <definedName name="_xlnm.Print_Area" localSheetId="13">'F3-True-Up'!$A$1:$J$82</definedName>
    <definedName name="_xlnm.Print_Area" localSheetId="0">Index!$A$1:$D$50</definedName>
    <definedName name="_xlnm.Print_Area" localSheetId="1">SUMMARY!$A$1:$F$52</definedName>
    <definedName name="_xlnm.Print_Area" localSheetId="14">'WP-AA'!$A$1:$G$75</definedName>
    <definedName name="_xlnm.Print_Area" localSheetId="15">'WP-AB'!$A$1:$AR$105</definedName>
    <definedName name="_xlnm.Print_Area" localSheetId="16">'WP-AC'!$A$1:$H$25</definedName>
    <definedName name="_xlnm.Print_Area" localSheetId="17">'WP-AD'!$A$1:$G$25</definedName>
    <definedName name="_xlnm.Print_Area" localSheetId="18">'WP-AE'!$A$1:$J$40</definedName>
    <definedName name="_xlnm.Print_Area" localSheetId="19">'WP-AF'!$A$1:$I$25</definedName>
    <definedName name="_xlnm.Print_Area" localSheetId="20">'WP-AG'!$A$1:$M$38</definedName>
    <definedName name="_xlnm.Print_Area" localSheetId="21">'WP-AH'!$A$1:$L$40</definedName>
    <definedName name="_xlnm.Print_Area" localSheetId="22">'WP-AI'!$A$1:$K$27</definedName>
    <definedName name="_xlnm.Print_Area" localSheetId="38">'WP-AR-BS'!$A$1:$G$135</definedName>
    <definedName name="_xlnm.Print_Area" localSheetId="39">'WP-AR-Cap Assets'!$A$1:$P$53</definedName>
    <definedName name="_xlnm.Print_Area" localSheetId="37">'WP-AR-IS'!$A$1:$J$66</definedName>
    <definedName name="_xlnm.Print_Area" localSheetId="23">'WP-BA'!$B$1:$N$196</definedName>
    <definedName name="_xlnm.Print_Area" localSheetId="24">'WP-BB'!$E$1:$X$143</definedName>
    <definedName name="_xlnm.Print_Area" localSheetId="25">'WP-BC'!$B$1:$N$354</definedName>
    <definedName name="_xlnm.Print_Area" localSheetId="26">'WP-BD'!$A$1:$K$70</definedName>
    <definedName name="_xlnm.Print_Area" localSheetId="27">'WP-BE'!$A$1:$M$49</definedName>
    <definedName name="_xlnm.Print_Area" localSheetId="28">'WP-BF'!$A$1:$T$57</definedName>
    <definedName name="_xlnm.Print_Area" localSheetId="29">'WP-BG'!$A$1:$M$44</definedName>
    <definedName name="_xlnm.Print_Area" localSheetId="30">'WP-BH'!$A$1:$K$30</definedName>
    <definedName name="_xlnm.Print_Area" localSheetId="31">'WP-BI'!$A$1:$H$32</definedName>
    <definedName name="_xlnm.Print_Area" localSheetId="32">'WP-CA'!$A$1:$N$36</definedName>
    <definedName name="_xlnm.Print_Area" localSheetId="33">'WP-CB'!$A$1:$G$23</definedName>
    <definedName name="_xlnm.Print_Area" localSheetId="34">'WP-DA'!$A$1:$Q$51</definedName>
    <definedName name="_xlnm.Print_Area" localSheetId="35">'WP-DB'!$A$1:$H$45</definedName>
    <definedName name="_xlnm.Print_Area" localSheetId="36">'WP-EA'!$A$1:$H$39</definedName>
    <definedName name="_xlnm.Print_Area" localSheetId="40">'WP-Reconciliations'!$A$1:$O$134</definedName>
    <definedName name="_xlnm.Print_Area">SUMMARY!$H$24</definedName>
    <definedName name="_xlnm.Print_Titles" localSheetId="15">'WP-AB'!$B:$C</definedName>
    <definedName name="_xlnm.Print_Titles" localSheetId="38">'WP-AR-BS'!$1:$10</definedName>
    <definedName name="_xlnm.Print_Titles" localSheetId="23">'WP-BA'!$1:$13</definedName>
    <definedName name="_xlnm.Print_Titles" localSheetId="24">'WP-BB'!$G:$J,'WP-BB'!$1:$17</definedName>
    <definedName name="_xlnm.Print_Titles" localSheetId="25">'WP-BC'!$1:$13</definedName>
    <definedName name="SAPBEXrevision" localSheetId="36" hidden="1">1</definedName>
    <definedName name="SAPBEXrevision" hidden="1">3</definedName>
    <definedName name="SAPBEXsysID" hidden="1">"BIP"</definedName>
    <definedName name="SAPBEXwbID" localSheetId="36" hidden="1">"D5ZWPSXURULJDDGZZZT05CVQ9"</definedName>
    <definedName name="SAPBEXwbID" hidden="1">"DBWCU6IQEMCIVCY9FMFOKC31R"</definedName>
    <definedName name="SM.HYDRO_1" localSheetId="4">#REF!</definedName>
    <definedName name="SM.HYDRO_1" localSheetId="9">#REF!</definedName>
    <definedName name="SM.HYDRO_1" localSheetId="16">#REF!</definedName>
    <definedName name="SM.HYDRO_1" localSheetId="17">#REF!</definedName>
    <definedName name="SM.HYDRO_1" localSheetId="20">#REF!</definedName>
    <definedName name="SM.HYDRO_1" localSheetId="21">#REF!</definedName>
    <definedName name="SM.HYDRO_1" localSheetId="38">#REF!</definedName>
    <definedName name="SM.HYDRO_1" localSheetId="37">#REF!</definedName>
    <definedName name="SM.HYDRO_1" localSheetId="23">#REF!</definedName>
    <definedName name="SM.HYDRO_1" localSheetId="24">#REF!</definedName>
    <definedName name="SM.HYDRO_1" localSheetId="25">#REF!</definedName>
    <definedName name="SM.HYDRO_1" localSheetId="33">#REF!</definedName>
    <definedName name="SM.HYDRO_1" localSheetId="36">#REF!</definedName>
    <definedName name="SM.HYDRO_1">#REF!</definedName>
    <definedName name="ST.LAWRENCE" localSheetId="4">#REF!</definedName>
    <definedName name="ST.LAWRENCE" localSheetId="9">#REF!</definedName>
    <definedName name="ST.LAWRENCE" localSheetId="16">#REF!</definedName>
    <definedName name="ST.LAWRENCE" localSheetId="17">#REF!</definedName>
    <definedName name="ST.LAWRENCE" localSheetId="20">#REF!</definedName>
    <definedName name="ST.LAWRENCE" localSheetId="21">#REF!</definedName>
    <definedName name="ST.LAWRENCE" localSheetId="38">#REF!</definedName>
    <definedName name="ST.LAWRENCE" localSheetId="37">#REF!</definedName>
    <definedName name="ST.LAWRENCE" localSheetId="23">#REF!</definedName>
    <definedName name="ST.LAWRENCE" localSheetId="24">#REF!</definedName>
    <definedName name="ST.LAWRENCE" localSheetId="25">#REF!</definedName>
    <definedName name="ST.LAWRENCE" localSheetId="33">#REF!</definedName>
    <definedName name="ST.LAWRENCE" localSheetId="36">#REF!</definedName>
    <definedName name="ST.LAWRENCE">#REF!</definedName>
    <definedName name="SUMMARY_1" localSheetId="4">#REF!</definedName>
    <definedName name="SUMMARY_1" localSheetId="9">#REF!</definedName>
    <definedName name="SUMMARY_1" localSheetId="16">#REF!</definedName>
    <definedName name="SUMMARY_1" localSheetId="17">#REF!</definedName>
    <definedName name="SUMMARY_1" localSheetId="20">#REF!</definedName>
    <definedName name="SUMMARY_1" localSheetId="21">#REF!</definedName>
    <definedName name="SUMMARY_1" localSheetId="38">#REF!</definedName>
    <definedName name="SUMMARY_1" localSheetId="37">#REF!</definedName>
    <definedName name="SUMMARY_1" localSheetId="23">#REF!</definedName>
    <definedName name="SUMMARY_1" localSheetId="24">#REF!</definedName>
    <definedName name="SUMMARY_1" localSheetId="25">#REF!</definedName>
    <definedName name="SUMMARY_1" localSheetId="33">#REF!</definedName>
    <definedName name="SUMMARY_1" localSheetId="36">#REF!</definedName>
    <definedName name="SUMMARY_1">#REF!</definedName>
    <definedName name="SUMMARY_2" localSheetId="4">#REF!</definedName>
    <definedName name="SUMMARY_2" localSheetId="9">#REF!</definedName>
    <definedName name="SUMMARY_2" localSheetId="16">#REF!</definedName>
    <definedName name="SUMMARY_2" localSheetId="17">#REF!</definedName>
    <definedName name="SUMMARY_2" localSheetId="20">#REF!</definedName>
    <definedName name="SUMMARY_2" localSheetId="21">#REF!</definedName>
    <definedName name="SUMMARY_2" localSheetId="38">#REF!</definedName>
    <definedName name="SUMMARY_2" localSheetId="37">#REF!</definedName>
    <definedName name="SUMMARY_2" localSheetId="23">#REF!</definedName>
    <definedName name="SUMMARY_2" localSheetId="24">#REF!</definedName>
    <definedName name="SUMMARY_2" localSheetId="25">#REF!</definedName>
    <definedName name="SUMMARY_2" localSheetId="33">#REF!</definedName>
    <definedName name="SUMMARY_2" localSheetId="36">#REF!</definedName>
    <definedName name="SUMMARY_2">#REF!</definedName>
    <definedName name="SWH" localSheetId="35">'[2]BK-Cost_Of_Svc'!$F$595</definedName>
    <definedName name="SWH">'[2]BK-Cost_Of_Svc'!$F$595</definedName>
    <definedName name="TP_Footer_User" hidden="1">"Will Kane"</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Z_B321D76C_CDE5_48BB_9CDE_80FF97D58FCF_.wvu.Cols" localSheetId="23" hidden="1">'WP-BA'!$A:$A,'WP-BA'!$M:$M</definedName>
    <definedName name="Z_B321D76C_CDE5_48BB_9CDE_80FF97D58FCF_.wvu.Cols" localSheetId="24" hidden="1">'WP-BB'!$A:$D,'WP-BB'!$S:$X</definedName>
    <definedName name="Z_B321D76C_CDE5_48BB_9CDE_80FF97D58FCF_.wvu.Cols" localSheetId="25" hidden="1">'WP-BC'!$A:$A</definedName>
    <definedName name="Z_B321D76C_CDE5_48BB_9CDE_80FF97D58FCF_.wvu.Cols" localSheetId="27" hidden="1">'WP-BE'!$B:$B</definedName>
    <definedName name="Z_B321D76C_CDE5_48BB_9CDE_80FF97D58FCF_.wvu.FilterData" localSheetId="24" hidden="1">'WP-BB'!$A$18:$AD$143</definedName>
    <definedName name="Z_B321D76C_CDE5_48BB_9CDE_80FF97D58FCF_.wvu.FilterData" localSheetId="25" hidden="1">'WP-BC'!$A$13:$N$13</definedName>
    <definedName name="Z_B321D76C_CDE5_48BB_9CDE_80FF97D58FCF_.wvu.PrintArea" localSheetId="2" hidden="1">'A1-O&amp;M'!$A$1:$K$39</definedName>
    <definedName name="Z_B321D76C_CDE5_48BB_9CDE_80FF97D58FCF_.wvu.PrintArea" localSheetId="3" hidden="1">'A2-A&amp;G'!$A$1:$N$45</definedName>
    <definedName name="Z_B321D76C_CDE5_48BB_9CDE_80FF97D58FCF_.wvu.PrintArea" localSheetId="4" hidden="1">'B1-Depn'!$A$1:$Q$50</definedName>
    <definedName name="Z_B321D76C_CDE5_48BB_9CDE_80FF97D58FCF_.wvu.PrintArea" localSheetId="5" hidden="1">'B2-Plant'!$A$1:$U$62</definedName>
    <definedName name="Z_B321D76C_CDE5_48BB_9CDE_80FF97D58FCF_.wvu.PrintArea" localSheetId="6" hidden="1">'B3-Depn Rates'!$A$1:$N$60</definedName>
    <definedName name="Z_B321D76C_CDE5_48BB_9CDE_80FF97D58FCF_.wvu.PrintArea" localSheetId="7" hidden="1">'C1-Rate Base'!$A$1:$R$50</definedName>
    <definedName name="Z_B321D76C_CDE5_48BB_9CDE_80FF97D58FCF_.wvu.PrintArea" localSheetId="8" hidden="1">'D1-Cap Structure'!$A$1:$L$32</definedName>
    <definedName name="Z_B321D76C_CDE5_48BB_9CDE_80FF97D58FCF_.wvu.PrintArea" localSheetId="9" hidden="1">'D2-Project Cap Structures'!$A$1:$L$48</definedName>
    <definedName name="Z_B321D76C_CDE5_48BB_9CDE_80FF97D58FCF_.wvu.PrintArea" localSheetId="10" hidden="1">'E1-Labor Ratio'!$A$1:$M$38</definedName>
    <definedName name="Z_B321D76C_CDE5_48BB_9CDE_80FF97D58FCF_.wvu.PrintArea" localSheetId="11" hidden="1">'F1-Proj RR'!$A$1:$T$83</definedName>
    <definedName name="Z_B321D76C_CDE5_48BB_9CDE_80FF97D58FCF_.wvu.PrintArea" localSheetId="12" hidden="1">'F2-Incentives'!$A$1:$K$31</definedName>
    <definedName name="Z_B321D76C_CDE5_48BB_9CDE_80FF97D58FCF_.wvu.PrintArea" localSheetId="13" hidden="1">'F3-True-Up'!$A$1:$J$82</definedName>
    <definedName name="Z_B321D76C_CDE5_48BB_9CDE_80FF97D58FCF_.wvu.PrintArea" localSheetId="0" hidden="1">Index!$A$1:$D$50</definedName>
    <definedName name="Z_B321D76C_CDE5_48BB_9CDE_80FF97D58FCF_.wvu.PrintArea" localSheetId="1" hidden="1">SUMMARY!$A$1:$F$52</definedName>
    <definedName name="Z_B321D76C_CDE5_48BB_9CDE_80FF97D58FCF_.wvu.PrintArea" localSheetId="14" hidden="1">'WP-AA'!$A$1:$G$75</definedName>
    <definedName name="Z_B321D76C_CDE5_48BB_9CDE_80FF97D58FCF_.wvu.PrintArea" localSheetId="15" hidden="1">'WP-AB'!$A$1:$AQ$75</definedName>
    <definedName name="Z_B321D76C_CDE5_48BB_9CDE_80FF97D58FCF_.wvu.PrintArea" localSheetId="16" hidden="1">'WP-AC'!$A$1:$H$25</definedName>
    <definedName name="Z_B321D76C_CDE5_48BB_9CDE_80FF97D58FCF_.wvu.PrintArea" localSheetId="17" hidden="1">'WP-AD'!$A$1:$G$25</definedName>
    <definedName name="Z_B321D76C_CDE5_48BB_9CDE_80FF97D58FCF_.wvu.PrintArea" localSheetId="18" hidden="1">'WP-AE'!$A$1:$J$40</definedName>
    <definedName name="Z_B321D76C_CDE5_48BB_9CDE_80FF97D58FCF_.wvu.PrintArea" localSheetId="19" hidden="1">'WP-AF'!$A$1:$I$25</definedName>
    <definedName name="Z_B321D76C_CDE5_48BB_9CDE_80FF97D58FCF_.wvu.PrintArea" localSheetId="20" hidden="1">'WP-AG'!$A$1:$M$38</definedName>
    <definedName name="Z_B321D76C_CDE5_48BB_9CDE_80FF97D58FCF_.wvu.PrintArea" localSheetId="21" hidden="1">'WP-AH'!$A$1:$L$40</definedName>
    <definedName name="Z_B321D76C_CDE5_48BB_9CDE_80FF97D58FCF_.wvu.PrintArea" localSheetId="22" hidden="1">'WP-AI'!$A$1:$K$27</definedName>
    <definedName name="Z_B321D76C_CDE5_48BB_9CDE_80FF97D58FCF_.wvu.PrintArea" localSheetId="38" hidden="1">'WP-AR-BS'!$A$1:$G$135</definedName>
    <definedName name="Z_B321D76C_CDE5_48BB_9CDE_80FF97D58FCF_.wvu.PrintArea" localSheetId="39" hidden="1">'WP-AR-Cap Assets'!$A$1:$P$53</definedName>
    <definedName name="Z_B321D76C_CDE5_48BB_9CDE_80FF97D58FCF_.wvu.PrintArea" localSheetId="37" hidden="1">'WP-AR-IS'!$A$1:$J$66</definedName>
    <definedName name="Z_B321D76C_CDE5_48BB_9CDE_80FF97D58FCF_.wvu.PrintArea" localSheetId="23" hidden="1">'WP-BA'!$B$1:$N$196</definedName>
    <definedName name="Z_B321D76C_CDE5_48BB_9CDE_80FF97D58FCF_.wvu.PrintArea" localSheetId="24" hidden="1">'WP-BB'!$E$1:$X$143</definedName>
    <definedName name="Z_B321D76C_CDE5_48BB_9CDE_80FF97D58FCF_.wvu.PrintArea" localSheetId="25" hidden="1">'WP-BC'!$B$1:$N$354</definedName>
    <definedName name="Z_B321D76C_CDE5_48BB_9CDE_80FF97D58FCF_.wvu.PrintArea" localSheetId="26" hidden="1">'WP-BD'!$A$1:$K$70</definedName>
    <definedName name="Z_B321D76C_CDE5_48BB_9CDE_80FF97D58FCF_.wvu.PrintArea" localSheetId="27" hidden="1">'WP-BE'!$A$1:$M$49</definedName>
    <definedName name="Z_B321D76C_CDE5_48BB_9CDE_80FF97D58FCF_.wvu.PrintArea" localSheetId="28" hidden="1">'WP-BF'!$A$1:$T$57</definedName>
    <definedName name="Z_B321D76C_CDE5_48BB_9CDE_80FF97D58FCF_.wvu.PrintArea" localSheetId="29" hidden="1">'WP-BG'!$A$1:$M$44</definedName>
    <definedName name="Z_B321D76C_CDE5_48BB_9CDE_80FF97D58FCF_.wvu.PrintArea" localSheetId="30" hidden="1">'WP-BH'!$A$1:$K$30</definedName>
    <definedName name="Z_B321D76C_CDE5_48BB_9CDE_80FF97D58FCF_.wvu.PrintArea" localSheetId="31" hidden="1">'WP-BI'!$A$1:$F$27</definedName>
    <definedName name="Z_B321D76C_CDE5_48BB_9CDE_80FF97D58FCF_.wvu.PrintArea" localSheetId="32" hidden="1">'WP-CA'!$A$1:$N$36</definedName>
    <definedName name="Z_B321D76C_CDE5_48BB_9CDE_80FF97D58FCF_.wvu.PrintArea" localSheetId="33" hidden="1">'WP-CB'!$A$1:$G$23</definedName>
    <definedName name="Z_B321D76C_CDE5_48BB_9CDE_80FF97D58FCF_.wvu.PrintArea" localSheetId="34" hidden="1">'WP-DA'!$A$1:$Q$51</definedName>
    <definedName name="Z_B321D76C_CDE5_48BB_9CDE_80FF97D58FCF_.wvu.PrintArea" localSheetId="35" hidden="1">'WP-DB'!$A$1:$H$45</definedName>
    <definedName name="Z_B321D76C_CDE5_48BB_9CDE_80FF97D58FCF_.wvu.PrintArea" localSheetId="36" hidden="1">'WP-EA'!$A$1:$H$39</definedName>
    <definedName name="Z_B321D76C_CDE5_48BB_9CDE_80FF97D58FCF_.wvu.PrintArea" localSheetId="40" hidden="1">'WP-Reconciliations'!$A$1:$O$134</definedName>
    <definedName name="Z_B321D76C_CDE5_48BB_9CDE_80FF97D58FCF_.wvu.PrintTitles" localSheetId="15" hidden="1">'WP-AB'!$B:$C</definedName>
    <definedName name="Z_B321D76C_CDE5_48BB_9CDE_80FF97D58FCF_.wvu.PrintTitles" localSheetId="38" hidden="1">'WP-AR-BS'!$1:$10</definedName>
    <definedName name="Z_B321D76C_CDE5_48BB_9CDE_80FF97D58FCF_.wvu.PrintTitles" localSheetId="23" hidden="1">'WP-BA'!$1:$13</definedName>
    <definedName name="Z_B321D76C_CDE5_48BB_9CDE_80FF97D58FCF_.wvu.PrintTitles" localSheetId="24" hidden="1">'WP-BB'!$G:$J,'WP-BB'!$1:$17</definedName>
    <definedName name="Z_B321D76C_CDE5_48BB_9CDE_80FF97D58FCF_.wvu.PrintTitles" localSheetId="25" hidden="1">'WP-BC'!$1:$13</definedName>
    <definedName name="Z_F04A2B9A_C6FE_4FEB_AD1E_2CF9AC309BE4_.wvu.PrintArea" localSheetId="11" hidden="1">'F1-Proj RR'!$A$1:$R$85</definedName>
    <definedName name="Z_F04A2B9A_C6FE_4FEB_AD1E_2CF9AC309BE4_.wvu.PrintArea" localSheetId="13" hidden="1">'F3-True-Up'!$A$1:$L$31</definedName>
  </definedNames>
  <calcPr calcId="162913"/>
  <customWorkbookViews>
    <customWorkbookView name="Kamalya Marano - Personal View" guid="{B321D76C-CDE5-48BB-9CDE-80FF97D58FCF}" mergeInterval="0" personalView="1" maximized="1" xWindow="1271" yWindow="-9" windowWidth="1298" windowHeight="1042" tabRatio="847" activeSheetId="1" showComments="commIndAndComment"/>
  </customWorkbookViews>
</workbook>
</file>

<file path=xl/calcChain.xml><?xml version="1.0" encoding="utf-8"?>
<calcChain xmlns="http://schemas.openxmlformats.org/spreadsheetml/2006/main">
  <c r="F132" i="26" l="1"/>
  <c r="F131" i="26"/>
  <c r="A337" i="27"/>
  <c r="A338" i="27"/>
  <c r="A339" i="27"/>
  <c r="A340" i="27"/>
  <c r="A341" i="27"/>
  <c r="A342" i="27"/>
  <c r="A343" i="27"/>
  <c r="A344" i="27"/>
  <c r="A306" i="27" l="1"/>
  <c r="D79" i="26"/>
  <c r="G77" i="15" l="1"/>
  <c r="AO75" i="17" l="1"/>
  <c r="E72" i="16" l="1"/>
  <c r="E51" i="16" l="1"/>
  <c r="F51" i="16" s="1"/>
  <c r="N38" i="41" l="1"/>
  <c r="L38" i="41"/>
  <c r="J38" i="41"/>
  <c r="AQ19" i="17" l="1"/>
  <c r="AQ20" i="17"/>
  <c r="AQ21" i="17"/>
  <c r="AQ22" i="17"/>
  <c r="AQ23" i="17"/>
  <c r="AQ24" i="17"/>
  <c r="AQ25" i="17"/>
  <c r="AQ26" i="17"/>
  <c r="AQ27" i="17"/>
  <c r="AQ28" i="17"/>
  <c r="AQ29" i="17"/>
  <c r="AQ30" i="17"/>
  <c r="AQ31" i="17"/>
  <c r="AQ32" i="17"/>
  <c r="AQ33" i="17"/>
  <c r="AQ34" i="17"/>
  <c r="AQ35" i="17"/>
  <c r="AQ36" i="17"/>
  <c r="AQ37" i="17"/>
  <c r="AQ38" i="17"/>
  <c r="AQ39" i="17"/>
  <c r="AQ40" i="17"/>
  <c r="AQ41" i="17"/>
  <c r="AQ42" i="17"/>
  <c r="AQ43" i="17"/>
  <c r="AQ44" i="17"/>
  <c r="AQ45" i="17"/>
  <c r="AQ46" i="17"/>
  <c r="AQ47" i="17"/>
  <c r="AQ48" i="17"/>
  <c r="AQ49" i="17"/>
  <c r="AQ50" i="17"/>
  <c r="AQ51" i="17"/>
  <c r="AQ52" i="17"/>
  <c r="AQ53" i="17"/>
  <c r="AQ54" i="17"/>
  <c r="AQ55" i="17"/>
  <c r="AQ56" i="17"/>
  <c r="AQ57" i="17"/>
  <c r="AQ58" i="17"/>
  <c r="AQ59" i="17"/>
  <c r="AQ60" i="17"/>
  <c r="AQ61" i="17"/>
  <c r="AQ62" i="17"/>
  <c r="AQ63" i="17"/>
  <c r="AQ64" i="17"/>
  <c r="AQ65" i="17"/>
  <c r="AQ66" i="17"/>
  <c r="AQ67" i="17"/>
  <c r="AQ68" i="17"/>
  <c r="AQ69" i="17"/>
  <c r="N241" i="27" l="1"/>
  <c r="M241" i="27"/>
  <c r="L241" i="27"/>
  <c r="K241" i="27"/>
  <c r="N165" i="27"/>
  <c r="M165" i="27"/>
  <c r="L165" i="27"/>
  <c r="K165" i="27"/>
  <c r="N104" i="27"/>
  <c r="M104" i="27"/>
  <c r="L104" i="27"/>
  <c r="K104" i="27"/>
  <c r="N60" i="27"/>
  <c r="M60" i="27"/>
  <c r="L60" i="27"/>
  <c r="K60" i="27"/>
  <c r="N55" i="27"/>
  <c r="N62" i="27" s="1"/>
  <c r="M55" i="27"/>
  <c r="L55" i="27"/>
  <c r="L62" i="27" s="1"/>
  <c r="K55" i="27"/>
  <c r="K62" i="27" s="1"/>
  <c r="D75" i="17"/>
  <c r="B6" i="41"/>
  <c r="A6" i="40"/>
  <c r="A5" i="39"/>
  <c r="A5" i="38"/>
  <c r="A6" i="37"/>
  <c r="A5" i="36"/>
  <c r="A5" i="35"/>
  <c r="A6" i="34"/>
  <c r="A6" i="33"/>
  <c r="A6" i="32"/>
  <c r="A6" i="31"/>
  <c r="B5" i="30"/>
  <c r="A7" i="29"/>
  <c r="A5" i="28"/>
  <c r="C5" i="27"/>
  <c r="G6" i="26"/>
  <c r="B5" i="25"/>
  <c r="A7" i="24"/>
  <c r="A6" i="23"/>
  <c r="A6" i="22"/>
  <c r="A6" i="21"/>
  <c r="A6" i="20"/>
  <c r="A6" i="19"/>
  <c r="A6" i="18"/>
  <c r="D6" i="17"/>
  <c r="A6" i="16"/>
  <c r="A8" i="12"/>
  <c r="M62" i="27" l="1"/>
  <c r="D48" i="16"/>
  <c r="E71" i="16"/>
  <c r="AQ71" i="17"/>
  <c r="C48" i="16" l="1"/>
  <c r="E49" i="16" l="1"/>
  <c r="F49" i="16" s="1"/>
  <c r="F72" i="16"/>
  <c r="E50" i="16"/>
  <c r="F50" i="16" s="1"/>
  <c r="AQ70" i="17"/>
  <c r="H29" i="11" l="1"/>
  <c r="A183" i="25" l="1"/>
  <c r="A184" i="25"/>
  <c r="A185" i="25"/>
  <c r="A172" i="27"/>
  <c r="A173" i="27"/>
  <c r="A174" i="27"/>
  <c r="J48" i="41" l="1"/>
  <c r="L48" i="41"/>
  <c r="N48" i="41"/>
  <c r="J27" i="41"/>
  <c r="L27" i="41"/>
  <c r="N27" i="41"/>
  <c r="P46" i="41"/>
  <c r="P45" i="41"/>
  <c r="P44" i="41"/>
  <c r="P43" i="41"/>
  <c r="P41" i="41"/>
  <c r="P35" i="41"/>
  <c r="P34" i="41"/>
  <c r="P33" i="41"/>
  <c r="P32" i="41"/>
  <c r="P30" i="41"/>
  <c r="P25" i="41"/>
  <c r="P24" i="41"/>
  <c r="P23" i="41"/>
  <c r="P22" i="41"/>
  <c r="N50" i="41" l="1"/>
  <c r="P27" i="41"/>
  <c r="P48" i="41"/>
  <c r="P38" i="41"/>
  <c r="AQ18" i="17"/>
  <c r="AM75" i="17"/>
  <c r="AN75" i="17"/>
  <c r="A36" i="25"/>
  <c r="A37" i="25"/>
  <c r="A38" i="25"/>
  <c r="A39" i="25"/>
  <c r="A34" i="25"/>
  <c r="A35" i="25"/>
  <c r="A40" i="25"/>
  <c r="A41" i="25"/>
  <c r="A31" i="25"/>
  <c r="A32" i="25"/>
  <c r="A33" i="25"/>
  <c r="A30" i="25"/>
  <c r="A246" i="27"/>
  <c r="A247" i="27"/>
  <c r="A248" i="27"/>
  <c r="A249" i="27"/>
  <c r="A250" i="27"/>
  <c r="A251" i="27"/>
  <c r="A252" i="27"/>
  <c r="A253" i="27"/>
  <c r="A254" i="27"/>
  <c r="A255" i="27"/>
  <c r="A256" i="27"/>
  <c r="A257" i="27"/>
  <c r="A258" i="27"/>
  <c r="A259" i="27"/>
  <c r="A260" i="27"/>
  <c r="A261" i="27"/>
  <c r="A262" i="27"/>
  <c r="A263" i="27"/>
  <c r="A264" i="27"/>
  <c r="A265" i="27"/>
  <c r="A266" i="27"/>
  <c r="A267" i="27"/>
  <c r="A268" i="27"/>
  <c r="A269" i="27"/>
  <c r="A270" i="27"/>
  <c r="A271" i="27"/>
  <c r="A272" i="27"/>
  <c r="A273" i="27"/>
  <c r="A274" i="27"/>
  <c r="A275" i="27"/>
  <c r="A276" i="27"/>
  <c r="A277" i="27"/>
  <c r="A278" i="27"/>
  <c r="A279" i="27"/>
  <c r="A280" i="27"/>
  <c r="A281" i="27"/>
  <c r="A282" i="27"/>
  <c r="A283" i="27"/>
  <c r="A284" i="27"/>
  <c r="A285" i="27"/>
  <c r="A286" i="27"/>
  <c r="A287" i="27"/>
  <c r="A288" i="27"/>
  <c r="A289" i="27"/>
  <c r="A290" i="27"/>
  <c r="A291" i="27"/>
  <c r="A292" i="27"/>
  <c r="A293" i="27"/>
  <c r="A294" i="27"/>
  <c r="A295" i="27"/>
  <c r="A296" i="27"/>
  <c r="A297" i="27"/>
  <c r="A298" i="27"/>
  <c r="A299" i="27"/>
  <c r="A300" i="27"/>
  <c r="A301" i="27"/>
  <c r="A302" i="27"/>
  <c r="A303" i="27"/>
  <c r="A304" i="27"/>
  <c r="A305" i="27"/>
  <c r="A307" i="27"/>
  <c r="A308" i="27"/>
  <c r="A309" i="27"/>
  <c r="A310" i="27"/>
  <c r="A311" i="27"/>
  <c r="A312" i="27"/>
  <c r="A313" i="27"/>
  <c r="A314" i="27"/>
  <c r="A315" i="27"/>
  <c r="A316" i="27"/>
  <c r="A317" i="27"/>
  <c r="A318" i="27"/>
  <c r="A319" i="27"/>
  <c r="A320" i="27"/>
  <c r="A321" i="27"/>
  <c r="A322" i="27"/>
  <c r="A323" i="27"/>
  <c r="A324" i="27"/>
  <c r="A325" i="27"/>
  <c r="A326" i="27"/>
  <c r="A327" i="27"/>
  <c r="A328" i="27"/>
  <c r="A329" i="27"/>
  <c r="A330" i="27"/>
  <c r="A331" i="27"/>
  <c r="A332" i="27"/>
  <c r="A333" i="27"/>
  <c r="A334" i="27"/>
  <c r="A335" i="27"/>
  <c r="A336" i="27"/>
  <c r="A170" i="27"/>
  <c r="A171" i="27"/>
  <c r="A175" i="27"/>
  <c r="A176" i="27"/>
  <c r="A177" i="27"/>
  <c r="A178" i="27"/>
  <c r="A179" i="27"/>
  <c r="A180" i="27"/>
  <c r="A181" i="27"/>
  <c r="A182" i="27"/>
  <c r="A183" i="27"/>
  <c r="A184" i="27"/>
  <c r="A185" i="27"/>
  <c r="A186" i="27"/>
  <c r="A187" i="27"/>
  <c r="A188" i="27"/>
  <c r="A189" i="27"/>
  <c r="A190" i="27"/>
  <c r="A191" i="27"/>
  <c r="A192" i="27"/>
  <c r="A193" i="27"/>
  <c r="A194" i="27"/>
  <c r="A195" i="27"/>
  <c r="A196" i="27"/>
  <c r="A197" i="27"/>
  <c r="A198" i="27"/>
  <c r="A199" i="27"/>
  <c r="A200" i="27"/>
  <c r="A201" i="27"/>
  <c r="A202" i="27"/>
  <c r="A203" i="27"/>
  <c r="A204" i="27"/>
  <c r="A205" i="27"/>
  <c r="A206" i="27"/>
  <c r="A207" i="27"/>
  <c r="A208" i="27"/>
  <c r="A209" i="27"/>
  <c r="A210" i="27"/>
  <c r="A211" i="27"/>
  <c r="A212" i="27"/>
  <c r="A213" i="27"/>
  <c r="A214" i="27"/>
  <c r="A215" i="27"/>
  <c r="A216" i="27"/>
  <c r="A217" i="27"/>
  <c r="A218" i="27"/>
  <c r="A219" i="27"/>
  <c r="A220" i="27"/>
  <c r="A221" i="27"/>
  <c r="A222" i="27"/>
  <c r="A223" i="27"/>
  <c r="A224" i="27"/>
  <c r="A225" i="27"/>
  <c r="A226" i="27"/>
  <c r="A227" i="27"/>
  <c r="A228" i="27"/>
  <c r="A229" i="27"/>
  <c r="A230" i="27"/>
  <c r="A231" i="27"/>
  <c r="A232" i="27"/>
  <c r="A233" i="27"/>
  <c r="A234" i="27"/>
  <c r="A235" i="27"/>
  <c r="A236" i="27"/>
  <c r="A237"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G347" i="27"/>
  <c r="H347" i="27"/>
  <c r="I347" i="27"/>
  <c r="J347" i="27"/>
  <c r="C184" i="25" l="1"/>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H31" i="28"/>
  <c r="H30" i="28"/>
  <c r="H29" i="28"/>
  <c r="H28" i="28"/>
  <c r="H27" i="28"/>
  <c r="H26" i="28"/>
  <c r="H25" i="28"/>
  <c r="H24" i="28"/>
  <c r="H23" i="28"/>
  <c r="H22" i="28"/>
  <c r="H21" i="28"/>
  <c r="H20" i="28"/>
  <c r="H19" i="28"/>
  <c r="H18" i="28"/>
  <c r="D19" i="28" s="1"/>
  <c r="F18" i="28"/>
  <c r="F19" i="28" l="1"/>
  <c r="D20" i="28"/>
  <c r="D21" i="28" l="1"/>
  <c r="F20" i="28"/>
  <c r="D22" i="28" l="1"/>
  <c r="F21" i="28"/>
  <c r="D23" i="28" l="1"/>
  <c r="F22" i="28"/>
  <c r="F23" i="28" l="1"/>
  <c r="D24" i="28"/>
  <c r="D25" i="28" l="1"/>
  <c r="F24" i="28"/>
  <c r="D26" i="28" l="1"/>
  <c r="F25" i="28"/>
  <c r="F26" i="28" l="1"/>
  <c r="D27" i="28"/>
  <c r="F27" i="28" l="1"/>
  <c r="D28" i="28"/>
  <c r="D29" i="28" l="1"/>
  <c r="F28" i="28"/>
  <c r="D30" i="28" l="1"/>
  <c r="F29" i="28"/>
  <c r="F30" i="28" l="1"/>
  <c r="D31" i="28"/>
  <c r="F31" i="28" l="1"/>
  <c r="D32" i="28"/>
  <c r="D33" i="28" l="1"/>
  <c r="F32" i="28"/>
  <c r="D34" i="28" l="1"/>
  <c r="F33" i="28"/>
  <c r="F34" i="28" l="1"/>
  <c r="D35" i="28"/>
  <c r="F35" i="28" l="1"/>
  <c r="D36" i="28"/>
  <c r="D37" i="28" l="1"/>
  <c r="F36" i="28"/>
  <c r="D38" i="28" l="1"/>
  <c r="F37" i="28"/>
  <c r="D39" i="28" l="1"/>
  <c r="F38" i="28"/>
  <c r="F39" i="28" l="1"/>
  <c r="D40" i="28"/>
  <c r="D41" i="28" l="1"/>
  <c r="F40" i="28"/>
  <c r="D42" i="28" l="1"/>
  <c r="F41" i="28"/>
  <c r="F42" i="28" l="1"/>
  <c r="D43" i="28"/>
  <c r="F43" i="28" l="1"/>
  <c r="D44" i="28"/>
  <c r="D45" i="28" l="1"/>
  <c r="F44" i="28"/>
  <c r="D46" i="28" l="1"/>
  <c r="F45" i="28"/>
  <c r="F46" i="28" l="1"/>
  <c r="D47" i="28"/>
  <c r="F47" i="28" l="1"/>
  <c r="D48" i="28"/>
  <c r="D49" i="28" l="1"/>
  <c r="F48" i="28"/>
  <c r="J48" i="28" s="1"/>
  <c r="D24" i="9" s="1"/>
  <c r="D50" i="28" l="1"/>
  <c r="F49" i="28"/>
  <c r="F50" i="28" l="1"/>
  <c r="D51" i="28"/>
  <c r="F51" i="28" l="1"/>
  <c r="D52" i="28"/>
  <c r="D53" i="28" l="1"/>
  <c r="F52" i="28"/>
  <c r="D54" i="28" l="1"/>
  <c r="F53" i="28"/>
  <c r="F54" i="28" l="1"/>
  <c r="D55" i="28"/>
  <c r="F55" i="28" l="1"/>
  <c r="D56" i="28"/>
  <c r="D57" i="28" l="1"/>
  <c r="F56" i="28"/>
  <c r="D58" i="28" l="1"/>
  <c r="F57" i="28"/>
  <c r="F58" i="28" l="1"/>
  <c r="D59" i="28"/>
  <c r="F59" i="28" l="1"/>
  <c r="D60" i="28"/>
  <c r="D61" i="28" l="1"/>
  <c r="F60" i="28"/>
  <c r="D62" i="28" l="1"/>
  <c r="F61" i="28"/>
  <c r="F62" i="28" l="1"/>
  <c r="D63" i="28"/>
  <c r="F63" i="28" l="1"/>
  <c r="D64" i="28"/>
  <c r="D65" i="28" l="1"/>
  <c r="F64" i="28"/>
  <c r="D66" i="28" l="1"/>
  <c r="F65" i="28"/>
  <c r="F66" i="28" l="1"/>
  <c r="D67" i="28"/>
  <c r="F67" i="28" s="1"/>
  <c r="N40" i="8" l="1"/>
  <c r="N39" i="8"/>
  <c r="N38" i="8"/>
  <c r="N33" i="8"/>
  <c r="N32" i="8"/>
  <c r="N31" i="8"/>
  <c r="M33" i="8"/>
  <c r="L33" i="8"/>
  <c r="K33" i="8"/>
  <c r="J33" i="8"/>
  <c r="I33" i="8"/>
  <c r="H33" i="8"/>
  <c r="G33" i="8"/>
  <c r="F33" i="8"/>
  <c r="M32" i="8"/>
  <c r="L32" i="8"/>
  <c r="K32" i="8"/>
  <c r="J32" i="8"/>
  <c r="I32" i="8"/>
  <c r="H32" i="8"/>
  <c r="G32" i="8"/>
  <c r="F32" i="8"/>
  <c r="M31" i="8"/>
  <c r="L31" i="8"/>
  <c r="K31" i="8"/>
  <c r="J31" i="8"/>
  <c r="I31" i="8"/>
  <c r="H31" i="8"/>
  <c r="G31" i="8"/>
  <c r="F31" i="8"/>
  <c r="M40" i="8"/>
  <c r="L40" i="8"/>
  <c r="K40" i="8"/>
  <c r="J40" i="8"/>
  <c r="I40" i="8"/>
  <c r="H40" i="8"/>
  <c r="G40" i="8"/>
  <c r="F40" i="8"/>
  <c r="M39" i="8"/>
  <c r="L39" i="8"/>
  <c r="K39" i="8"/>
  <c r="J39" i="8"/>
  <c r="I39" i="8"/>
  <c r="H39" i="8"/>
  <c r="G39" i="8"/>
  <c r="F39" i="8"/>
  <c r="M38" i="8"/>
  <c r="L38" i="8"/>
  <c r="K38" i="8"/>
  <c r="J38" i="8"/>
  <c r="I38" i="8"/>
  <c r="H38" i="8"/>
  <c r="G38" i="8"/>
  <c r="F38" i="8"/>
  <c r="H17" i="21" l="1"/>
  <c r="H21" i="21" s="1"/>
  <c r="E31" i="37" l="1"/>
  <c r="E39" i="37" l="1"/>
  <c r="F31" i="37"/>
  <c r="F39" i="37" s="1"/>
  <c r="F23" i="37"/>
  <c r="E23" i="37"/>
  <c r="M18" i="36" l="1"/>
  <c r="F25" i="11" s="1"/>
  <c r="Q44" i="13" l="1"/>
  <c r="A8" i="11" l="1"/>
  <c r="P24" i="7" l="1"/>
  <c r="O24" i="7"/>
  <c r="N24" i="7"/>
  <c r="M24" i="7"/>
  <c r="L24" i="7"/>
  <c r="K24" i="7"/>
  <c r="J24" i="7"/>
  <c r="I24" i="7"/>
  <c r="R73" i="26" l="1"/>
  <c r="Q73" i="26"/>
  <c r="P73" i="26"/>
  <c r="O73" i="26"/>
  <c r="N73" i="26"/>
  <c r="M73" i="26"/>
  <c r="L73" i="26"/>
  <c r="K73" i="26"/>
  <c r="W71" i="26"/>
  <c r="D71" i="26"/>
  <c r="D70" i="26"/>
  <c r="E130" i="40" l="1"/>
  <c r="D130" i="40"/>
  <c r="E122" i="40"/>
  <c r="D122" i="40"/>
  <c r="E110" i="40"/>
  <c r="D110" i="40"/>
  <c r="E99" i="40"/>
  <c r="D99" i="40"/>
  <c r="E87" i="40"/>
  <c r="D87" i="40"/>
  <c r="E69" i="40"/>
  <c r="D69" i="40"/>
  <c r="E58" i="40"/>
  <c r="D58" i="40"/>
  <c r="E36" i="40"/>
  <c r="D36" i="40"/>
  <c r="E43" i="40"/>
  <c r="D43" i="40"/>
  <c r="E50" i="40"/>
  <c r="D50" i="40"/>
  <c r="E28" i="40"/>
  <c r="D28" i="40"/>
  <c r="H57" i="39"/>
  <c r="G57" i="39"/>
  <c r="H51" i="39"/>
  <c r="G51" i="39"/>
  <c r="H41" i="39"/>
  <c r="G41" i="39"/>
  <c r="H33" i="39"/>
  <c r="G33" i="39"/>
  <c r="H22" i="39"/>
  <c r="G22" i="39"/>
  <c r="L39" i="31"/>
  <c r="K39" i="31"/>
  <c r="J39" i="31"/>
  <c r="I39" i="31"/>
  <c r="H39" i="31"/>
  <c r="G39" i="31"/>
  <c r="F39" i="31"/>
  <c r="E39" i="31"/>
  <c r="T51" i="30"/>
  <c r="R51" i="30"/>
  <c r="P51" i="30"/>
  <c r="N51" i="30"/>
  <c r="L51" i="30"/>
  <c r="J51" i="30"/>
  <c r="H51" i="30"/>
  <c r="F51" i="30"/>
  <c r="H36" i="20"/>
  <c r="AP75" i="17"/>
  <c r="AL75" i="17"/>
  <c r="AK75" i="17"/>
  <c r="AJ75" i="17"/>
  <c r="AI75" i="17"/>
  <c r="AH75" i="17"/>
  <c r="AG75" i="17"/>
  <c r="AF75" i="17"/>
  <c r="AE75" i="17"/>
  <c r="AD75" i="17"/>
  <c r="AC75" i="17"/>
  <c r="AB75" i="17"/>
  <c r="AA75" i="17"/>
  <c r="Z75" i="17"/>
  <c r="Y75" i="17"/>
  <c r="X75" i="17"/>
  <c r="W75" i="17"/>
  <c r="V75" i="17"/>
  <c r="U75" i="17"/>
  <c r="T75" i="17"/>
  <c r="S75" i="17"/>
  <c r="R75" i="17"/>
  <c r="Q75" i="17"/>
  <c r="P75" i="17"/>
  <c r="O75" i="17"/>
  <c r="N75" i="17"/>
  <c r="M75" i="17"/>
  <c r="L75" i="17"/>
  <c r="K75" i="17"/>
  <c r="J75" i="17"/>
  <c r="I75" i="17"/>
  <c r="H75" i="17"/>
  <c r="G75" i="17"/>
  <c r="F75" i="17"/>
  <c r="E75" i="17"/>
  <c r="I28" i="34" l="1"/>
  <c r="H28" i="34"/>
  <c r="E48" i="16"/>
  <c r="I23" i="34" l="1"/>
  <c r="H23" i="34"/>
  <c r="H24" i="32"/>
  <c r="K32" i="31"/>
  <c r="J32" i="31"/>
  <c r="I32" i="31"/>
  <c r="H32" i="31"/>
  <c r="G32" i="31"/>
  <c r="F32" i="31"/>
  <c r="E32" i="31"/>
  <c r="K21" i="31"/>
  <c r="J21" i="31"/>
  <c r="I21" i="31"/>
  <c r="H21" i="31"/>
  <c r="G21" i="31"/>
  <c r="F21" i="31"/>
  <c r="E21" i="31"/>
  <c r="T47" i="30"/>
  <c r="P47" i="30"/>
  <c r="N47" i="30"/>
  <c r="L47" i="30"/>
  <c r="J47" i="30"/>
  <c r="H47" i="30"/>
  <c r="F47" i="30"/>
  <c r="T40" i="30"/>
  <c r="N40" i="30"/>
  <c r="L40" i="30"/>
  <c r="J40" i="30"/>
  <c r="H40" i="30"/>
  <c r="F40" i="30"/>
  <c r="T36" i="30"/>
  <c r="S36" i="30"/>
  <c r="Q36" i="30"/>
  <c r="O36" i="30"/>
  <c r="N36" i="30"/>
  <c r="L36" i="30"/>
  <c r="K36" i="30"/>
  <c r="J36" i="30"/>
  <c r="I36" i="30"/>
  <c r="H36" i="30"/>
  <c r="F36" i="30"/>
  <c r="T32" i="30"/>
  <c r="N32" i="30"/>
  <c r="L32" i="30"/>
  <c r="J32" i="30"/>
  <c r="H32" i="30"/>
  <c r="F32" i="30"/>
  <c r="T20" i="30"/>
  <c r="N20" i="30"/>
  <c r="L20" i="30"/>
  <c r="J20" i="30"/>
  <c r="H20" i="30"/>
  <c r="F20" i="30"/>
  <c r="M41" i="29"/>
  <c r="K41" i="29"/>
  <c r="J41" i="29"/>
  <c r="I41" i="29"/>
  <c r="H41" i="29"/>
  <c r="G41" i="29"/>
  <c r="F41" i="29"/>
  <c r="T54" i="30" l="1"/>
  <c r="H43" i="31"/>
  <c r="J54" i="30"/>
  <c r="E43" i="31"/>
  <c r="I43" i="31"/>
  <c r="L54" i="30"/>
  <c r="H54" i="30"/>
  <c r="G43" i="31"/>
  <c r="K43" i="31"/>
  <c r="F54" i="30"/>
  <c r="N54" i="30"/>
  <c r="F43" i="31"/>
  <c r="J43" i="31"/>
  <c r="F48" i="16" l="1"/>
  <c r="A346" i="27"/>
  <c r="A345" i="27"/>
  <c r="A240" i="27"/>
  <c r="A239" i="27"/>
  <c r="A164" i="27"/>
  <c r="A163" i="27"/>
  <c r="I55" i="27"/>
  <c r="H55" i="27"/>
  <c r="G55" i="27"/>
  <c r="H29" i="5" l="1"/>
  <c r="J55" i="27"/>
  <c r="D21" i="26" l="1"/>
  <c r="O33" i="26" l="1"/>
  <c r="P33" i="26"/>
  <c r="R33" i="26"/>
  <c r="D24" i="26"/>
  <c r="D25" i="26"/>
  <c r="D26" i="26"/>
  <c r="D27" i="26"/>
  <c r="D28" i="26"/>
  <c r="D29" i="26"/>
  <c r="D30" i="26"/>
  <c r="D31" i="26"/>
  <c r="D32" i="26"/>
  <c r="D33" i="26"/>
  <c r="D36" i="26"/>
  <c r="D37" i="26"/>
  <c r="D38" i="26"/>
  <c r="D39" i="26"/>
  <c r="D40" i="26"/>
  <c r="D43" i="26"/>
  <c r="D44" i="26"/>
  <c r="D45" i="26"/>
  <c r="D49" i="26"/>
  <c r="D50" i="26"/>
  <c r="D51" i="26"/>
  <c r="D52" i="26"/>
  <c r="D53" i="26"/>
  <c r="D54" i="26"/>
  <c r="D57" i="26"/>
  <c r="D58" i="26"/>
  <c r="D59" i="26"/>
  <c r="D60" i="26"/>
  <c r="D61" i="26"/>
  <c r="D62" i="26"/>
  <c r="D63" i="26"/>
  <c r="D64" i="26"/>
  <c r="D65" i="26"/>
  <c r="D68" i="26"/>
  <c r="D75" i="26"/>
  <c r="D76" i="26"/>
  <c r="D77" i="26"/>
  <c r="D78" i="26"/>
  <c r="D80" i="26"/>
  <c r="D81" i="26"/>
  <c r="D82" i="26"/>
  <c r="D83" i="26"/>
  <c r="D84" i="26"/>
  <c r="D87" i="26"/>
  <c r="D88" i="26"/>
  <c r="D89" i="26"/>
  <c r="D90" i="26"/>
  <c r="D93" i="26"/>
  <c r="D94" i="26"/>
  <c r="D95" i="26"/>
  <c r="D96" i="26"/>
  <c r="D97" i="26"/>
  <c r="D98" i="26"/>
  <c r="D99" i="26"/>
  <c r="D100" i="26"/>
  <c r="D101" i="26"/>
  <c r="D102" i="26"/>
  <c r="D105" i="26"/>
  <c r="D106" i="26"/>
  <c r="D107" i="26"/>
  <c r="D108" i="26"/>
  <c r="D109" i="26"/>
  <c r="D110" i="26"/>
  <c r="D111" i="26"/>
  <c r="D112" i="26"/>
  <c r="D113" i="26"/>
  <c r="D114" i="26"/>
  <c r="D115" i="26"/>
  <c r="D116" i="26"/>
  <c r="D117" i="26"/>
  <c r="D120" i="26"/>
  <c r="D121" i="26"/>
  <c r="D122" i="26"/>
  <c r="D123" i="26"/>
  <c r="D124" i="26"/>
  <c r="D125" i="26"/>
  <c r="D126" i="26"/>
  <c r="D127" i="26"/>
  <c r="D128" i="26"/>
  <c r="D129" i="26"/>
  <c r="D130" i="26"/>
  <c r="D131" i="26"/>
  <c r="D132" i="26"/>
  <c r="D133" i="26"/>
  <c r="F133" i="26" s="1"/>
  <c r="D134" i="26"/>
  <c r="F134" i="26" s="1"/>
  <c r="D137" i="26"/>
  <c r="D20" i="26"/>
  <c r="Q33" i="26" l="1"/>
  <c r="A190" i="25"/>
  <c r="A189" i="25"/>
  <c r="A180" i="25"/>
  <c r="A179" i="25"/>
  <c r="A173" i="25"/>
  <c r="A172" i="25"/>
  <c r="A166" i="25"/>
  <c r="A165" i="25"/>
  <c r="A156" i="25"/>
  <c r="A155"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7" i="25"/>
  <c r="A158" i="25"/>
  <c r="A159" i="25"/>
  <c r="A160" i="25"/>
  <c r="A161" i="25"/>
  <c r="A162" i="25"/>
  <c r="A163" i="25"/>
  <c r="A164" i="25"/>
  <c r="A167" i="25"/>
  <c r="A168" i="25"/>
  <c r="A169" i="25"/>
  <c r="C169" i="25" s="1"/>
  <c r="A170" i="25"/>
  <c r="C170" i="25" s="1"/>
  <c r="A171" i="25"/>
  <c r="C171" i="25" s="1"/>
  <c r="A174" i="25"/>
  <c r="A175" i="25"/>
  <c r="A176" i="25"/>
  <c r="C176" i="25" s="1"/>
  <c r="A177" i="25"/>
  <c r="C177" i="25" s="1"/>
  <c r="A178" i="25"/>
  <c r="C178" i="25" s="1"/>
  <c r="A181" i="25"/>
  <c r="A182" i="25"/>
  <c r="C185" i="25"/>
  <c r="A186" i="25"/>
  <c r="C186" i="25" s="1"/>
  <c r="A187" i="25"/>
  <c r="C187" i="25" s="1"/>
  <c r="A188" i="25"/>
  <c r="C188" i="25" s="1"/>
  <c r="A191" i="25"/>
  <c r="A192" i="25"/>
  <c r="A193" i="25"/>
  <c r="A17" i="25"/>
  <c r="A18" i="25"/>
  <c r="A19" i="25"/>
  <c r="A20" i="25"/>
  <c r="A21" i="25"/>
  <c r="A22" i="25"/>
  <c r="A23" i="25"/>
  <c r="A24" i="25"/>
  <c r="A25" i="25"/>
  <c r="A26" i="25"/>
  <c r="A27" i="25"/>
  <c r="A28" i="25"/>
  <c r="A29"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6" i="25"/>
  <c r="A53" i="27"/>
  <c r="A54" i="27"/>
  <c r="A55" i="27"/>
  <c r="A56" i="27"/>
  <c r="A57" i="27"/>
  <c r="A58" i="27"/>
  <c r="A59" i="27"/>
  <c r="A60" i="27"/>
  <c r="A61" i="27"/>
  <c r="A62" i="27"/>
  <c r="A63" i="27"/>
  <c r="A64" i="27"/>
  <c r="A65" i="27"/>
  <c r="A66" i="27"/>
  <c r="A67" i="27"/>
  <c r="A68" i="27"/>
  <c r="A69" i="27"/>
  <c r="A165" i="27"/>
  <c r="A166" i="27"/>
  <c r="A167" i="27"/>
  <c r="A168" i="27"/>
  <c r="A169" i="27"/>
  <c r="C183" i="25" s="1"/>
  <c r="A238" i="27"/>
  <c r="A241" i="27"/>
  <c r="A242" i="27"/>
  <c r="A244" i="27"/>
  <c r="A245" i="27"/>
  <c r="A18" i="27"/>
  <c r="F63" i="26" l="1"/>
  <c r="F59" i="26"/>
  <c r="F51" i="26"/>
  <c r="F39" i="26"/>
  <c r="F31" i="26"/>
  <c r="F27" i="26"/>
  <c r="F61" i="26"/>
  <c r="F45" i="26"/>
  <c r="F29" i="26"/>
  <c r="F89" i="26"/>
  <c r="F64" i="26"/>
  <c r="F40" i="26"/>
  <c r="F28" i="26"/>
  <c r="F107" i="26"/>
  <c r="F62" i="26"/>
  <c r="F54" i="26"/>
  <c r="F50" i="26"/>
  <c r="F38" i="26"/>
  <c r="F30" i="26"/>
  <c r="F26" i="26"/>
  <c r="F65" i="26"/>
  <c r="F53" i="26"/>
  <c r="F33" i="26"/>
  <c r="F25" i="26"/>
  <c r="F60" i="26"/>
  <c r="F52" i="26"/>
  <c r="F32" i="26"/>
  <c r="F20" i="26"/>
  <c r="C164" i="25"/>
  <c r="C160" i="25"/>
  <c r="C163" i="25"/>
  <c r="C161" i="25"/>
  <c r="C162" i="25"/>
  <c r="C159" i="25"/>
  <c r="C131" i="25"/>
  <c r="C144" i="25"/>
  <c r="C118" i="25"/>
  <c r="C154" i="25"/>
  <c r="C145" i="25"/>
  <c r="C121" i="25"/>
  <c r="C143" i="25"/>
  <c r="C130" i="25"/>
  <c r="C133" i="25"/>
  <c r="C151" i="25"/>
  <c r="C123" i="25"/>
  <c r="C150" i="25"/>
  <c r="C142" i="25"/>
  <c r="C141" i="25"/>
  <c r="C117" i="25"/>
  <c r="C132" i="25"/>
  <c r="C119" i="25"/>
  <c r="C134" i="25"/>
  <c r="C120" i="25"/>
  <c r="C135" i="25"/>
  <c r="C122" i="25"/>
  <c r="C128" i="25"/>
  <c r="C153" i="25"/>
  <c r="C129" i="25"/>
  <c r="C152" i="25"/>
  <c r="C140" i="25"/>
  <c r="K60" i="26"/>
  <c r="O63" i="26"/>
  <c r="P39" i="26"/>
  <c r="P53" i="26"/>
  <c r="N32" i="26"/>
  <c r="K30" i="26"/>
  <c r="L20" i="26"/>
  <c r="L23" i="26" s="1"/>
  <c r="R51" i="26"/>
  <c r="N61" i="26"/>
  <c r="R60" i="26"/>
  <c r="R28" i="26"/>
  <c r="K38" i="26"/>
  <c r="K51" i="26"/>
  <c r="N59" i="26"/>
  <c r="O89" i="26"/>
  <c r="L31" i="26"/>
  <c r="R20" i="26"/>
  <c r="R23" i="26" s="1"/>
  <c r="R61" i="26"/>
  <c r="O38" i="26"/>
  <c r="O28" i="26"/>
  <c r="O60" i="26"/>
  <c r="R59" i="26"/>
  <c r="N40" i="26"/>
  <c r="O62" i="26"/>
  <c r="O45" i="26"/>
  <c r="O48" i="26" s="1"/>
  <c r="P29" i="26"/>
  <c r="P20" i="26"/>
  <c r="P23" i="26" s="1"/>
  <c r="O20" i="26"/>
  <c r="O23" i="26" s="1"/>
  <c r="N20" i="26"/>
  <c r="N23" i="26" s="1"/>
  <c r="L89" i="26"/>
  <c r="K45" i="26"/>
  <c r="K48" i="26" s="1"/>
  <c r="N65" i="26"/>
  <c r="P45" i="26"/>
  <c r="P48" i="26" s="1"/>
  <c r="K107" i="26"/>
  <c r="N31" i="26"/>
  <c r="K54" i="26"/>
  <c r="P30" i="26"/>
  <c r="R107" i="26"/>
  <c r="O64" i="26"/>
  <c r="R63" i="26"/>
  <c r="N39" i="26"/>
  <c r="O32" i="26"/>
  <c r="P26" i="26"/>
  <c r="N89" i="26"/>
  <c r="L45" i="26"/>
  <c r="L48" i="26" s="1"/>
  <c r="L32" i="26"/>
  <c r="P50" i="26"/>
  <c r="P54" i="26"/>
  <c r="N53" i="26"/>
  <c r="R31" i="26"/>
  <c r="O29" i="26"/>
  <c r="P64" i="26"/>
  <c r="K65" i="26"/>
  <c r="L65" i="26"/>
  <c r="L52" i="26"/>
  <c r="R54" i="26"/>
  <c r="N52" i="26"/>
  <c r="K52" i="26"/>
  <c r="L38" i="26"/>
  <c r="O39" i="26"/>
  <c r="P40" i="26"/>
  <c r="N38" i="26"/>
  <c r="K31" i="26"/>
  <c r="P31" i="26"/>
  <c r="O26" i="26"/>
  <c r="N26" i="26"/>
  <c r="O27" i="26"/>
  <c r="O59" i="26"/>
  <c r="L62" i="26"/>
  <c r="R64" i="26"/>
  <c r="K61" i="26"/>
  <c r="P63" i="26"/>
  <c r="L61" i="26"/>
  <c r="R65" i="26"/>
  <c r="N27" i="26"/>
  <c r="R53" i="26"/>
  <c r="P89" i="26"/>
  <c r="P25" i="26"/>
  <c r="N51" i="26"/>
  <c r="R32" i="26"/>
  <c r="K50" i="26"/>
  <c r="R30" i="26"/>
  <c r="P60" i="26"/>
  <c r="N25" i="26"/>
  <c r="O65" i="26"/>
  <c r="P65" i="26"/>
  <c r="L50" i="26"/>
  <c r="R52" i="26"/>
  <c r="N50" i="26"/>
  <c r="K53" i="26"/>
  <c r="P52" i="26"/>
  <c r="R38" i="26"/>
  <c r="K39" i="26"/>
  <c r="L40" i="26"/>
  <c r="R40" i="26"/>
  <c r="N29" i="26"/>
  <c r="O30" i="26"/>
  <c r="N30" i="26"/>
  <c r="O31" i="26"/>
  <c r="L30" i="26"/>
  <c r="L60" i="26"/>
  <c r="R62" i="26"/>
  <c r="K59" i="26"/>
  <c r="P61" i="26"/>
  <c r="N64" i="26"/>
  <c r="L63" i="26"/>
  <c r="P32" i="26"/>
  <c r="O52" i="26"/>
  <c r="K20" i="26"/>
  <c r="K23" i="26" s="1"/>
  <c r="K32" i="26"/>
  <c r="K26" i="26"/>
  <c r="O25" i="26"/>
  <c r="R89" i="26"/>
  <c r="O107" i="26"/>
  <c r="K64" i="26"/>
  <c r="O50" i="26"/>
  <c r="O54" i="26"/>
  <c r="L27" i="26"/>
  <c r="N107" i="26"/>
  <c r="N45" i="26"/>
  <c r="N48" i="26" s="1"/>
  <c r="L25" i="26"/>
  <c r="K89" i="26"/>
  <c r="K62" i="26"/>
  <c r="P62" i="26"/>
  <c r="N63" i="26"/>
  <c r="O51" i="26"/>
  <c r="L54" i="26"/>
  <c r="P51" i="26"/>
  <c r="N54" i="26"/>
  <c r="L53" i="26"/>
  <c r="K40" i="26"/>
  <c r="P38" i="26"/>
  <c r="L39" i="26"/>
  <c r="N28" i="26"/>
  <c r="K27" i="26"/>
  <c r="P27" i="26"/>
  <c r="K28" i="26"/>
  <c r="P28" i="26"/>
  <c r="L26" i="26"/>
  <c r="O61" i="26"/>
  <c r="L64" i="26"/>
  <c r="N60" i="26"/>
  <c r="K63" i="26"/>
  <c r="L59" i="26"/>
  <c r="N62" i="26"/>
  <c r="K29" i="26"/>
  <c r="L28" i="26"/>
  <c r="O40" i="26"/>
  <c r="O53" i="26"/>
  <c r="R25" i="26"/>
  <c r="L107" i="26"/>
  <c r="P107" i="26"/>
  <c r="R26" i="26"/>
  <c r="L29" i="26"/>
  <c r="P59" i="26"/>
  <c r="R29" i="26"/>
  <c r="R39" i="26"/>
  <c r="L51" i="26"/>
  <c r="R50" i="26"/>
  <c r="R27" i="26"/>
  <c r="K25" i="26"/>
  <c r="R45" i="26"/>
  <c r="R48" i="26" s="1"/>
  <c r="M39" i="26" l="1"/>
  <c r="Q26" i="26"/>
  <c r="M51" i="26"/>
  <c r="Q50" i="26"/>
  <c r="M107" i="26"/>
  <c r="M60" i="26"/>
  <c r="Q40" i="26"/>
  <c r="Q54" i="26"/>
  <c r="Q31" i="26"/>
  <c r="Q38" i="26"/>
  <c r="Q62" i="26"/>
  <c r="M25" i="26"/>
  <c r="M28" i="26"/>
  <c r="M27" i="26"/>
  <c r="M32" i="26"/>
  <c r="M50" i="26"/>
  <c r="Q89" i="26"/>
  <c r="Q61" i="26"/>
  <c r="M53" i="26"/>
  <c r="M89" i="26"/>
  <c r="Q65" i="26"/>
  <c r="M52" i="26"/>
  <c r="M61" i="26"/>
  <c r="M65" i="26"/>
  <c r="Q53" i="26"/>
  <c r="Q20" i="26"/>
  <c r="Q23" i="26" s="1"/>
  <c r="Q107" i="26"/>
  <c r="M26" i="26"/>
  <c r="M54" i="26"/>
  <c r="M62" i="26"/>
  <c r="M31" i="26"/>
  <c r="N43" i="26"/>
  <c r="Q27" i="26"/>
  <c r="Q30" i="26"/>
  <c r="Q28" i="26"/>
  <c r="M38" i="26"/>
  <c r="M63" i="26"/>
  <c r="K43" i="26"/>
  <c r="O36" i="26"/>
  <c r="Q52" i="26"/>
  <c r="Q63" i="26"/>
  <c r="Q64" i="26"/>
  <c r="Q32" i="26"/>
  <c r="Q29" i="26"/>
  <c r="M30" i="26"/>
  <c r="L43" i="26"/>
  <c r="L68" i="26"/>
  <c r="N68" i="26"/>
  <c r="P43" i="26"/>
  <c r="M64" i="26"/>
  <c r="M40" i="26"/>
  <c r="R36" i="26"/>
  <c r="R43" i="26"/>
  <c r="N57" i="26"/>
  <c r="O68" i="26"/>
  <c r="P36" i="26"/>
  <c r="O43" i="26"/>
  <c r="R57" i="26"/>
  <c r="R68" i="26"/>
  <c r="K57" i="26"/>
  <c r="K68" i="26"/>
  <c r="P57" i="26"/>
  <c r="M45" i="26"/>
  <c r="M48" i="26" s="1"/>
  <c r="P68" i="26"/>
  <c r="O57" i="26"/>
  <c r="L57" i="26"/>
  <c r="Q59" i="26"/>
  <c r="Q39" i="26"/>
  <c r="Q25" i="26"/>
  <c r="M29" i="26"/>
  <c r="Q60" i="26"/>
  <c r="M59" i="26"/>
  <c r="Q45" i="26"/>
  <c r="Q48" i="26" s="1"/>
  <c r="Q51" i="26"/>
  <c r="F34" i="23"/>
  <c r="J34" i="23" s="1"/>
  <c r="F26" i="22" l="1"/>
  <c r="F35" i="22"/>
  <c r="P75" i="26"/>
  <c r="O75" i="26"/>
  <c r="R75" i="26"/>
  <c r="Q43" i="26"/>
  <c r="F28" i="23"/>
  <c r="M68" i="26"/>
  <c r="M43" i="26"/>
  <c r="M57" i="26"/>
  <c r="Q57" i="26"/>
  <c r="Q36" i="26"/>
  <c r="Q68" i="26"/>
  <c r="Q75" i="26" l="1"/>
  <c r="H133" i="42"/>
  <c r="H134" i="42" s="1"/>
  <c r="H30" i="34" l="1"/>
  <c r="I30" i="34" l="1"/>
  <c r="K16" i="36"/>
  <c r="I20" i="36"/>
  <c r="H81" i="42" l="1"/>
  <c r="J30" i="34"/>
  <c r="I98" i="42" l="1"/>
  <c r="H98" i="42"/>
  <c r="I97" i="42"/>
  <c r="H97" i="42"/>
  <c r="J89" i="42"/>
  <c r="H89" i="42"/>
  <c r="I80" i="42"/>
  <c r="H80" i="42"/>
  <c r="H82" i="42" s="1"/>
  <c r="O46" i="42" l="1"/>
  <c r="L48" i="42"/>
  <c r="K46" i="42"/>
  <c r="I17" i="42"/>
  <c r="H27" i="42" l="1"/>
  <c r="H17" i="42"/>
  <c r="H116" i="42" l="1"/>
  <c r="H117" i="42" s="1"/>
  <c r="H118" i="42" s="1"/>
  <c r="K107" i="25" l="1"/>
  <c r="I102" i="42" l="1"/>
  <c r="I101" i="42"/>
  <c r="H102" i="42"/>
  <c r="H101" i="42"/>
  <c r="I99" i="42" l="1"/>
  <c r="H99" i="42"/>
  <c r="J24" i="42"/>
  <c r="I35" i="42"/>
  <c r="J35" i="42" s="1"/>
  <c r="J27" i="42"/>
  <c r="J17" i="42" l="1"/>
  <c r="O47" i="42" l="1"/>
  <c r="N48" i="42"/>
  <c r="K47" i="42"/>
  <c r="K49" i="42" s="1"/>
  <c r="P34" i="7" l="1"/>
  <c r="O34" i="7"/>
  <c r="N34" i="7"/>
  <c r="M34" i="7"/>
  <c r="L34" i="7"/>
  <c r="H43" i="6" s="1"/>
  <c r="K34" i="7"/>
  <c r="J34" i="7"/>
  <c r="I34" i="7"/>
  <c r="A19" i="6" l="1"/>
  <c r="A20" i="6" s="1"/>
  <c r="A21" i="6" s="1"/>
  <c r="A22" i="6" s="1"/>
  <c r="A23" i="6" s="1"/>
  <c r="A24" i="6" s="1"/>
  <c r="A25" i="6" s="1"/>
  <c r="N33" i="26"/>
  <c r="N36" i="26" s="1"/>
  <c r="N75" i="26" s="1"/>
  <c r="P30" i="7" l="1"/>
  <c r="O56" i="42" s="1"/>
  <c r="L30" i="7"/>
  <c r="K56" i="42" s="1"/>
  <c r="P51" i="7"/>
  <c r="O57" i="42" s="1"/>
  <c r="P49" i="7"/>
  <c r="O53" i="42" s="1"/>
  <c r="P44" i="7"/>
  <c r="P36" i="7"/>
  <c r="P33" i="7"/>
  <c r="P28" i="7"/>
  <c r="O52" i="42" s="1"/>
  <c r="P18" i="7"/>
  <c r="S38" i="7"/>
  <c r="S40" i="7" s="1"/>
  <c r="L51" i="7"/>
  <c r="L49" i="7"/>
  <c r="K53" i="42" s="1"/>
  <c r="L33" i="7"/>
  <c r="L28" i="7"/>
  <c r="K52" i="42" s="1"/>
  <c r="L18" i="7"/>
  <c r="K57" i="42" l="1"/>
  <c r="K58" i="42" s="1"/>
  <c r="O58" i="42"/>
  <c r="K54" i="42"/>
  <c r="O54" i="42"/>
  <c r="O51" i="7"/>
  <c r="O44" i="7"/>
  <c r="O18" i="7"/>
  <c r="L44" i="7"/>
  <c r="K51" i="7"/>
  <c r="K44" i="7"/>
  <c r="K18" i="7"/>
  <c r="J241" i="27" l="1"/>
  <c r="M42" i="7"/>
  <c r="L25" i="7" l="1"/>
  <c r="L26" i="7" s="1"/>
  <c r="E31" i="16"/>
  <c r="K20" i="13" l="1"/>
  <c r="AQ73" i="17" l="1"/>
  <c r="L32" i="31" l="1"/>
  <c r="L21" i="31"/>
  <c r="L43" i="31" l="1"/>
  <c r="P50" i="7" s="1"/>
  <c r="H29" i="42"/>
  <c r="J29" i="42" l="1"/>
  <c r="A8" i="15"/>
  <c r="A7" i="15"/>
  <c r="A8" i="10"/>
  <c r="F23" i="10" l="1"/>
  <c r="J35" i="4" l="1"/>
  <c r="I79" i="15"/>
  <c r="I78" i="15"/>
  <c r="I77" i="15"/>
  <c r="I76" i="15"/>
  <c r="I75" i="15"/>
  <c r="I74" i="15"/>
  <c r="E67" i="15"/>
  <c r="E68" i="15" s="1"/>
  <c r="H68" i="15" s="1"/>
  <c r="H20" i="15" s="1"/>
  <c r="A47" i="15"/>
  <c r="A48" i="15" s="1"/>
  <c r="A49" i="15" s="1"/>
  <c r="A50" i="15" s="1"/>
  <c r="A51" i="15" s="1"/>
  <c r="A52" i="15" s="1"/>
  <c r="A53" i="15" s="1"/>
  <c r="A54" i="15" s="1"/>
  <c r="A55" i="15" s="1"/>
  <c r="A56" i="15" s="1"/>
  <c r="A57" i="15" s="1"/>
  <c r="A58" i="15" s="1"/>
  <c r="A59" i="15" s="1"/>
  <c r="A60" i="15" s="1"/>
  <c r="A61" i="15" s="1"/>
  <c r="A62" i="15" s="1"/>
  <c r="A63" i="15" s="1"/>
  <c r="A64" i="15" s="1"/>
  <c r="A65" i="15" s="1"/>
  <c r="A66" i="15" s="1"/>
  <c r="A68" i="15" s="1"/>
  <c r="E39" i="15"/>
  <c r="F24" i="15"/>
  <c r="F23" i="15"/>
  <c r="F22" i="15"/>
  <c r="E41" i="15"/>
  <c r="G21" i="15" l="1"/>
  <c r="G20" i="15"/>
  <c r="I34" i="42"/>
  <c r="J34" i="42" s="1"/>
  <c r="I80" i="15"/>
  <c r="H24" i="15"/>
  <c r="I24" i="15" s="1"/>
  <c r="J24" i="15" s="1"/>
  <c r="H23" i="15"/>
  <c r="I23" i="15" s="1"/>
  <c r="J23" i="15" s="1"/>
  <c r="H22" i="15"/>
  <c r="I22" i="15" s="1"/>
  <c r="J22" i="15" s="1"/>
  <c r="H21" i="15"/>
  <c r="D17" i="16" l="1"/>
  <c r="F32" i="16" l="1"/>
  <c r="AQ75" i="17" l="1"/>
  <c r="L33" i="26"/>
  <c r="L36" i="26" s="1"/>
  <c r="L75" i="26" s="1"/>
  <c r="K33" i="26"/>
  <c r="L46" i="42"/>
  <c r="L45" i="42"/>
  <c r="I46" i="42" l="1"/>
  <c r="I47" i="42" s="1"/>
  <c r="I49" i="42" s="1"/>
  <c r="L50" i="41"/>
  <c r="H45" i="42"/>
  <c r="H48" i="42"/>
  <c r="J48" i="42" s="1"/>
  <c r="M46" i="42"/>
  <c r="N46" i="42" s="1"/>
  <c r="N45" i="42"/>
  <c r="L47" i="42"/>
  <c r="L49" i="42" s="1"/>
  <c r="H46" i="42"/>
  <c r="J50" i="41"/>
  <c r="J52" i="41" s="1"/>
  <c r="N52" i="41"/>
  <c r="U137" i="26"/>
  <c r="S137" i="26"/>
  <c r="W134" i="26"/>
  <c r="W133" i="26"/>
  <c r="W132" i="26"/>
  <c r="W131" i="26"/>
  <c r="W130" i="26"/>
  <c r="W129" i="26"/>
  <c r="W128" i="26"/>
  <c r="W127" i="26"/>
  <c r="W126" i="26"/>
  <c r="W125" i="26"/>
  <c r="W124" i="26"/>
  <c r="W123" i="26"/>
  <c r="W122" i="26"/>
  <c r="U120" i="26"/>
  <c r="S120" i="26"/>
  <c r="W117" i="26"/>
  <c r="W116" i="26"/>
  <c r="W115" i="26"/>
  <c r="W114" i="26"/>
  <c r="W113" i="26"/>
  <c r="W112" i="26"/>
  <c r="W111" i="26"/>
  <c r="W110" i="26"/>
  <c r="W109" i="26"/>
  <c r="W108" i="26"/>
  <c r="W107" i="26"/>
  <c r="U105" i="26"/>
  <c r="S105" i="26"/>
  <c r="W102" i="26"/>
  <c r="W101" i="26"/>
  <c r="W100" i="26"/>
  <c r="W99" i="26"/>
  <c r="W98" i="26"/>
  <c r="W97" i="26"/>
  <c r="W96" i="26"/>
  <c r="W95" i="26"/>
  <c r="U93" i="26"/>
  <c r="S93" i="26"/>
  <c r="W90" i="26"/>
  <c r="W89" i="26"/>
  <c r="U87" i="26"/>
  <c r="S87" i="26"/>
  <c r="W84" i="26"/>
  <c r="W83" i="26"/>
  <c r="W82" i="26"/>
  <c r="W81" i="26"/>
  <c r="W80" i="26"/>
  <c r="W78" i="26"/>
  <c r="U68" i="26"/>
  <c r="S68" i="26"/>
  <c r="W65" i="26"/>
  <c r="W64" i="26"/>
  <c r="W63" i="26"/>
  <c r="W62" i="26"/>
  <c r="W61" i="26"/>
  <c r="W60" i="26"/>
  <c r="W59" i="26"/>
  <c r="U57" i="26"/>
  <c r="S57" i="26"/>
  <c r="W54" i="26"/>
  <c r="W53" i="26"/>
  <c r="W52" i="26"/>
  <c r="W51" i="26"/>
  <c r="W50" i="26"/>
  <c r="W45" i="26"/>
  <c r="U43" i="26"/>
  <c r="S43" i="26"/>
  <c r="W40" i="26"/>
  <c r="W39" i="26"/>
  <c r="W38" i="26"/>
  <c r="W20" i="26"/>
  <c r="N30" i="7" l="1"/>
  <c r="M56" i="42" s="1"/>
  <c r="M30" i="7"/>
  <c r="L56" i="42" s="1"/>
  <c r="J30" i="7"/>
  <c r="I56" i="42" s="1"/>
  <c r="M47" i="42"/>
  <c r="M49" i="42" s="1"/>
  <c r="N47" i="42"/>
  <c r="N49" i="42" s="1"/>
  <c r="J46" i="42"/>
  <c r="H47" i="42"/>
  <c r="H49" i="42" s="1"/>
  <c r="J45" i="42"/>
  <c r="W57" i="26"/>
  <c r="W93" i="26"/>
  <c r="S75" i="26"/>
  <c r="S143" i="26"/>
  <c r="L52" i="41"/>
  <c r="P50" i="41"/>
  <c r="P52" i="41" s="1"/>
  <c r="W43" i="26"/>
  <c r="W105" i="26"/>
  <c r="W137" i="26"/>
  <c r="U75" i="26"/>
  <c r="W68" i="26"/>
  <c r="W87" i="26"/>
  <c r="U143" i="26"/>
  <c r="W120" i="26"/>
  <c r="M33" i="26"/>
  <c r="M36" i="26" s="1"/>
  <c r="M20" i="26"/>
  <c r="M23" i="26" s="1"/>
  <c r="K36" i="26"/>
  <c r="K75" i="26" s="1"/>
  <c r="D71" i="16"/>
  <c r="C71" i="16"/>
  <c r="E19" i="16"/>
  <c r="E54" i="16"/>
  <c r="E55" i="16"/>
  <c r="E20" i="16"/>
  <c r="E21" i="16"/>
  <c r="E22" i="16"/>
  <c r="E23" i="16"/>
  <c r="E56" i="16"/>
  <c r="E57" i="16"/>
  <c r="E58" i="16"/>
  <c r="E59" i="16"/>
  <c r="E53" i="16"/>
  <c r="E24" i="16"/>
  <c r="E25" i="16"/>
  <c r="E26" i="16"/>
  <c r="E60" i="16"/>
  <c r="E61" i="16"/>
  <c r="E62" i="16"/>
  <c r="E63" i="16"/>
  <c r="E15" i="16"/>
  <c r="E27" i="16"/>
  <c r="E28" i="16"/>
  <c r="E29" i="16"/>
  <c r="E17" i="16"/>
  <c r="E30" i="16"/>
  <c r="E64" i="16"/>
  <c r="E65" i="16"/>
  <c r="E66" i="16"/>
  <c r="E67" i="16"/>
  <c r="E68" i="16"/>
  <c r="E69" i="16"/>
  <c r="E33" i="16"/>
  <c r="E34" i="16"/>
  <c r="E35" i="16"/>
  <c r="E36" i="16"/>
  <c r="E37" i="16"/>
  <c r="E38" i="16"/>
  <c r="E39" i="16"/>
  <c r="E41" i="16"/>
  <c r="E40" i="16"/>
  <c r="E42" i="16"/>
  <c r="E43" i="16"/>
  <c r="E47" i="16"/>
  <c r="E44" i="16"/>
  <c r="E45" i="16"/>
  <c r="E16" i="16"/>
  <c r="M75" i="26" l="1"/>
  <c r="I30" i="7"/>
  <c r="H20" i="42"/>
  <c r="J20" i="42" s="1"/>
  <c r="E75" i="16"/>
  <c r="J47" i="42"/>
  <c r="J49" i="42" s="1"/>
  <c r="N56" i="42"/>
  <c r="W75" i="26"/>
  <c r="F71" i="16"/>
  <c r="G73" i="16" s="1"/>
  <c r="W143" i="26"/>
  <c r="K30" i="7" l="1"/>
  <c r="O30" i="7"/>
  <c r="H56" i="42"/>
  <c r="J56" i="42" s="1"/>
  <c r="M49" i="7"/>
  <c r="L53" i="42" s="1"/>
  <c r="I49" i="7"/>
  <c r="H53" i="42" s="1"/>
  <c r="N33" i="7" l="1"/>
  <c r="M28" i="7"/>
  <c r="L52" i="42" s="1"/>
  <c r="M33" i="7"/>
  <c r="J33" i="7"/>
  <c r="I28" i="7"/>
  <c r="H52" i="42" s="1"/>
  <c r="H54" i="42" l="1"/>
  <c r="B19" i="7"/>
  <c r="B20" i="7" s="1"/>
  <c r="B21" i="7" s="1"/>
  <c r="B24" i="7" s="1"/>
  <c r="L54" i="42" l="1"/>
  <c r="B25" i="7"/>
  <c r="B26" i="7" s="1"/>
  <c r="B28" i="7" s="1"/>
  <c r="B30" i="7" s="1"/>
  <c r="B33" i="7" s="1"/>
  <c r="B34" i="7" s="1"/>
  <c r="B35" i="7" s="1"/>
  <c r="B36" i="7" s="1"/>
  <c r="B37" i="7" s="1"/>
  <c r="B38" i="7" s="1"/>
  <c r="B39" i="7" s="1"/>
  <c r="B40" i="7" s="1"/>
  <c r="B44" i="7" l="1"/>
  <c r="B45" i="7" s="1"/>
  <c r="B46" i="7" s="1"/>
  <c r="B48" i="7" s="1"/>
  <c r="B49" i="7" s="1"/>
  <c r="B50" i="7" s="1"/>
  <c r="B51" i="7" s="1"/>
  <c r="C16" i="16"/>
  <c r="D16" i="16"/>
  <c r="C19" i="16"/>
  <c r="D19" i="16"/>
  <c r="C54" i="16"/>
  <c r="D54" i="16"/>
  <c r="C55" i="16"/>
  <c r="D55" i="16"/>
  <c r="C20" i="16"/>
  <c r="D20" i="16"/>
  <c r="C21" i="16"/>
  <c r="D21" i="16"/>
  <c r="C22" i="16"/>
  <c r="D22" i="16"/>
  <c r="C23" i="16"/>
  <c r="D23" i="16"/>
  <c r="C56" i="16"/>
  <c r="D56" i="16"/>
  <c r="C57" i="16"/>
  <c r="D57" i="16"/>
  <c r="C58" i="16"/>
  <c r="D58" i="16"/>
  <c r="C59" i="16"/>
  <c r="D59" i="16"/>
  <c r="C53" i="16"/>
  <c r="D53" i="16"/>
  <c r="C24" i="16"/>
  <c r="D24" i="16"/>
  <c r="C25" i="16"/>
  <c r="D25" i="16"/>
  <c r="C26" i="16"/>
  <c r="D26" i="16"/>
  <c r="C60" i="16"/>
  <c r="D60" i="16"/>
  <c r="C61" i="16"/>
  <c r="D61" i="16"/>
  <c r="C62" i="16"/>
  <c r="D62" i="16"/>
  <c r="C63" i="16"/>
  <c r="D63" i="16"/>
  <c r="C15" i="16"/>
  <c r="D15" i="16"/>
  <c r="C27" i="16"/>
  <c r="D27" i="16"/>
  <c r="C28" i="16"/>
  <c r="D28" i="16"/>
  <c r="C29" i="16"/>
  <c r="D29" i="16"/>
  <c r="C30" i="16"/>
  <c r="D30" i="16"/>
  <c r="C64" i="16"/>
  <c r="D64" i="16"/>
  <c r="C65" i="16"/>
  <c r="D65" i="16"/>
  <c r="C66" i="16"/>
  <c r="D66" i="16"/>
  <c r="C67" i="16"/>
  <c r="D67" i="16"/>
  <c r="C68" i="16"/>
  <c r="D68" i="16"/>
  <c r="C69" i="16"/>
  <c r="D69" i="16"/>
  <c r="D31" i="16"/>
  <c r="C33" i="16"/>
  <c r="D33" i="16"/>
  <c r="C34" i="16"/>
  <c r="D34" i="16"/>
  <c r="C35" i="16"/>
  <c r="D35" i="16"/>
  <c r="C36" i="16"/>
  <c r="D36" i="16"/>
  <c r="C37" i="16"/>
  <c r="D37" i="16"/>
  <c r="C38" i="16"/>
  <c r="D38" i="16"/>
  <c r="C39" i="16"/>
  <c r="D39" i="16"/>
  <c r="C41" i="16"/>
  <c r="D41" i="16"/>
  <c r="C40" i="16"/>
  <c r="D40" i="16"/>
  <c r="C42" i="16"/>
  <c r="D42" i="16"/>
  <c r="C43" i="16"/>
  <c r="D43" i="16"/>
  <c r="C47" i="16"/>
  <c r="D47" i="16"/>
  <c r="C44" i="16"/>
  <c r="D44" i="16"/>
  <c r="C45" i="16"/>
  <c r="D45" i="16"/>
  <c r="I19" i="42" l="1"/>
  <c r="H19" i="42"/>
  <c r="D75" i="16"/>
  <c r="F15" i="16"/>
  <c r="G15" i="16" s="1"/>
  <c r="J23" i="5"/>
  <c r="F42" i="16"/>
  <c r="F44" i="16"/>
  <c r="F43" i="16"/>
  <c r="F40" i="16"/>
  <c r="F41" i="16"/>
  <c r="F39" i="16"/>
  <c r="F38" i="16"/>
  <c r="F37" i="16"/>
  <c r="F36" i="16"/>
  <c r="F35" i="16"/>
  <c r="F34" i="16"/>
  <c r="F33" i="16"/>
  <c r="F69" i="16"/>
  <c r="H28" i="4" s="1"/>
  <c r="F68" i="16"/>
  <c r="H27" i="4" s="1"/>
  <c r="F67" i="16"/>
  <c r="H26" i="4" s="1"/>
  <c r="F66" i="16"/>
  <c r="H25" i="4" s="1"/>
  <c r="F65" i="16"/>
  <c r="H24" i="4" s="1"/>
  <c r="F64" i="16"/>
  <c r="H23" i="4" s="1"/>
  <c r="F30" i="16"/>
  <c r="F46" i="16"/>
  <c r="F25" i="16"/>
  <c r="F24" i="16"/>
  <c r="F53" i="16"/>
  <c r="F58" i="16"/>
  <c r="F57" i="16"/>
  <c r="F56" i="16"/>
  <c r="F22" i="16"/>
  <c r="F21" i="16"/>
  <c r="F20" i="16"/>
  <c r="F54" i="16"/>
  <c r="F19" i="16"/>
  <c r="F16" i="16"/>
  <c r="G16" i="16" s="1"/>
  <c r="F45" i="16"/>
  <c r="F47" i="16"/>
  <c r="F17" i="16"/>
  <c r="F29" i="16"/>
  <c r="F28" i="16"/>
  <c r="F27" i="16"/>
  <c r="F63" i="16"/>
  <c r="F62" i="16"/>
  <c r="F61" i="16"/>
  <c r="F60" i="16"/>
  <c r="F26" i="16"/>
  <c r="F59" i="16"/>
  <c r="F23" i="16"/>
  <c r="F55" i="16"/>
  <c r="C31" i="16"/>
  <c r="F31" i="16" s="1"/>
  <c r="G52" i="16" l="1"/>
  <c r="H28" i="5"/>
  <c r="H25" i="5"/>
  <c r="H26" i="5"/>
  <c r="H27" i="5"/>
  <c r="H36" i="5" s="1"/>
  <c r="H19" i="4"/>
  <c r="H16" i="4"/>
  <c r="H17" i="4"/>
  <c r="H21" i="42"/>
  <c r="J21" i="42" s="1"/>
  <c r="H18" i="4"/>
  <c r="H25" i="42"/>
  <c r="H24" i="5"/>
  <c r="H17" i="5"/>
  <c r="H26" i="42"/>
  <c r="J26" i="42" s="1"/>
  <c r="H18" i="5"/>
  <c r="H28" i="42"/>
  <c r="J28" i="42" s="1"/>
  <c r="H16" i="5"/>
  <c r="H19" i="5"/>
  <c r="G70" i="16"/>
  <c r="H22" i="42"/>
  <c r="J22" i="42" s="1"/>
  <c r="J19" i="42"/>
  <c r="H23" i="5"/>
  <c r="H20" i="5"/>
  <c r="H21" i="5"/>
  <c r="C75" i="16"/>
  <c r="F75" i="16"/>
  <c r="H22" i="5"/>
  <c r="G17" i="16"/>
  <c r="G75" i="16" l="1"/>
  <c r="J25" i="42"/>
  <c r="H33" i="5"/>
  <c r="H35" i="5"/>
  <c r="R48" i="7" l="1"/>
  <c r="Q48" i="7"/>
  <c r="T48" i="7" l="1"/>
  <c r="D24" i="24"/>
  <c r="E24" i="24"/>
  <c r="A7" i="13"/>
  <c r="A7" i="14"/>
  <c r="N51" i="7"/>
  <c r="M57" i="42" s="1"/>
  <c r="M51" i="7"/>
  <c r="L57" i="42" s="1"/>
  <c r="J51" i="7"/>
  <c r="I57" i="42" s="1"/>
  <c r="I58" i="42" s="1"/>
  <c r="I51" i="7"/>
  <c r="H57" i="42" s="1"/>
  <c r="N44" i="7"/>
  <c r="M44" i="7"/>
  <c r="J44" i="7"/>
  <c r="I44" i="7"/>
  <c r="Q49" i="7"/>
  <c r="N18" i="7"/>
  <c r="M18" i="7"/>
  <c r="J18" i="7"/>
  <c r="I18" i="7"/>
  <c r="M58" i="42" l="1"/>
  <c r="H58" i="42"/>
  <c r="J58" i="42" s="1"/>
  <c r="J57" i="42"/>
  <c r="Q44" i="7"/>
  <c r="R44" i="7"/>
  <c r="R24" i="7"/>
  <c r="R33" i="7"/>
  <c r="Q24" i="7"/>
  <c r="Q28" i="7"/>
  <c r="R18" i="7"/>
  <c r="Q18" i="7"/>
  <c r="N57" i="42" l="1"/>
  <c r="L58" i="42"/>
  <c r="N58" i="42" s="1"/>
  <c r="T44" i="7"/>
  <c r="T24" i="7"/>
  <c r="T18" i="7"/>
  <c r="H37" i="5" l="1"/>
  <c r="A134" i="40" l="1"/>
  <c r="B134" i="40"/>
  <c r="E76" i="40"/>
  <c r="D76" i="40"/>
  <c r="K90" i="42" l="1"/>
  <c r="I90" i="42"/>
  <c r="H88" i="42"/>
  <c r="H90" i="42" s="1"/>
  <c r="J88" i="42"/>
  <c r="J90" i="42" s="1"/>
  <c r="E112" i="40"/>
  <c r="E114" i="40" s="1"/>
  <c r="E131" i="40" s="1"/>
  <c r="E60" i="40"/>
  <c r="E62" i="40" s="1"/>
  <c r="E71" i="40" s="1"/>
  <c r="D112" i="40"/>
  <c r="D114" i="40" s="1"/>
  <c r="D131" i="40" s="1"/>
  <c r="D60" i="40"/>
  <c r="D62" i="40" s="1"/>
  <c r="D71" i="40" s="1"/>
  <c r="G35" i="39"/>
  <c r="H35" i="39"/>
  <c r="H53" i="39" l="1"/>
  <c r="H59" i="39" s="1"/>
  <c r="G53" i="39"/>
  <c r="G59" i="39" s="1"/>
  <c r="H63" i="39" l="1"/>
  <c r="F41" i="37" s="1"/>
  <c r="G63" i="39" l="1"/>
  <c r="K91" i="42"/>
  <c r="K92" i="42" s="1"/>
  <c r="M25" i="7"/>
  <c r="P25" i="7"/>
  <c r="P19" i="7"/>
  <c r="G104" i="27"/>
  <c r="J104" i="27"/>
  <c r="P20" i="7"/>
  <c r="H165" i="27"/>
  <c r="J165" i="27"/>
  <c r="K347" i="27"/>
  <c r="N347" i="27"/>
  <c r="P45" i="7" s="1"/>
  <c r="P46" i="7" s="1"/>
  <c r="L45" i="7"/>
  <c r="O48" i="42"/>
  <c r="O49" i="42" s="1"/>
  <c r="H60" i="27"/>
  <c r="G60" i="27"/>
  <c r="J60" i="27"/>
  <c r="N28" i="7"/>
  <c r="M52" i="42" s="1"/>
  <c r="N52" i="42" s="1"/>
  <c r="J28" i="7"/>
  <c r="N49" i="7"/>
  <c r="M53" i="42" s="1"/>
  <c r="N53" i="42" s="1"/>
  <c r="J49" i="7"/>
  <c r="O33" i="7"/>
  <c r="L20" i="7" l="1"/>
  <c r="J349" i="27"/>
  <c r="E41" i="37"/>
  <c r="I91" i="42" s="1"/>
  <c r="I92" i="42" s="1"/>
  <c r="I52" i="42"/>
  <c r="I53" i="42"/>
  <c r="J53" i="42" s="1"/>
  <c r="L19" i="7"/>
  <c r="P21" i="7"/>
  <c r="O66" i="42" s="1"/>
  <c r="M54" i="42"/>
  <c r="N54" i="42" s="1"/>
  <c r="L46" i="7"/>
  <c r="P26" i="7"/>
  <c r="E22" i="24"/>
  <c r="M26" i="7"/>
  <c r="M45" i="7"/>
  <c r="R49" i="7"/>
  <c r="I45" i="7"/>
  <c r="I104" i="27"/>
  <c r="K28" i="7"/>
  <c r="R28" i="7"/>
  <c r="M20" i="7"/>
  <c r="N20" i="7"/>
  <c r="M19" i="7"/>
  <c r="J20" i="7"/>
  <c r="I19" i="7"/>
  <c r="K349" i="27"/>
  <c r="N349" i="27"/>
  <c r="G62" i="27"/>
  <c r="H62" i="27"/>
  <c r="J62" i="27"/>
  <c r="I60" i="27"/>
  <c r="H241" i="27"/>
  <c r="H104" i="27"/>
  <c r="L347" i="27"/>
  <c r="N25" i="7" l="1"/>
  <c r="N26" i="7" s="1"/>
  <c r="L21" i="7"/>
  <c r="K66" i="42" s="1"/>
  <c r="J25" i="7"/>
  <c r="J26" i="7" s="1"/>
  <c r="H349" i="27"/>
  <c r="H352" i="27" s="1"/>
  <c r="J352" i="27"/>
  <c r="I54" i="42"/>
  <c r="J52" i="42"/>
  <c r="O28" i="7"/>
  <c r="K19" i="7"/>
  <c r="O19" i="7"/>
  <c r="O20" i="7"/>
  <c r="M347" i="27"/>
  <c r="O49" i="7"/>
  <c r="K49" i="7"/>
  <c r="R20" i="7"/>
  <c r="I46" i="7"/>
  <c r="T49" i="7"/>
  <c r="M46" i="7"/>
  <c r="T28" i="7"/>
  <c r="M21" i="7"/>
  <c r="L66" i="42" s="1"/>
  <c r="Q45" i="7"/>
  <c r="N45" i="7"/>
  <c r="J45" i="7"/>
  <c r="Q19" i="7"/>
  <c r="K352" i="27"/>
  <c r="N19" i="7"/>
  <c r="J19" i="7"/>
  <c r="I62" i="27"/>
  <c r="N352" i="27"/>
  <c r="L349" i="27"/>
  <c r="L352" i="27" s="1"/>
  <c r="R25" i="7" l="1"/>
  <c r="J54" i="42"/>
  <c r="E30" i="36"/>
  <c r="H103" i="42"/>
  <c r="H104" i="42" s="1"/>
  <c r="O21" i="7"/>
  <c r="N66" i="42" s="1"/>
  <c r="K45" i="7"/>
  <c r="K46" i="7" s="1"/>
  <c r="O45" i="7"/>
  <c r="O46" i="7" s="1"/>
  <c r="M349" i="27"/>
  <c r="M352" i="27" s="1"/>
  <c r="O25" i="7"/>
  <c r="O26" i="7" s="1"/>
  <c r="J46" i="7"/>
  <c r="Q46" i="7"/>
  <c r="N46" i="7"/>
  <c r="R26" i="7"/>
  <c r="J21" i="7"/>
  <c r="I66" i="42" s="1"/>
  <c r="N21" i="7"/>
  <c r="M66" i="42" s="1"/>
  <c r="R45" i="7"/>
  <c r="T45" i="7" s="1"/>
  <c r="R19" i="7"/>
  <c r="T19" i="7" s="1"/>
  <c r="R46" i="7" l="1"/>
  <c r="T46" i="7" s="1"/>
  <c r="R21" i="7"/>
  <c r="F21" i="33" l="1"/>
  <c r="H91" i="42" l="1"/>
  <c r="H92" i="42" s="1"/>
  <c r="E14" i="36"/>
  <c r="J91" i="42"/>
  <c r="J92" i="42" s="1"/>
  <c r="L41" i="29"/>
  <c r="R32" i="30"/>
  <c r="P32" i="30"/>
  <c r="R47" i="30"/>
  <c r="R36" i="30"/>
  <c r="P36" i="30"/>
  <c r="R20" i="30"/>
  <c r="P20" i="30"/>
  <c r="R40" i="30"/>
  <c r="P40" i="30"/>
  <c r="R54" i="30" l="1"/>
  <c r="E31" i="36"/>
  <c r="E32" i="36" s="1"/>
  <c r="M14" i="36" s="1"/>
  <c r="P54" i="30"/>
  <c r="A11" i="8"/>
  <c r="A12" i="8" l="1"/>
  <c r="A13" i="8" s="1"/>
  <c r="A14" i="8" s="1"/>
  <c r="A15" i="8" s="1"/>
  <c r="A16" i="8" s="1"/>
  <c r="A17" i="8" s="1"/>
  <c r="A18" i="8" s="1"/>
  <c r="G44" i="13"/>
  <c r="A6" i="13"/>
  <c r="A13" i="14"/>
  <c r="A16" i="14" s="1"/>
  <c r="A17" i="14" s="1"/>
  <c r="A18" i="14" s="1"/>
  <c r="A19" i="14" s="1"/>
  <c r="A22" i="14" s="1"/>
  <c r="A23" i="14" s="1"/>
  <c r="A24" i="14" s="1"/>
  <c r="A25" i="14" s="1"/>
  <c r="T66" i="13"/>
  <c r="A39" i="13"/>
  <c r="A38" i="13"/>
  <c r="A20" i="8" l="1"/>
  <c r="A21" i="8" s="1"/>
  <c r="A22" i="8" s="1"/>
  <c r="A23" i="8" s="1"/>
  <c r="A24" i="8" s="1"/>
  <c r="A25" i="8" s="1"/>
  <c r="A26" i="8" s="1"/>
  <c r="A27" i="8" s="1"/>
  <c r="A28" i="8" s="1"/>
  <c r="A29" i="8" s="1"/>
  <c r="A30" i="8" s="1"/>
  <c r="A31" i="8" s="1"/>
  <c r="A32" i="8" s="1"/>
  <c r="A33" i="8" s="1"/>
  <c r="A34" i="8" s="1"/>
  <c r="A37" i="8" s="1"/>
  <c r="A38" i="8" s="1"/>
  <c r="A39" i="8" s="1"/>
  <c r="A40" i="8" s="1"/>
  <c r="A41" i="8" s="1"/>
  <c r="A40" i="13"/>
  <c r="A5" i="8"/>
  <c r="A6" i="14"/>
  <c r="A43" i="29" l="1"/>
  <c r="D21" i="33" l="1"/>
  <c r="R34" i="7" l="1"/>
  <c r="Q34" i="7" l="1"/>
  <c r="T34" i="7" l="1"/>
  <c r="R30" i="7"/>
  <c r="Q30" i="7"/>
  <c r="F21" i="35"/>
  <c r="D26" i="9" l="1"/>
  <c r="T30" i="7"/>
  <c r="N56" i="30" l="1"/>
  <c r="M35" i="7" s="1"/>
  <c r="T56" i="30"/>
  <c r="P35" i="7" s="1"/>
  <c r="P56" i="30"/>
  <c r="N35" i="7" s="1"/>
  <c r="I81" i="42"/>
  <c r="I82" i="42" s="1"/>
  <c r="O35" i="7" l="1"/>
  <c r="I103" i="42" l="1"/>
  <c r="I104" i="42" s="1"/>
  <c r="H29" i="4" l="1"/>
  <c r="D22" i="18" l="1"/>
  <c r="D22" i="19"/>
  <c r="G24" i="24" l="1"/>
  <c r="D25" i="9" l="1"/>
  <c r="B17" i="5" l="1"/>
  <c r="B18" i="5" s="1"/>
  <c r="B19" i="5" s="1"/>
  <c r="B20" i="5" s="1"/>
  <c r="B21" i="5" s="1"/>
  <c r="B22" i="5" s="1"/>
  <c r="B23" i="5" s="1"/>
  <c r="B24" i="5" l="1"/>
  <c r="B25" i="5" l="1"/>
  <c r="B26" i="5" s="1"/>
  <c r="B27" i="5" s="1"/>
  <c r="B28" i="5" s="1"/>
  <c r="D21" i="12"/>
  <c r="F36" i="38"/>
  <c r="H32" i="38" l="1"/>
  <c r="H30" i="38"/>
  <c r="H20" i="38"/>
  <c r="H15" i="38"/>
  <c r="H26" i="38"/>
  <c r="H18" i="38"/>
  <c r="H14" i="38"/>
  <c r="H24" i="38"/>
  <c r="H17" i="38"/>
  <c r="H28" i="38"/>
  <c r="H22" i="38"/>
  <c r="H16" i="38"/>
  <c r="B29" i="5"/>
  <c r="B30" i="5" s="1"/>
  <c r="B32" i="5" s="1"/>
  <c r="F38" i="38"/>
  <c r="D23" i="12"/>
  <c r="F21" i="12" s="1"/>
  <c r="J35" i="22"/>
  <c r="H38" i="38" l="1"/>
  <c r="H23" i="42" s="1"/>
  <c r="J23" i="42" s="1"/>
  <c r="B33" i="5"/>
  <c r="B34" i="5" s="1"/>
  <c r="D19" i="12"/>
  <c r="F19" i="12" s="1"/>
  <c r="H21" i="12"/>
  <c r="L30" i="34" l="1"/>
  <c r="N30" i="34" s="1"/>
  <c r="H28" i="23"/>
  <c r="J28" i="23" s="1"/>
  <c r="J27" i="5"/>
  <c r="B35" i="5"/>
  <c r="B36" i="5" s="1"/>
  <c r="B37" i="5" s="1"/>
  <c r="B38" i="5" s="1"/>
  <c r="B40" i="5" s="1"/>
  <c r="H25" i="9"/>
  <c r="L25" i="9" s="1"/>
  <c r="H36" i="38"/>
  <c r="H31" i="9"/>
  <c r="H26" i="9"/>
  <c r="H28" i="32" l="1"/>
  <c r="G241" i="27" l="1"/>
  <c r="I33" i="7"/>
  <c r="H27" i="32"/>
  <c r="A243" i="27" l="1"/>
  <c r="K183" i="25"/>
  <c r="K177" i="25"/>
  <c r="K160" i="25"/>
  <c r="K130" i="25"/>
  <c r="K178" i="25"/>
  <c r="K140" i="25"/>
  <c r="K171" i="25"/>
  <c r="K128" i="25"/>
  <c r="K154" i="25"/>
  <c r="K186" i="25"/>
  <c r="K153" i="25"/>
  <c r="K129" i="25"/>
  <c r="K161" i="25"/>
  <c r="K150" i="25"/>
  <c r="K122" i="25"/>
  <c r="K162" i="25"/>
  <c r="K132" i="25"/>
  <c r="K151" i="25"/>
  <c r="K120" i="25"/>
  <c r="K131" i="25"/>
  <c r="K169" i="25"/>
  <c r="K145" i="25"/>
  <c r="K121" i="25"/>
  <c r="K187" i="25"/>
  <c r="K142" i="25"/>
  <c r="K118" i="25"/>
  <c r="K152" i="25"/>
  <c r="K117" i="25"/>
  <c r="K143" i="25"/>
  <c r="K176" i="25"/>
  <c r="K123" i="25"/>
  <c r="K163" i="25"/>
  <c r="K141" i="25"/>
  <c r="K188" i="25"/>
  <c r="K170" i="25"/>
  <c r="K134" i="25"/>
  <c r="K185" i="25"/>
  <c r="K144" i="25"/>
  <c r="K184" i="25"/>
  <c r="K135" i="25"/>
  <c r="K164" i="25"/>
  <c r="K119" i="25"/>
  <c r="K159" i="25"/>
  <c r="K133" i="25"/>
  <c r="K69" i="25"/>
  <c r="K21" i="25"/>
  <c r="K147" i="25"/>
  <c r="K124" i="25"/>
  <c r="K72" i="25"/>
  <c r="K27" i="25"/>
  <c r="K102" i="25"/>
  <c r="K82" i="25"/>
  <c r="K66" i="25"/>
  <c r="K29" i="25"/>
  <c r="K166" i="25"/>
  <c r="K101" i="25"/>
  <c r="K61" i="25"/>
  <c r="K17" i="25"/>
  <c r="K84" i="25"/>
  <c r="K40" i="25"/>
  <c r="K103" i="25"/>
  <c r="K87" i="25"/>
  <c r="K71" i="25"/>
  <c r="K43" i="25"/>
  <c r="K19" i="25"/>
  <c r="K137" i="25"/>
  <c r="L78" i="26"/>
  <c r="R129" i="26"/>
  <c r="L128" i="26"/>
  <c r="N110" i="26"/>
  <c r="R127" i="26"/>
  <c r="K115" i="26"/>
  <c r="P129" i="26"/>
  <c r="N113" i="26"/>
  <c r="O113" i="26"/>
  <c r="O125" i="26"/>
  <c r="N82" i="26"/>
  <c r="P95" i="26"/>
  <c r="L113" i="26"/>
  <c r="K113" i="26"/>
  <c r="P127" i="26"/>
  <c r="L117" i="26"/>
  <c r="P113" i="26"/>
  <c r="N128" i="26"/>
  <c r="K112" i="26"/>
  <c r="P126" i="26"/>
  <c r="L114" i="26"/>
  <c r="L99" i="26"/>
  <c r="K108" i="26"/>
  <c r="L111" i="26"/>
  <c r="R100" i="26"/>
  <c r="O117" i="26"/>
  <c r="O134" i="26"/>
  <c r="K65" i="25"/>
  <c r="K155" i="25"/>
  <c r="K104" i="25"/>
  <c r="K64" i="25"/>
  <c r="K98" i="25"/>
  <c r="K78" i="25"/>
  <c r="K62" i="25"/>
  <c r="K25" i="25"/>
  <c r="K180" i="25"/>
  <c r="K93" i="25"/>
  <c r="K53" i="25"/>
  <c r="K108" i="25"/>
  <c r="K60" i="25"/>
  <c r="K20" i="25"/>
  <c r="K146" i="25"/>
  <c r="K99" i="25"/>
  <c r="K83" i="25"/>
  <c r="K63" i="25"/>
  <c r="R114" i="26"/>
  <c r="L98" i="26"/>
  <c r="P81" i="26"/>
  <c r="K126" i="26"/>
  <c r="O124" i="26"/>
  <c r="P117" i="26"/>
  <c r="N132" i="26"/>
  <c r="O129" i="26"/>
  <c r="R130" i="26"/>
  <c r="R124" i="26"/>
  <c r="K100" i="26"/>
  <c r="P83" i="26"/>
  <c r="R131" i="26"/>
  <c r="P115" i="26"/>
  <c r="N130" i="26"/>
  <c r="R113" i="26"/>
  <c r="N116" i="26"/>
  <c r="K131" i="26"/>
  <c r="P114" i="26"/>
  <c r="N129" i="26"/>
  <c r="L126" i="26"/>
  <c r="L95" i="26"/>
  <c r="R109" i="26"/>
  <c r="O97" i="26"/>
  <c r="L96" i="26"/>
  <c r="R81" i="26"/>
  <c r="O133" i="26"/>
  <c r="P99" i="26"/>
  <c r="N126" i="26"/>
  <c r="P124" i="26"/>
  <c r="L122" i="26"/>
  <c r="O98" i="26"/>
  <c r="P97" i="26"/>
  <c r="O99" i="26"/>
  <c r="R123" i="26"/>
  <c r="K109" i="25"/>
  <c r="K57" i="25"/>
  <c r="K189" i="25"/>
  <c r="K88" i="25"/>
  <c r="K56" i="25"/>
  <c r="K94" i="25"/>
  <c r="K74" i="25"/>
  <c r="K54" i="25"/>
  <c r="K136" i="25"/>
  <c r="K125" i="25"/>
  <c r="K81" i="25"/>
  <c r="K45" i="25"/>
  <c r="K172" i="25"/>
  <c r="K100" i="25"/>
  <c r="K52" i="25"/>
  <c r="K156" i="25"/>
  <c r="K95" i="25"/>
  <c r="K79" i="25"/>
  <c r="K55" i="25"/>
  <c r="K26" i="25"/>
  <c r="K165" i="25"/>
  <c r="R98" i="26"/>
  <c r="O101" i="26"/>
  <c r="L102" i="26"/>
  <c r="P131" i="26"/>
  <c r="O116" i="26"/>
  <c r="O122" i="26"/>
  <c r="N124" i="26"/>
  <c r="L125" i="26"/>
  <c r="O131" i="26"/>
  <c r="R122" i="26"/>
  <c r="R128" i="26"/>
  <c r="K90" i="26"/>
  <c r="R111" i="26"/>
  <c r="O128" i="26"/>
  <c r="N122" i="26"/>
  <c r="O132" i="26"/>
  <c r="K123" i="26"/>
  <c r="P133" i="26"/>
  <c r="N117" i="26"/>
  <c r="K132" i="26"/>
  <c r="L134" i="26"/>
  <c r="K89" i="25"/>
  <c r="K49" i="25"/>
  <c r="K16" i="25"/>
  <c r="K80" i="25"/>
  <c r="K48" i="25"/>
  <c r="K190" i="25"/>
  <c r="K110" i="25"/>
  <c r="K90" i="25"/>
  <c r="K70" i="25"/>
  <c r="K46" i="25"/>
  <c r="K18" i="25"/>
  <c r="K73" i="25"/>
  <c r="K28" i="25"/>
  <c r="K92" i="25"/>
  <c r="K44" i="25"/>
  <c r="K173" i="25"/>
  <c r="K111" i="25"/>
  <c r="K91" i="25"/>
  <c r="K75" i="25"/>
  <c r="K47" i="25"/>
  <c r="K22" i="25"/>
  <c r="K179" i="25"/>
  <c r="K130" i="26"/>
  <c r="L84" i="26"/>
  <c r="R78" i="26"/>
  <c r="P78" i="26"/>
  <c r="L131" i="26"/>
  <c r="N112" i="26"/>
  <c r="K127" i="26"/>
  <c r="L133" i="26"/>
  <c r="O123" i="26"/>
  <c r="R112" i="26"/>
  <c r="N102" i="26"/>
  <c r="P109" i="26"/>
  <c r="L123" i="26"/>
  <c r="O126" i="26"/>
  <c r="K125" i="26"/>
  <c r="L127" i="26"/>
  <c r="O130" i="26"/>
  <c r="P125" i="26"/>
  <c r="L129" i="26"/>
  <c r="K124" i="26"/>
  <c r="P134" i="26"/>
  <c r="L82" i="26"/>
  <c r="N83" i="26"/>
  <c r="R95" i="26"/>
  <c r="O102" i="26"/>
  <c r="L81" i="26"/>
  <c r="L110" i="26"/>
  <c r="N111" i="26"/>
  <c r="O112" i="26"/>
  <c r="P112" i="26"/>
  <c r="N131" i="26"/>
  <c r="K98" i="26"/>
  <c r="R102" i="26"/>
  <c r="R82" i="26"/>
  <c r="R97" i="26"/>
  <c r="N96" i="26"/>
  <c r="O100" i="26"/>
  <c r="O110" i="26"/>
  <c r="K95" i="26"/>
  <c r="R132" i="26"/>
  <c r="K129" i="26"/>
  <c r="N125" i="26"/>
  <c r="L124" i="26"/>
  <c r="P84" i="26"/>
  <c r="N98" i="26"/>
  <c r="N134" i="26"/>
  <c r="L132" i="26"/>
  <c r="O78" i="26"/>
  <c r="R134" i="26"/>
  <c r="K114" i="26"/>
  <c r="R115" i="26"/>
  <c r="N99" i="26"/>
  <c r="K97" i="26"/>
  <c r="K110" i="26"/>
  <c r="K96" i="26"/>
  <c r="K78" i="26"/>
  <c r="O127" i="26"/>
  <c r="O84" i="26"/>
  <c r="O114" i="26"/>
  <c r="K116" i="26"/>
  <c r="K134" i="26"/>
  <c r="R99" i="26"/>
  <c r="R90" i="26"/>
  <c r="R93" i="26" s="1"/>
  <c r="O111" i="26"/>
  <c r="P122" i="26"/>
  <c r="N84" i="26"/>
  <c r="P116" i="26"/>
  <c r="P101" i="26"/>
  <c r="K122" i="26"/>
  <c r="L83" i="26"/>
  <c r="N95" i="26"/>
  <c r="L101" i="26"/>
  <c r="R96" i="26"/>
  <c r="P111" i="26"/>
  <c r="K99" i="26"/>
  <c r="R116" i="26"/>
  <c r="R101" i="26"/>
  <c r="P123" i="26"/>
  <c r="N123" i="26"/>
  <c r="L116" i="26"/>
  <c r="O95" i="26"/>
  <c r="K111" i="26"/>
  <c r="R83" i="26"/>
  <c r="K117" i="26"/>
  <c r="N100" i="26"/>
  <c r="O96" i="26"/>
  <c r="K83" i="26"/>
  <c r="N133" i="26"/>
  <c r="N101" i="26"/>
  <c r="K128" i="26"/>
  <c r="L108" i="26"/>
  <c r="P110" i="26"/>
  <c r="N114" i="26"/>
  <c r="P128" i="26"/>
  <c r="O108" i="26"/>
  <c r="P108" i="26"/>
  <c r="P96" i="26"/>
  <c r="R84" i="26"/>
  <c r="K101" i="26"/>
  <c r="O83" i="26"/>
  <c r="N108" i="26"/>
  <c r="K133" i="26"/>
  <c r="N127" i="26"/>
  <c r="L130" i="26"/>
  <c r="O82" i="26"/>
  <c r="R108" i="26"/>
  <c r="K81" i="26"/>
  <c r="R110" i="26"/>
  <c r="K84" i="26"/>
  <c r="N90" i="26"/>
  <c r="N93" i="26" s="1"/>
  <c r="P102" i="26"/>
  <c r="O115" i="26"/>
  <c r="R117" i="26"/>
  <c r="L115" i="26"/>
  <c r="O81" i="26"/>
  <c r="L90" i="26"/>
  <c r="L93" i="26" s="1"/>
  <c r="P90" i="26"/>
  <c r="P93" i="26" s="1"/>
  <c r="R125" i="26"/>
  <c r="P132" i="26"/>
  <c r="N78" i="26"/>
  <c r="P82" i="26"/>
  <c r="L109" i="26"/>
  <c r="N81" i="26"/>
  <c r="O109" i="26"/>
  <c r="R133" i="26"/>
  <c r="P130" i="26"/>
  <c r="N109" i="26"/>
  <c r="K102" i="26"/>
  <c r="K82" i="26"/>
  <c r="L100" i="26"/>
  <c r="L97" i="26"/>
  <c r="P100" i="26"/>
  <c r="K109" i="26"/>
  <c r="L112" i="26"/>
  <c r="R126" i="26"/>
  <c r="N97" i="26"/>
  <c r="P98" i="26"/>
  <c r="N115" i="26"/>
  <c r="O90" i="26"/>
  <c r="Q33" i="7"/>
  <c r="T33" i="7" s="1"/>
  <c r="I241" i="27"/>
  <c r="K33" i="7"/>
  <c r="I25" i="7"/>
  <c r="I26" i="7" s="1"/>
  <c r="I165" i="27"/>
  <c r="G165" i="27"/>
  <c r="G349" i="27" s="1"/>
  <c r="G352" i="27" s="1"/>
  <c r="D21" i="35"/>
  <c r="N80" i="26" l="1"/>
  <c r="F116" i="26"/>
  <c r="F96" i="26"/>
  <c r="R80" i="26"/>
  <c r="L79" i="26"/>
  <c r="F127" i="26"/>
  <c r="F78" i="26"/>
  <c r="K80" i="26"/>
  <c r="K87" i="26" s="1"/>
  <c r="F122" i="26"/>
  <c r="L80" i="26"/>
  <c r="F97" i="26"/>
  <c r="F109" i="26"/>
  <c r="F112" i="26"/>
  <c r="F84" i="26"/>
  <c r="F114" i="26"/>
  <c r="F125" i="26"/>
  <c r="R79" i="26"/>
  <c r="R87" i="26" s="1"/>
  <c r="F123" i="26"/>
  <c r="F99" i="26"/>
  <c r="P80" i="26"/>
  <c r="F110" i="26"/>
  <c r="F129" i="26"/>
  <c r="F81" i="26"/>
  <c r="P79" i="26"/>
  <c r="P87" i="26" s="1"/>
  <c r="F124" i="26"/>
  <c r="F100" i="26"/>
  <c r="F82" i="26"/>
  <c r="F111" i="26"/>
  <c r="N79" i="26"/>
  <c r="F90" i="26"/>
  <c r="K79" i="26"/>
  <c r="F128" i="26"/>
  <c r="F108" i="26"/>
  <c r="F80" i="26"/>
  <c r="F98" i="26"/>
  <c r="F113" i="26"/>
  <c r="O80" i="26"/>
  <c r="Q80" i="26" s="1"/>
  <c r="F115" i="26"/>
  <c r="F95" i="26"/>
  <c r="F130" i="26"/>
  <c r="F102" i="26"/>
  <c r="F117" i="26"/>
  <c r="F79" i="26"/>
  <c r="O79" i="26"/>
  <c r="Q79" i="26" s="1"/>
  <c r="F101" i="26"/>
  <c r="F83" i="26"/>
  <c r="F126" i="26"/>
  <c r="M101" i="26"/>
  <c r="M81" i="26"/>
  <c r="M96" i="26"/>
  <c r="M128" i="26"/>
  <c r="C20" i="25"/>
  <c r="C79" i="25"/>
  <c r="C72" i="25"/>
  <c r="C73" i="25"/>
  <c r="C101" i="25"/>
  <c r="C93" i="25"/>
  <c r="C109" i="25"/>
  <c r="C52" i="25"/>
  <c r="C54" i="25"/>
  <c r="C47" i="25"/>
  <c r="C26" i="25"/>
  <c r="C38" i="25"/>
  <c r="C44" i="25"/>
  <c r="C30" i="25"/>
  <c r="C35" i="25"/>
  <c r="K32" i="25"/>
  <c r="K34" i="25"/>
  <c r="K38" i="25"/>
  <c r="C78" i="25"/>
  <c r="C71" i="25"/>
  <c r="C88" i="25"/>
  <c r="C69" i="25"/>
  <c r="C90" i="25"/>
  <c r="C62" i="25"/>
  <c r="C63" i="25"/>
  <c r="C31" i="25"/>
  <c r="C28" i="25"/>
  <c r="C43" i="25"/>
  <c r="C21" i="25"/>
  <c r="C34" i="25"/>
  <c r="C29" i="25"/>
  <c r="K36" i="25"/>
  <c r="K31" i="25"/>
  <c r="K30" i="25"/>
  <c r="C100" i="25"/>
  <c r="C89" i="25"/>
  <c r="C102" i="25"/>
  <c r="C70" i="25"/>
  <c r="C87" i="25"/>
  <c r="C61" i="25"/>
  <c r="C64" i="25"/>
  <c r="C55" i="25"/>
  <c r="C45" i="25"/>
  <c r="C33" i="25"/>
  <c r="C27" i="25"/>
  <c r="C18" i="25"/>
  <c r="C39" i="25"/>
  <c r="C32" i="25"/>
  <c r="K33" i="25"/>
  <c r="K35" i="25"/>
  <c r="C108" i="25"/>
  <c r="C80" i="25"/>
  <c r="C92" i="25"/>
  <c r="C98" i="25"/>
  <c r="C99" i="25"/>
  <c r="C81" i="25"/>
  <c r="C91" i="25"/>
  <c r="C107" i="25"/>
  <c r="C82" i="25"/>
  <c r="C53" i="25"/>
  <c r="C60" i="25"/>
  <c r="C46" i="25"/>
  <c r="C25" i="25"/>
  <c r="C36" i="25"/>
  <c r="C37" i="25"/>
  <c r="C19" i="25"/>
  <c r="C17" i="25"/>
  <c r="C16" i="25"/>
  <c r="K37" i="25"/>
  <c r="K39" i="25"/>
  <c r="M117" i="26"/>
  <c r="K181" i="25"/>
  <c r="Q126" i="26"/>
  <c r="M111" i="26"/>
  <c r="M98" i="26"/>
  <c r="K25" i="7"/>
  <c r="K26" i="7" s="1"/>
  <c r="I349" i="27"/>
  <c r="I352" i="27" s="1"/>
  <c r="M134" i="26"/>
  <c r="K138" i="25"/>
  <c r="H19" i="6" s="1"/>
  <c r="Q114" i="26"/>
  <c r="K148" i="25"/>
  <c r="H20" i="6" s="1"/>
  <c r="M114" i="26"/>
  <c r="Q81" i="26"/>
  <c r="M125" i="26"/>
  <c r="M133" i="26"/>
  <c r="Q115" i="26"/>
  <c r="M110" i="26"/>
  <c r="M99" i="26"/>
  <c r="Q109" i="26"/>
  <c r="Q83" i="26"/>
  <c r="K167" i="25"/>
  <c r="M82" i="26"/>
  <c r="Q131" i="26"/>
  <c r="M109" i="26"/>
  <c r="M84" i="26"/>
  <c r="Q84" i="26"/>
  <c r="Q129" i="26"/>
  <c r="M113" i="26"/>
  <c r="Q127" i="26"/>
  <c r="M102" i="26"/>
  <c r="M129" i="26"/>
  <c r="P120" i="26"/>
  <c r="M83" i="26"/>
  <c r="P137" i="26"/>
  <c r="Q112" i="26"/>
  <c r="K137" i="26"/>
  <c r="M122" i="26"/>
  <c r="R120" i="26"/>
  <c r="Q96" i="26"/>
  <c r="N105" i="26"/>
  <c r="Q78" i="26"/>
  <c r="Q102" i="26"/>
  <c r="Q130" i="26"/>
  <c r="N137" i="26"/>
  <c r="Q124" i="26"/>
  <c r="K112" i="25"/>
  <c r="Q134" i="26"/>
  <c r="M108" i="26"/>
  <c r="K120" i="26"/>
  <c r="M112" i="26"/>
  <c r="K50" i="25"/>
  <c r="K126" i="25"/>
  <c r="Q82" i="26"/>
  <c r="N120" i="26"/>
  <c r="Q95" i="26"/>
  <c r="O105" i="26"/>
  <c r="M95" i="26"/>
  <c r="K105" i="26"/>
  <c r="R105" i="26"/>
  <c r="M124" i="26"/>
  <c r="Q123" i="26"/>
  <c r="M130" i="26"/>
  <c r="Q128" i="26"/>
  <c r="R137" i="26"/>
  <c r="O137" i="26"/>
  <c r="Q122" i="26"/>
  <c r="Q101" i="26"/>
  <c r="K58" i="25"/>
  <c r="Q98" i="26"/>
  <c r="Q97" i="26"/>
  <c r="M126" i="26"/>
  <c r="Q117" i="26"/>
  <c r="Q125" i="26"/>
  <c r="M115" i="26"/>
  <c r="Q110" i="26"/>
  <c r="M123" i="26"/>
  <c r="Q116" i="26"/>
  <c r="K191" i="25"/>
  <c r="Q99" i="26"/>
  <c r="L137" i="26"/>
  <c r="Q133" i="26"/>
  <c r="M100" i="26"/>
  <c r="K85" i="25"/>
  <c r="K157" i="25"/>
  <c r="Q113" i="26"/>
  <c r="L87" i="26"/>
  <c r="K96" i="25"/>
  <c r="O93" i="26"/>
  <c r="Q90" i="26"/>
  <c r="Q93" i="26" s="1"/>
  <c r="O120" i="26"/>
  <c r="Q108" i="26"/>
  <c r="L120" i="26"/>
  <c r="Q111" i="26"/>
  <c r="M116" i="26"/>
  <c r="M78" i="26"/>
  <c r="M97" i="26"/>
  <c r="Q100" i="26"/>
  <c r="M127" i="26"/>
  <c r="K23" i="25"/>
  <c r="M132" i="26"/>
  <c r="Q132" i="26"/>
  <c r="K93" i="26"/>
  <c r="M90" i="26"/>
  <c r="M93" i="26" s="1"/>
  <c r="K174" i="25"/>
  <c r="L105" i="26"/>
  <c r="M131" i="26"/>
  <c r="K67" i="25"/>
  <c r="K105" i="25"/>
  <c r="P105" i="26"/>
  <c r="K76" i="25"/>
  <c r="K20" i="7"/>
  <c r="K21" i="7" s="1"/>
  <c r="J66" i="42" s="1"/>
  <c r="D22" i="24"/>
  <c r="I20" i="7"/>
  <c r="Q25" i="7"/>
  <c r="A21" i="12"/>
  <c r="A23" i="12" s="1"/>
  <c r="O87" i="26" l="1"/>
  <c r="M79" i="26"/>
  <c r="R143" i="26"/>
  <c r="K143" i="26"/>
  <c r="P143" i="26"/>
  <c r="L143" i="26"/>
  <c r="N87" i="26"/>
  <c r="N143" i="26" s="1"/>
  <c r="O143" i="26"/>
  <c r="M80" i="26"/>
  <c r="M87" i="26" s="1"/>
  <c r="K41" i="25"/>
  <c r="Q120" i="26"/>
  <c r="K193" i="25"/>
  <c r="H25" i="6"/>
  <c r="M120" i="26"/>
  <c r="Q137" i="26"/>
  <c r="Q87" i="26"/>
  <c r="M137" i="26"/>
  <c r="Q105" i="26"/>
  <c r="M105" i="26"/>
  <c r="D16" i="19"/>
  <c r="D16" i="18"/>
  <c r="T25" i="7"/>
  <c r="Q26" i="7"/>
  <c r="T26" i="7" s="1"/>
  <c r="I21" i="7"/>
  <c r="H66" i="42" s="1"/>
  <c r="Q20" i="7"/>
  <c r="T20" i="7" s="1"/>
  <c r="Q143" i="26" l="1"/>
  <c r="M143" i="26"/>
  <c r="Q21" i="7"/>
  <c r="T21" i="7" s="1"/>
  <c r="A26" i="6"/>
  <c r="A28" i="6" s="1"/>
  <c r="A29" i="6" s="1"/>
  <c r="A30" i="6" s="1"/>
  <c r="A31" i="6" s="1"/>
  <c r="A32" i="6" s="1"/>
  <c r="A33" i="6" s="1"/>
  <c r="A34" i="6" s="1"/>
  <c r="A35" i="6" s="1"/>
  <c r="A36" i="6" s="1"/>
  <c r="A37" i="6" s="1"/>
  <c r="A38" i="6" s="1"/>
  <c r="A41" i="6" s="1"/>
  <c r="A42" i="6" s="1"/>
  <c r="A43" i="6" s="1"/>
  <c r="A44" i="6" s="1"/>
  <c r="J28" i="6"/>
  <c r="J29" i="6"/>
  <c r="J30" i="6"/>
  <c r="J31" i="6"/>
  <c r="J32" i="6"/>
  <c r="J34" i="6"/>
  <c r="H18" i="6"/>
  <c r="H21" i="6"/>
  <c r="H22" i="6"/>
  <c r="H23" i="6"/>
  <c r="H24" i="6"/>
  <c r="A45" i="6" l="1"/>
  <c r="A47" i="6" s="1"/>
  <c r="H26" i="6"/>
  <c r="B52" i="7" l="1"/>
  <c r="B54" i="7" s="1"/>
  <c r="M36" i="7"/>
  <c r="M38" i="7" s="1"/>
  <c r="L60" i="42" s="1"/>
  <c r="N36" i="7" l="1"/>
  <c r="M40" i="7" l="1"/>
  <c r="L67" i="42" s="1"/>
  <c r="O36" i="7"/>
  <c r="G43" i="29"/>
  <c r="I36" i="7"/>
  <c r="J50" i="7"/>
  <c r="F56" i="30" l="1"/>
  <c r="I35" i="7" s="1"/>
  <c r="I38" i="7" s="1"/>
  <c r="H60" i="42" s="1"/>
  <c r="J36" i="7"/>
  <c r="H56" i="30"/>
  <c r="I50" i="7"/>
  <c r="P52" i="7"/>
  <c r="O61" i="42" s="1"/>
  <c r="L50" i="7" l="1"/>
  <c r="L52" i="7" s="1"/>
  <c r="K61" i="42" s="1"/>
  <c r="K50" i="7"/>
  <c r="K52" i="7" s="1"/>
  <c r="K54" i="7" s="1"/>
  <c r="J68" i="42" s="1"/>
  <c r="L36" i="7"/>
  <c r="H42" i="6" s="1"/>
  <c r="K36" i="7"/>
  <c r="P54" i="7"/>
  <c r="O68" i="42" s="1"/>
  <c r="N50" i="7"/>
  <c r="J35" i="7"/>
  <c r="M50" i="7"/>
  <c r="M52" i="7" s="1"/>
  <c r="L61" i="42" s="1"/>
  <c r="I52" i="7"/>
  <c r="O50" i="7"/>
  <c r="O52" i="7" s="1"/>
  <c r="O54" i="7" s="1"/>
  <c r="N68" i="42" s="1"/>
  <c r="L56" i="30"/>
  <c r="R51" i="7"/>
  <c r="H61" i="42" l="1"/>
  <c r="H62" i="42" s="1"/>
  <c r="I54" i="7"/>
  <c r="H68" i="42" s="1"/>
  <c r="L54" i="7"/>
  <c r="K68" i="42" s="1"/>
  <c r="L35" i="7"/>
  <c r="H44" i="6" s="1"/>
  <c r="L62" i="42"/>
  <c r="K35" i="7"/>
  <c r="I40" i="7"/>
  <c r="H67" i="42" s="1"/>
  <c r="M54" i="7"/>
  <c r="N52" i="7"/>
  <c r="M61" i="42" s="1"/>
  <c r="J45" i="6"/>
  <c r="L68" i="42" l="1"/>
  <c r="L69" i="42" s="1"/>
  <c r="H69" i="42"/>
  <c r="H64" i="42"/>
  <c r="N61" i="42"/>
  <c r="L64" i="42"/>
  <c r="N54" i="7"/>
  <c r="M68" i="42" s="1"/>
  <c r="D26" i="24"/>
  <c r="Q51" i="7"/>
  <c r="L70" i="42" l="1"/>
  <c r="H70" i="42"/>
  <c r="T51" i="7"/>
  <c r="G22" i="24"/>
  <c r="G26" i="24" l="1"/>
  <c r="I26" i="24" l="1"/>
  <c r="I24" i="24"/>
  <c r="H26" i="22" s="1"/>
  <c r="I22" i="24"/>
  <c r="B17" i="4"/>
  <c r="B18" i="4" s="1"/>
  <c r="B19" i="4" l="1"/>
  <c r="B20" i="4" s="1"/>
  <c r="B23" i="4" s="1"/>
  <c r="B24" i="4" s="1"/>
  <c r="B25" i="4" s="1"/>
  <c r="B26" i="4" s="1"/>
  <c r="B27" i="4" s="1"/>
  <c r="B28" i="4" s="1"/>
  <c r="B29" i="4" s="1"/>
  <c r="B30" i="4" s="1"/>
  <c r="B33" i="4" s="1"/>
  <c r="F23" i="11"/>
  <c r="H20" i="4"/>
  <c r="J30" i="4" l="1"/>
  <c r="B34" i="4"/>
  <c r="B35" i="4" s="1"/>
  <c r="B37" i="4" s="1"/>
  <c r="J52" i="7"/>
  <c r="I61" i="42" s="1"/>
  <c r="J61" i="42" l="1"/>
  <c r="J54" i="7"/>
  <c r="I68" i="42" s="1"/>
  <c r="I38" i="5"/>
  <c r="L47" i="6"/>
  <c r="H19" i="9"/>
  <c r="P37" i="7" l="1"/>
  <c r="P38" i="7" s="1"/>
  <c r="O60" i="42" s="1"/>
  <c r="B19" i="28"/>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H17" i="14"/>
  <c r="O62" i="42" l="1"/>
  <c r="O64" i="42" s="1"/>
  <c r="P40" i="7"/>
  <c r="L37" i="7"/>
  <c r="H69" i="28"/>
  <c r="O67" i="42" l="1"/>
  <c r="O69" i="42" s="1"/>
  <c r="O70" i="42" s="1"/>
  <c r="L38" i="7"/>
  <c r="K60" i="42" s="1"/>
  <c r="K62" i="42" s="1"/>
  <c r="K64" i="42" s="1"/>
  <c r="H41" i="6"/>
  <c r="H47" i="6" s="1"/>
  <c r="L47" i="13" l="1"/>
  <c r="L67" i="13" s="1"/>
  <c r="L40" i="7"/>
  <c r="K67" i="42" l="1"/>
  <c r="K69" i="42" s="1"/>
  <c r="K70" i="42" s="1"/>
  <c r="O38" i="7" l="1"/>
  <c r="O40" i="7" s="1"/>
  <c r="N38" i="7"/>
  <c r="M60" i="42" s="1"/>
  <c r="N67" i="42" l="1"/>
  <c r="N69" i="42" s="1"/>
  <c r="K38" i="7"/>
  <c r="K40" i="7" s="1"/>
  <c r="J38" i="7"/>
  <c r="I60" i="42" s="1"/>
  <c r="I62" i="42" s="1"/>
  <c r="I64" i="42" s="1"/>
  <c r="N40" i="7"/>
  <c r="J67" i="42" l="1"/>
  <c r="J69" i="42" s="1"/>
  <c r="M67" i="42"/>
  <c r="M69" i="42" s="1"/>
  <c r="J40" i="7"/>
  <c r="I67" i="42" s="1"/>
  <c r="I69" i="42" s="1"/>
  <c r="N60" i="42"/>
  <c r="M62" i="42"/>
  <c r="M64" i="42" l="1"/>
  <c r="N62" i="42"/>
  <c r="J60" i="42"/>
  <c r="J62" i="42" l="1"/>
  <c r="N64" i="42"/>
  <c r="N70" i="42" s="1"/>
  <c r="M70" i="42"/>
  <c r="J64" i="42" l="1"/>
  <c r="J70" i="42" s="1"/>
  <c r="I70" i="42"/>
  <c r="E36" i="36" l="1"/>
  <c r="M16" i="36"/>
  <c r="F21" i="10" l="1"/>
  <c r="H16" i="14" s="1"/>
  <c r="E24" i="36" l="1"/>
  <c r="E18" i="36" s="1"/>
  <c r="E27" i="36" l="1"/>
  <c r="E20" i="36" l="1"/>
  <c r="G14" i="36" l="1"/>
  <c r="G18" i="36"/>
  <c r="G16" i="36"/>
  <c r="O16" i="36"/>
  <c r="E26" i="24"/>
  <c r="K18" i="36" l="1"/>
  <c r="K14" i="36" s="1"/>
  <c r="O14" i="36" s="1"/>
  <c r="D25" i="11"/>
  <c r="D23" i="11" s="1"/>
  <c r="G20" i="36"/>
  <c r="O18" i="36" l="1"/>
  <c r="D23" i="10"/>
  <c r="F17" i="14" s="1"/>
  <c r="J17" i="14" s="1"/>
  <c r="H25" i="11"/>
  <c r="D21" i="10"/>
  <c r="F16" i="14" s="1"/>
  <c r="J16" i="14" s="1"/>
  <c r="J18" i="14" s="1"/>
  <c r="K20" i="36"/>
  <c r="H23" i="10" l="1"/>
  <c r="O20" i="36"/>
  <c r="H31" i="11" s="1"/>
  <c r="H23" i="11"/>
  <c r="H27" i="11" s="1"/>
  <c r="H33" i="11" s="1"/>
  <c r="D27" i="11"/>
  <c r="H21" i="10"/>
  <c r="D25" i="10"/>
  <c r="J36" i="23"/>
  <c r="J21" i="5" s="1"/>
  <c r="J26" i="22"/>
  <c r="J37" i="22" s="1"/>
  <c r="J20" i="5" s="1"/>
  <c r="H25" i="10" l="1"/>
  <c r="N31" i="9" s="1"/>
  <c r="H35" i="11"/>
  <c r="H32" i="5"/>
  <c r="D30" i="3" l="1"/>
  <c r="Q48" i="13"/>
  <c r="H30" i="42"/>
  <c r="J30" i="42" s="1"/>
  <c r="H31" i="42"/>
  <c r="H36" i="42" l="1"/>
  <c r="J31" i="42"/>
  <c r="L24" i="9" l="1"/>
  <c r="L26" i="9" l="1"/>
  <c r="Q36" i="7" l="1"/>
  <c r="D18" i="19" s="1"/>
  <c r="R36" i="7"/>
  <c r="E20" i="19" l="1"/>
  <c r="D24" i="19" s="1"/>
  <c r="J34" i="4" s="1"/>
  <c r="I33" i="42" s="1"/>
  <c r="J33" i="42" s="1"/>
  <c r="T36" i="7"/>
  <c r="R35" i="7"/>
  <c r="Q35" i="7"/>
  <c r="D18" i="18" s="1"/>
  <c r="F20" i="18" l="1"/>
  <c r="D24" i="18" s="1"/>
  <c r="J33" i="4" s="1"/>
  <c r="Q38" i="7"/>
  <c r="Q40" i="7" s="1"/>
  <c r="E47" i="13" s="1"/>
  <c r="R38" i="7"/>
  <c r="R40" i="7" s="1"/>
  <c r="F47" i="13" s="1"/>
  <c r="Q50" i="7"/>
  <c r="Q52" i="7" s="1"/>
  <c r="Q54" i="7" s="1"/>
  <c r="R50" i="7"/>
  <c r="R52" i="7" s="1"/>
  <c r="R54" i="7" s="1"/>
  <c r="T35" i="7"/>
  <c r="T38" i="7" s="1"/>
  <c r="I32" i="42" l="1"/>
  <c r="J32" i="42" s="1"/>
  <c r="J37" i="4"/>
  <c r="D18" i="3" s="1"/>
  <c r="T40" i="7"/>
  <c r="I47" i="13" s="1"/>
  <c r="T50" i="7"/>
  <c r="T52" i="7" s="1"/>
  <c r="T54" i="7" s="1"/>
  <c r="I36" i="42" l="1"/>
  <c r="J36" i="42" s="1"/>
  <c r="F19" i="9"/>
  <c r="I37" i="42" l="1"/>
  <c r="J19" i="9"/>
  <c r="J31" i="9" s="1"/>
  <c r="F31" i="9"/>
  <c r="H30" i="5"/>
  <c r="H38" i="5" s="1"/>
  <c r="J38" i="5" s="1"/>
  <c r="J40" i="5" l="1"/>
  <c r="K24" i="13" s="1"/>
  <c r="H37" i="42" l="1"/>
  <c r="J37" i="42" s="1"/>
  <c r="D20" i="3"/>
  <c r="D23" i="9"/>
  <c r="L23" i="9" s="1"/>
  <c r="K19" i="13" l="1"/>
  <c r="D19" i="9"/>
  <c r="D31" i="9" l="1"/>
  <c r="K24" i="14"/>
  <c r="K18" i="13"/>
  <c r="L19" i="9"/>
  <c r="L31" i="9" s="1"/>
  <c r="K11" i="14" s="1"/>
  <c r="K21" i="13" l="1"/>
  <c r="F67" i="13"/>
  <c r="D26" i="3"/>
  <c r="P31" i="9"/>
  <c r="K32" i="13" s="1"/>
  <c r="E67" i="13"/>
  <c r="I67" i="13" l="1"/>
  <c r="K22" i="14"/>
  <c r="K34" i="13"/>
  <c r="M34" i="13" s="1"/>
  <c r="J47" i="13" s="1"/>
  <c r="J48" i="13" s="1"/>
  <c r="D28" i="3"/>
  <c r="K19" i="14"/>
  <c r="K23" i="14" l="1"/>
  <c r="K25" i="14" s="1"/>
  <c r="O48" i="13" s="1"/>
  <c r="K47" i="13"/>
  <c r="J49" i="13"/>
  <c r="K48" i="13"/>
  <c r="O47" i="13" l="1"/>
  <c r="O52" i="13"/>
  <c r="O61" i="13"/>
  <c r="O57" i="13"/>
  <c r="O64" i="13"/>
  <c r="O63" i="13"/>
  <c r="O53" i="13"/>
  <c r="O49" i="13"/>
  <c r="O55" i="13"/>
  <c r="O54" i="13"/>
  <c r="O56" i="13"/>
  <c r="O51" i="13"/>
  <c r="O50" i="13"/>
  <c r="O59" i="13"/>
  <c r="O60" i="13"/>
  <c r="O65" i="13"/>
  <c r="O62" i="13"/>
  <c r="O58" i="13"/>
  <c r="J50" i="13"/>
  <c r="K49" i="13"/>
  <c r="O67" i="13" l="1"/>
  <c r="D34" i="3" s="1"/>
  <c r="K50" i="13"/>
  <c r="J51" i="13"/>
  <c r="J52" i="13" l="1"/>
  <c r="K51" i="13"/>
  <c r="J53" i="13" l="1"/>
  <c r="K52" i="13"/>
  <c r="K53" i="13" l="1"/>
  <c r="J54" i="13"/>
  <c r="K54" i="13" l="1"/>
  <c r="J55" i="13"/>
  <c r="J56" i="13" l="1"/>
  <c r="K55" i="13"/>
  <c r="K56" i="13" l="1"/>
  <c r="J57" i="13"/>
  <c r="K57" i="13" l="1"/>
  <c r="J58" i="13"/>
  <c r="K58" i="13" l="1"/>
  <c r="J59" i="13"/>
  <c r="K59" i="13" l="1"/>
  <c r="J60" i="13"/>
  <c r="K60" i="13" l="1"/>
  <c r="J61" i="13"/>
  <c r="J62" i="13" l="1"/>
  <c r="K61" i="13"/>
  <c r="K62" i="13" l="1"/>
  <c r="J63" i="13"/>
  <c r="J64" i="13" l="1"/>
  <c r="K63" i="13"/>
  <c r="K64" i="13" l="1"/>
  <c r="J65" i="13"/>
  <c r="K65" i="13" s="1"/>
  <c r="B20" i="15" l="1"/>
  <c r="C47" i="13" s="1"/>
  <c r="J33" i="6" l="1"/>
  <c r="J35" i="6"/>
  <c r="J36" i="6"/>
  <c r="K114" i="25"/>
  <c r="J37" i="6"/>
  <c r="J38" i="6" l="1"/>
  <c r="J47" i="6" s="1"/>
  <c r="N47" i="6" s="1"/>
  <c r="P47" i="6" l="1"/>
  <c r="D22" i="3" s="1"/>
  <c r="D24" i="3" s="1"/>
  <c r="D32" i="3" s="1"/>
  <c r="K27" i="13"/>
  <c r="K29" i="13" s="1"/>
  <c r="G47" i="13" s="1"/>
  <c r="M29" i="13" l="1"/>
  <c r="H47" i="13"/>
  <c r="G48" i="13"/>
  <c r="H48" i="13" l="1"/>
  <c r="M48" i="13" s="1"/>
  <c r="G49" i="13"/>
  <c r="M47" i="13"/>
  <c r="R47" i="13" s="1"/>
  <c r="E20" i="15" l="1"/>
  <c r="F20" i="15" s="1"/>
  <c r="I20" i="15" s="1"/>
  <c r="R48" i="13"/>
  <c r="H49" i="13"/>
  <c r="G50" i="13"/>
  <c r="E21" i="15" l="1"/>
  <c r="F21" i="15" s="1"/>
  <c r="J20" i="15"/>
  <c r="S47" i="13" s="1"/>
  <c r="T47" i="13" s="1"/>
  <c r="G51" i="13"/>
  <c r="H50" i="13"/>
  <c r="M50" i="13" s="1"/>
  <c r="M49" i="13"/>
  <c r="R49" i="13" s="1"/>
  <c r="F28" i="15" l="1"/>
  <c r="I21" i="15"/>
  <c r="R50" i="13"/>
  <c r="T50" i="13" s="1"/>
  <c r="D45" i="3" s="1"/>
  <c r="D42" i="3"/>
  <c r="G52" i="13"/>
  <c r="H51" i="13"/>
  <c r="J21" i="15" l="1"/>
  <c r="I28" i="15"/>
  <c r="M51" i="13"/>
  <c r="R51" i="13" s="1"/>
  <c r="H52" i="13"/>
  <c r="M52" i="13" s="1"/>
  <c r="R52" i="13" s="1"/>
  <c r="G53" i="13"/>
  <c r="T49" i="13"/>
  <c r="J28" i="15" l="1"/>
  <c r="S48" i="13"/>
  <c r="T52" i="13"/>
  <c r="D44" i="3"/>
  <c r="H53" i="13"/>
  <c r="M53" i="13" s="1"/>
  <c r="R53" i="13" s="1"/>
  <c r="G54" i="13"/>
  <c r="J30" i="15" l="1"/>
  <c r="D36" i="3" s="1"/>
  <c r="D38" i="3" s="1"/>
  <c r="S67" i="13"/>
  <c r="T48" i="13"/>
  <c r="D43" i="3" s="1"/>
  <c r="T53" i="13"/>
  <c r="T51" i="13"/>
  <c r="D46" i="3" s="1"/>
  <c r="H54" i="13"/>
  <c r="M54" i="13" s="1"/>
  <c r="R54" i="13" s="1"/>
  <c r="G55" i="13"/>
  <c r="D48" i="3" l="1"/>
  <c r="H55" i="13"/>
  <c r="M55" i="13" s="1"/>
  <c r="R55" i="13" s="1"/>
  <c r="G56" i="13"/>
  <c r="T54" i="13"/>
  <c r="G57" i="13" l="1"/>
  <c r="H56" i="13"/>
  <c r="M56" i="13" s="1"/>
  <c r="R56" i="13" s="1"/>
  <c r="T55" i="13"/>
  <c r="G58" i="13" l="1"/>
  <c r="H57" i="13"/>
  <c r="M57" i="13" s="1"/>
  <c r="R57" i="13" s="1"/>
  <c r="T56" i="13"/>
  <c r="T57" i="13" l="1"/>
  <c r="H58" i="13"/>
  <c r="M58" i="13" s="1"/>
  <c r="R58" i="13" s="1"/>
  <c r="G59" i="13"/>
  <c r="G60" i="13" l="1"/>
  <c r="H59" i="13"/>
  <c r="M59" i="13" s="1"/>
  <c r="R59" i="13" s="1"/>
  <c r="T58" i="13"/>
  <c r="T59" i="13" l="1"/>
  <c r="H60" i="13"/>
  <c r="M60" i="13" s="1"/>
  <c r="R60" i="13" s="1"/>
  <c r="G61" i="13"/>
  <c r="H61" i="13" l="1"/>
  <c r="M61" i="13" s="1"/>
  <c r="R61" i="13" s="1"/>
  <c r="G62" i="13"/>
  <c r="T60" i="13"/>
  <c r="G63" i="13" l="1"/>
  <c r="H62" i="13"/>
  <c r="M62" i="13" s="1"/>
  <c r="R62" i="13" s="1"/>
  <c r="T61" i="13"/>
  <c r="T62" i="13" l="1"/>
  <c r="G64" i="13"/>
  <c r="H63" i="13"/>
  <c r="M63" i="13" s="1"/>
  <c r="R63" i="13" s="1"/>
  <c r="T63" i="13" l="1"/>
  <c r="H64" i="13"/>
  <c r="M64" i="13" s="1"/>
  <c r="R64" i="13" s="1"/>
  <c r="G65" i="13"/>
  <c r="H65" i="13" s="1"/>
  <c r="M65" i="13" l="1"/>
  <c r="R65" i="13" s="1"/>
  <c r="H67" i="13"/>
  <c r="T64" i="13"/>
  <c r="R67" i="13" l="1"/>
  <c r="T65" i="13"/>
  <c r="T67" i="13" s="1"/>
  <c r="M67" i="13"/>
</calcChain>
</file>

<file path=xl/sharedStrings.xml><?xml version="1.0" encoding="utf-8"?>
<sst xmlns="http://schemas.openxmlformats.org/spreadsheetml/2006/main" count="5099" uniqueCount="2058">
  <si>
    <t xml:space="preserve">FERC   </t>
  </si>
  <si>
    <t>Line No.</t>
  </si>
  <si>
    <t>Account</t>
  </si>
  <si>
    <t>FERC Account Description</t>
  </si>
  <si>
    <t>Total</t>
  </si>
  <si>
    <t>Grand Total</t>
  </si>
  <si>
    <t xml:space="preserve"> (1)</t>
  </si>
  <si>
    <t xml:space="preserve"> (2)</t>
  </si>
  <si>
    <t xml:space="preserve"> (3)</t>
  </si>
  <si>
    <t xml:space="preserve"> (4)</t>
  </si>
  <si>
    <t>Transmission:</t>
  </si>
  <si>
    <t/>
  </si>
  <si>
    <t>OPERATION:</t>
  </si>
  <si>
    <t>Supervision &amp; Engineering</t>
  </si>
  <si>
    <t>Load Dispatching</t>
  </si>
  <si>
    <t>Station Expenses</t>
  </si>
  <si>
    <t>Misc. Trans. Expenses</t>
  </si>
  <si>
    <t>Rents</t>
  </si>
  <si>
    <t>MAINTENANCE:</t>
  </si>
  <si>
    <t>Structures</t>
  </si>
  <si>
    <t>Station Equipment</t>
  </si>
  <si>
    <t>Overhead Lines</t>
  </si>
  <si>
    <t>Underground Lines</t>
  </si>
  <si>
    <t>Misc. Transm. Plant</t>
  </si>
  <si>
    <t>TRANSM.</t>
  </si>
  <si>
    <t>LABOR</t>
  </si>
  <si>
    <t>ALLOCATED TO</t>
  </si>
  <si>
    <t>TRANSMISSION</t>
  </si>
  <si>
    <t xml:space="preserve"> (5)</t>
  </si>
  <si>
    <t xml:space="preserve"> (6)</t>
  </si>
  <si>
    <t>NIAGARA</t>
  </si>
  <si>
    <t xml:space="preserve"> </t>
  </si>
  <si>
    <t>TOTAL</t>
  </si>
  <si>
    <t>Allocated to</t>
  </si>
  <si>
    <t>Transmission</t>
  </si>
  <si>
    <t>Source/Comments</t>
  </si>
  <si>
    <t>Administrative &amp; General Expenses</t>
  </si>
  <si>
    <t>A&amp;G Salaries</t>
  </si>
  <si>
    <t>Office Supplies &amp; Expenses</t>
  </si>
  <si>
    <t>Outside Services Employed</t>
  </si>
  <si>
    <t>Property Insurance</t>
  </si>
  <si>
    <t>Employee Pensions &amp; Benefits</t>
  </si>
  <si>
    <t>Reg. Commission Expenses</t>
  </si>
  <si>
    <t>Maint of General Plant A/C 932</t>
  </si>
  <si>
    <t>Less A/C 924</t>
  </si>
  <si>
    <t>TOTAL A&amp;G Expense</t>
  </si>
  <si>
    <t>RATE OF</t>
  </si>
  <si>
    <t>RETURN</t>
  </si>
  <si>
    <t>RETURN ON</t>
  </si>
  <si>
    <t>RATE BASE</t>
  </si>
  <si>
    <t xml:space="preserve"> (7)</t>
  </si>
  <si>
    <t>A)  Net Electric Plant in Service</t>
  </si>
  <si>
    <t>B)  Rate Base Adjustments</t>
  </si>
  <si>
    <t>PRODUCTION</t>
  </si>
  <si>
    <t>TITLE</t>
  </si>
  <si>
    <t>SOURCE/COMMENTS</t>
  </si>
  <si>
    <t>COMMON EQUITY</t>
  </si>
  <si>
    <t xml:space="preserve"> TOTAL CAPITALIZATION</t>
  </si>
  <si>
    <t xml:space="preserve">Line </t>
  </si>
  <si>
    <t>No.</t>
  </si>
  <si>
    <t>DESCRIPTION</t>
  </si>
  <si>
    <t>RATIO</t>
  </si>
  <si>
    <t>TOTAL LABOR</t>
  </si>
  <si>
    <t>St. Lawrence</t>
  </si>
  <si>
    <t>Niagara</t>
  </si>
  <si>
    <t>Blenheim-Gilboa</t>
  </si>
  <si>
    <t>Average</t>
  </si>
  <si>
    <t>Other</t>
  </si>
  <si>
    <t>Depreciation</t>
  </si>
  <si>
    <t>Structures &amp; Improvements</t>
  </si>
  <si>
    <t>Towers &amp; Fixtures</t>
  </si>
  <si>
    <t>Poles &amp; Fixtures</t>
  </si>
  <si>
    <t>Overhead Conductors &amp; Devices</t>
  </si>
  <si>
    <t>Underground Conduit</t>
  </si>
  <si>
    <t>Underground Conductors &amp; Devices</t>
  </si>
  <si>
    <t>Roads &amp; Trails</t>
  </si>
  <si>
    <t>Office Furniture &amp; Equipment</t>
  </si>
  <si>
    <t>Transportation Equipment</t>
  </si>
  <si>
    <t>Stores Equipment</t>
  </si>
  <si>
    <t>Tools, Shop &amp; Garage Equipment</t>
  </si>
  <si>
    <t>Laboratory Equipment</t>
  </si>
  <si>
    <t>Power Operated Equipment</t>
  </si>
  <si>
    <t>Communication Equipment</t>
  </si>
  <si>
    <t>Miscellaneous Equipment</t>
  </si>
  <si>
    <t>Other Tangible Property</t>
  </si>
  <si>
    <t>Headquarters</t>
  </si>
  <si>
    <t>Poletti</t>
  </si>
  <si>
    <t>Balance</t>
  </si>
  <si>
    <t>Purchased Power</t>
  </si>
  <si>
    <t xml:space="preserve">                </t>
  </si>
  <si>
    <t>A. OPERATING EXPENSES</t>
  </si>
  <si>
    <t>Operation &amp; Maintenance Expense</t>
  </si>
  <si>
    <t>Depreciation &amp; Amortization Expense</t>
  </si>
  <si>
    <t>Administration &amp; General Expenses</t>
  </si>
  <si>
    <t>TOTAL OPERATING EXPENSE</t>
  </si>
  <si>
    <t>B. RATE BASE</t>
  </si>
  <si>
    <t>Return on Rate Base</t>
  </si>
  <si>
    <t>General Plant</t>
  </si>
  <si>
    <t xml:space="preserve">Labor Ratio (%)  </t>
  </si>
  <si>
    <t xml:space="preserve"> Annual</t>
  </si>
  <si>
    <t>Annual Financial Statements</t>
  </si>
  <si>
    <t>(a)</t>
  </si>
  <si>
    <t>(b)</t>
  </si>
  <si>
    <t>TRANSMISSION REVENUE REQUIREMENT</t>
  </si>
  <si>
    <t>Description</t>
  </si>
  <si>
    <t>Electric</t>
  </si>
  <si>
    <t>Operating Expenses</t>
  </si>
  <si>
    <t>General</t>
  </si>
  <si>
    <t>501 -    Steam Product-Fuel</t>
  </si>
  <si>
    <t>514 -    SP-Maint Misc Stm Pl</t>
  </si>
  <si>
    <t>535 -    HP-Oper Supvr&amp;Engrg</t>
  </si>
  <si>
    <t>537 -    HP-Hydraulic Expense</t>
  </si>
  <si>
    <t>539 -    HP-Misc Hyd Pwr Gen</t>
  </si>
  <si>
    <t>541 -    HP-Maint Supvn&amp;Engrg</t>
  </si>
  <si>
    <t>542 -    HP-Maint of Struct</t>
  </si>
  <si>
    <t>543 -    HP-Maint Res Dam&amp;Wtr</t>
  </si>
  <si>
    <t>544 -    HP-Maint Elect Plant</t>
  </si>
  <si>
    <t>545 -    HP-Maint Misc Hyd Pl</t>
  </si>
  <si>
    <t>546 -    OP-Oper Supvr&amp;Engrg</t>
  </si>
  <si>
    <t>548 -    OP-Generation Expens</t>
  </si>
  <si>
    <t>549 -    OP-Misc Oth Pwr Gen</t>
  </si>
  <si>
    <t>551 -    OP-Maint Supvn &amp; Eng</t>
  </si>
  <si>
    <t>552 -    OP-Maint of Struct</t>
  </si>
  <si>
    <t>553 -    OP-Maint Gen &amp; Elect</t>
  </si>
  <si>
    <t>554 -    OP-Maint Oth Pwr Prd</t>
  </si>
  <si>
    <t>555 -    OPSE-Purchased Power</t>
  </si>
  <si>
    <t>560 -    Trans-Oper Supvr&amp;Eng</t>
  </si>
  <si>
    <t>561 -    Trans-Load Dispatcng</t>
  </si>
  <si>
    <t>562 -    Trans-Station Expens</t>
  </si>
  <si>
    <t>565 -    Trans-Xmsn Elect Oth</t>
  </si>
  <si>
    <t>566 -    Trans-Misc Xmsn Exp</t>
  </si>
  <si>
    <t>568 -    Trans-Maint Sup &amp; En</t>
  </si>
  <si>
    <t>569 -    Trans-Maint Struct</t>
  </si>
  <si>
    <t>570 -    Trans-Maint St Equip</t>
  </si>
  <si>
    <t>571 -    Trans-Maint Ovhd Lns</t>
  </si>
  <si>
    <t>572 -    Trans-Maint Ungrd Ln</t>
  </si>
  <si>
    <t>573 -    Trans-Maint Misc Xmn</t>
  </si>
  <si>
    <t>905 -   Misc. Customer Accts. Exps</t>
  </si>
  <si>
    <t>916 -   Misc. Sales Expense</t>
  </si>
  <si>
    <t>920 -    Misc. Admin &amp; Gen'l Salaries</t>
  </si>
  <si>
    <t>921 -    Misc. Office Supp &amp; Exps</t>
  </si>
  <si>
    <t>922 -   Administrative Expenses Transferred</t>
  </si>
  <si>
    <t>930 -    Obsolete/Excess Inv</t>
  </si>
  <si>
    <t>930.5-R &amp; D Expense</t>
  </si>
  <si>
    <t>931 -    Rents</t>
  </si>
  <si>
    <t>Step-up Transformers</t>
  </si>
  <si>
    <t>FACTS</t>
  </si>
  <si>
    <t>Ratio</t>
  </si>
  <si>
    <t>EXCL</t>
  </si>
  <si>
    <t>Plant   in</t>
  </si>
  <si>
    <t>Accumulated</t>
  </si>
  <si>
    <t>Service</t>
  </si>
  <si>
    <t>Service  (Net)</t>
  </si>
  <si>
    <t>500mW C - C at Astoria</t>
  </si>
  <si>
    <t>Crescent</t>
  </si>
  <si>
    <t>FLYNN  (Holtsville)</t>
  </si>
  <si>
    <t>GOWANUS  (Brooklyn)</t>
  </si>
  <si>
    <t>HARLEM RIVER YARDS  (Bronx)</t>
  </si>
  <si>
    <t>HELLGATE  (Bronx)</t>
  </si>
  <si>
    <t>BRENTWOOD  (Long Island)</t>
  </si>
  <si>
    <t>TOTAL EXCLUDED GENERAL</t>
  </si>
  <si>
    <t>POLETTI  (Astoria)</t>
  </si>
  <si>
    <t>Jarvis</t>
  </si>
  <si>
    <t>Kensico</t>
  </si>
  <si>
    <t>Vischer Ferry</t>
  </si>
  <si>
    <t>KENT  (Brooklyn)</t>
  </si>
  <si>
    <t>POUCH TERMINAL  (Richmond)</t>
  </si>
  <si>
    <t>VERNON BOULEVARD  (Queens)</t>
  </si>
  <si>
    <t>CAPITAL STRUCTURE</t>
  </si>
  <si>
    <t>Cost</t>
  </si>
  <si>
    <t>Weighted</t>
  </si>
  <si>
    <t>Component</t>
  </si>
  <si>
    <t>Amount</t>
  </si>
  <si>
    <t>Long-Term Debt</t>
  </si>
  <si>
    <t>Preferred Stock</t>
  </si>
  <si>
    <t>Common Equity</t>
  </si>
  <si>
    <t xml:space="preserve">         Total</t>
  </si>
  <si>
    <t>Total Proprietary Capital</t>
  </si>
  <si>
    <t xml:space="preserve">  less Preferred </t>
  </si>
  <si>
    <t xml:space="preserve">  less Acct. 216.1</t>
  </si>
  <si>
    <t>Long Term Debt</t>
  </si>
  <si>
    <t>Preferred Cost Rate</t>
  </si>
  <si>
    <t>Ashokan</t>
  </si>
  <si>
    <t>Adjustments</t>
  </si>
  <si>
    <t>CWIP</t>
  </si>
  <si>
    <t>Beginning</t>
  </si>
  <si>
    <t>Unamortized</t>
  </si>
  <si>
    <t>Ending</t>
  </si>
  <si>
    <t>Capitalized</t>
  </si>
  <si>
    <t>Lease Asset/</t>
  </si>
  <si>
    <t>Lease</t>
  </si>
  <si>
    <t>Year</t>
  </si>
  <si>
    <t>(1)</t>
  </si>
  <si>
    <t>(2)</t>
  </si>
  <si>
    <t>(3)</t>
  </si>
  <si>
    <t>(4)</t>
  </si>
  <si>
    <t>(5)</t>
  </si>
  <si>
    <t>Net Adjusted Transmission</t>
  </si>
  <si>
    <t>Net Adjusted General Plant</t>
  </si>
  <si>
    <t>NEW YORK POWER AUTHORITY</t>
  </si>
  <si>
    <t>NEW  YORK POWER AUTHORITY</t>
  </si>
  <si>
    <t>ADMINISTRATIVE AND GENERAL EXPENSES</t>
  </si>
  <si>
    <t>OPERATION &amp; MAINTENANCE EXPENSE SUMMARY</t>
  </si>
  <si>
    <t>ANNUAL DEPRECIATION AND AMORTIZATION EXPENSES</t>
  </si>
  <si>
    <t>TRANSMISSION - RATE BASE CALCULATION</t>
  </si>
  <si>
    <t>ADJUSTED PLANT IN SERVICE</t>
  </si>
  <si>
    <t>BG Trans</t>
  </si>
  <si>
    <t>JAF Trans</t>
  </si>
  <si>
    <t>IP3/Pol Trans</t>
  </si>
  <si>
    <t>Marcy/Clark Trans</t>
  </si>
  <si>
    <t>Marcy South Trans</t>
  </si>
  <si>
    <t>Niagara Trans</t>
  </si>
  <si>
    <t>Sound Cable</t>
  </si>
  <si>
    <t>ST Law Trans</t>
  </si>
  <si>
    <t>765 KV Trans</t>
  </si>
  <si>
    <t>Asset</t>
  </si>
  <si>
    <t>Net</t>
  </si>
  <si>
    <t>Debt Discount/Premium</t>
  </si>
  <si>
    <t>Overall Result</t>
  </si>
  <si>
    <t>SENY</t>
  </si>
  <si>
    <t>Flynn</t>
  </si>
  <si>
    <t>JAF</t>
  </si>
  <si>
    <t>Operating Revenues</t>
  </si>
  <si>
    <t>Wheeling</t>
  </si>
  <si>
    <t>Investments and Other Income</t>
  </si>
  <si>
    <t>Total Operating Expenses</t>
  </si>
  <si>
    <t>Total Operating Revenues</t>
  </si>
  <si>
    <t>Incl</t>
  </si>
  <si>
    <t>Acct #</t>
  </si>
  <si>
    <t>Item</t>
  </si>
  <si>
    <t>FERC</t>
  </si>
  <si>
    <t>Site</t>
  </si>
  <si>
    <t>Asset  No.</t>
  </si>
  <si>
    <t>Electric Plant</t>
  </si>
  <si>
    <t>Plant in</t>
  </si>
  <si>
    <t>SUBTOTAL 500Mw CC</t>
  </si>
  <si>
    <t>SUBTOTAL Small Hydro</t>
  </si>
  <si>
    <t>SUBTOTAL Flynn</t>
  </si>
  <si>
    <t>SUBTOTAL Poletti</t>
  </si>
  <si>
    <t>SUBTOTAL SCPP</t>
  </si>
  <si>
    <t>EXCLUDED TRANSMISSION</t>
  </si>
  <si>
    <t>T</t>
  </si>
  <si>
    <t>TOTAL EXCLUDED TRANSMISSION</t>
  </si>
  <si>
    <t>EXCLUDED GENERAL</t>
  </si>
  <si>
    <t>G</t>
  </si>
  <si>
    <t>Total Included Transmission</t>
  </si>
  <si>
    <t>Windfarm</t>
  </si>
  <si>
    <t>Asset Description</t>
  </si>
  <si>
    <t>Facility</t>
  </si>
  <si>
    <t>TOTAL O&amp;M TRANSMISSION</t>
  </si>
  <si>
    <t xml:space="preserve">       Total Operation</t>
  </si>
  <si>
    <t>NYPA</t>
  </si>
  <si>
    <t>RELICENSING/RECLASSIFICATION EXPENSES</t>
  </si>
  <si>
    <t>Total Expenses</t>
  </si>
  <si>
    <t>Total Plant</t>
  </si>
  <si>
    <t>Cap.Date</t>
  </si>
  <si>
    <t>CALCULATION OF LABOR RATIO</t>
  </si>
  <si>
    <t>DEPRECIATION AND AMORTIZATION EXPENSES (BY FERC ACCOUNT)</t>
  </si>
  <si>
    <t>Included General Plant</t>
  </si>
  <si>
    <t>Included Transmission Plant</t>
  </si>
  <si>
    <t>Total Included General Plant</t>
  </si>
  <si>
    <t>Subtotal General - Structures &amp; Improvements</t>
  </si>
  <si>
    <t>Subtotal General - Office Furniture &amp; Equipment</t>
  </si>
  <si>
    <t>Subtotal General - Transportation Equipment</t>
  </si>
  <si>
    <t>Subtotal General - Stores Equipment</t>
  </si>
  <si>
    <t>Subtotal General - Tools, Shop &amp; Garage Equipment</t>
  </si>
  <si>
    <t>Subtotal General - Laboratory Equipment</t>
  </si>
  <si>
    <t>Subtotal General - Power Operated Equipment</t>
  </si>
  <si>
    <t>Subtotal General - Communication Equipment</t>
  </si>
  <si>
    <t>Subtotal General - Miscellaneous Equipment</t>
  </si>
  <si>
    <t>Subtotal General - Other Tangible Property</t>
  </si>
  <si>
    <t>Subtotal Transmission -  Structures &amp; Improvements</t>
  </si>
  <si>
    <t>Subtotal Transmission -  Station Equipment</t>
  </si>
  <si>
    <t>Subtotal Transmission -  Towers &amp; Fixtures</t>
  </si>
  <si>
    <t>Subtotal Transmission -  Poles &amp; Fixtures</t>
  </si>
  <si>
    <t>Subtotal Transmission -  Overhead Conductors &amp; Devices</t>
  </si>
  <si>
    <t>Subtotal Transmission -  Underground Conduit</t>
  </si>
  <si>
    <t>Subtotal Transmission -  Underground Conductors &amp; Devices</t>
  </si>
  <si>
    <t>Subtotal Transmission -  Roads &amp; Trails</t>
  </si>
  <si>
    <t>Total Included Transmission Plant</t>
  </si>
  <si>
    <t>Depreciation ($)</t>
  </si>
  <si>
    <t>Property</t>
  </si>
  <si>
    <t>Insurance</t>
  </si>
  <si>
    <t>ESTIMATED PREPAYMENTS AND INSURANCE</t>
  </si>
  <si>
    <t>Impairment</t>
  </si>
  <si>
    <t xml:space="preserve"> (2) * (3)</t>
  </si>
  <si>
    <t>Col (1); Ln (2) / Ln (3)</t>
  </si>
  <si>
    <t>LONG-TERM DEBT AND RELATED INTEREST</t>
  </si>
  <si>
    <t>WEIGHTED COST OF CAPITAL</t>
  </si>
  <si>
    <t>FACTS PROJECT PLANT IN SERVICE AND ACCUMULATED DEPRECIATION</t>
  </si>
  <si>
    <t>MATERIALS AND SUPPLIES</t>
  </si>
  <si>
    <t>(c)</t>
  </si>
  <si>
    <t>MARCY-SOUTH CAPITALIZED LEASE AMORTIZATION</t>
  </si>
  <si>
    <t>AND UNAMORTIZED BALANCE</t>
  </si>
  <si>
    <t>INDEX</t>
  </si>
  <si>
    <t>          </t>
  </si>
  <si>
    <t>       </t>
  </si>
  <si>
    <t>                                              </t>
  </si>
  <si>
    <t>Total Impairment - Transmission</t>
  </si>
  <si>
    <t>Total Impairment - Production</t>
  </si>
  <si>
    <t>Total Impairment - General Plant</t>
  </si>
  <si>
    <t>Center</t>
  </si>
  <si>
    <t>Posting</t>
  </si>
  <si>
    <t>Date</t>
  </si>
  <si>
    <t>Unallocated</t>
  </si>
  <si>
    <t>105</t>
  </si>
  <si>
    <t>110</t>
  </si>
  <si>
    <t>115</t>
  </si>
  <si>
    <t>120</t>
  </si>
  <si>
    <t>165</t>
  </si>
  <si>
    <t>125</t>
  </si>
  <si>
    <t>Hell Gate</t>
  </si>
  <si>
    <t>Harlem River</t>
  </si>
  <si>
    <t>Vernon Blvd.</t>
  </si>
  <si>
    <t>23rd &amp; 3rd (Gowanus)</t>
  </si>
  <si>
    <t>N 1st &amp;Grand (Kent)</t>
  </si>
  <si>
    <t>Pouch Terminal</t>
  </si>
  <si>
    <t>Brentwood</t>
  </si>
  <si>
    <t>Power for Jobs</t>
  </si>
  <si>
    <t>Recharge NY</t>
  </si>
  <si>
    <t>Admin. Exp. Transferred-Cr</t>
  </si>
  <si>
    <t>Labor Actual</t>
  </si>
  <si>
    <t>Total Small Hydro</t>
  </si>
  <si>
    <t>Total - Production + Transmission</t>
  </si>
  <si>
    <t>Total - Production Only</t>
  </si>
  <si>
    <t>AE II</t>
  </si>
  <si>
    <t>130-150</t>
  </si>
  <si>
    <t>155-161</t>
  </si>
  <si>
    <t>205-245</t>
  </si>
  <si>
    <t>Total Small Clean Power Plants</t>
  </si>
  <si>
    <t>Name</t>
  </si>
  <si>
    <t>Cost-of-Service Summary</t>
  </si>
  <si>
    <t>925 -    A&amp;G-Injuries &amp; Damages Insurance</t>
  </si>
  <si>
    <t>925</t>
  </si>
  <si>
    <t>Injuries &amp; Damages Insurance</t>
  </si>
  <si>
    <t>PROPERTY INSURANCE ALLOCATION</t>
  </si>
  <si>
    <t>Allocated</t>
  </si>
  <si>
    <t>Expense -</t>
  </si>
  <si>
    <t>Amount ($)</t>
  </si>
  <si>
    <t>Ratio (%)</t>
  </si>
  <si>
    <t>Transmission ($)</t>
  </si>
  <si>
    <t>Notes</t>
  </si>
  <si>
    <t>Injury/Damage</t>
  </si>
  <si>
    <t>Less A/C 925</t>
  </si>
  <si>
    <t>INJURIES &amp; DAMAGES INSURANCE EXPENSE ALLOCATION</t>
  </si>
  <si>
    <t>FACTS Plant-in-Service</t>
  </si>
  <si>
    <t>Reclassified FACTS Transmission Plant</t>
  </si>
  <si>
    <t>Transmission Maintenance</t>
  </si>
  <si>
    <t>Generator Step-Up Transformer Plant-in-Service</t>
  </si>
  <si>
    <t xml:space="preserve">       Total  Maintenance</t>
  </si>
  <si>
    <t>TOTAL ADJUSTED O&amp;M TRANSMISSION</t>
  </si>
  <si>
    <t>TRANSMISSION REVENUE REQUIREMENT SUMMARY</t>
  </si>
  <si>
    <t>NET A&amp;G TRANSMISSION EXPENSE</t>
  </si>
  <si>
    <t xml:space="preserve">     Subtotal</t>
  </si>
  <si>
    <t xml:space="preserve">     Subtotal (Full Transmission)</t>
  </si>
  <si>
    <t>500MW Combined Cycle</t>
  </si>
  <si>
    <t>Capitalized Lease Amortization</t>
  </si>
  <si>
    <t>Total Adjustments</t>
  </si>
  <si>
    <t>TOTAL $</t>
  </si>
  <si>
    <t>Labor Ratio</t>
  </si>
  <si>
    <t>1/</t>
  </si>
  <si>
    <t>2/</t>
  </si>
  <si>
    <t>3/</t>
  </si>
  <si>
    <t>4/</t>
  </si>
  <si>
    <t>1/  Source:</t>
  </si>
  <si>
    <t>Share</t>
  </si>
  <si>
    <t>Rate</t>
  </si>
  <si>
    <t>1/:</t>
  </si>
  <si>
    <t>2/:</t>
  </si>
  <si>
    <t>3/:</t>
  </si>
  <si>
    <t>GENERATOR STEP-UP TRANSFORMERS BREAKOUT</t>
  </si>
  <si>
    <t>(6)</t>
  </si>
  <si>
    <t>(7)</t>
  </si>
  <si>
    <t>Col 1, Ln 2 / Col 1, Ln 1</t>
  </si>
  <si>
    <t xml:space="preserve">    (4)</t>
  </si>
  <si>
    <t>924 -    A&amp;G-Property Insurance</t>
  </si>
  <si>
    <t>Postings $</t>
  </si>
  <si>
    <t>930.5</t>
  </si>
  <si>
    <t>Misc. General Expenses</t>
  </si>
  <si>
    <t>Research &amp; Development</t>
  </si>
  <si>
    <t>930.2</t>
  </si>
  <si>
    <t>Total M&amp;S</t>
  </si>
  <si>
    <t>Inventory</t>
  </si>
  <si>
    <t>NIA</t>
  </si>
  <si>
    <t>STL</t>
  </si>
  <si>
    <t>POL</t>
  </si>
  <si>
    <t>B/G</t>
  </si>
  <si>
    <t>500MW</t>
  </si>
  <si>
    <t>CEC</t>
  </si>
  <si>
    <t>0100/105</t>
  </si>
  <si>
    <t>0100/110</t>
  </si>
  <si>
    <t>0100/115</t>
  </si>
  <si>
    <t>0100/120</t>
  </si>
  <si>
    <t>0100/122</t>
  </si>
  <si>
    <t>0100/125</t>
  </si>
  <si>
    <t>0100/130</t>
  </si>
  <si>
    <t>0100/135</t>
  </si>
  <si>
    <t>0100/140</t>
  </si>
  <si>
    <t>0100/145</t>
  </si>
  <si>
    <t>0100/150</t>
  </si>
  <si>
    <t>0100/155</t>
  </si>
  <si>
    <t>0100/156</t>
  </si>
  <si>
    <t>0100/157</t>
  </si>
  <si>
    <t>0100/158</t>
  </si>
  <si>
    <t>0100/159</t>
  </si>
  <si>
    <t>0100/160</t>
  </si>
  <si>
    <t>0100/161</t>
  </si>
  <si>
    <t>0100/165</t>
  </si>
  <si>
    <t>0100/205</t>
  </si>
  <si>
    <t>0100/210</t>
  </si>
  <si>
    <t>0100/215</t>
  </si>
  <si>
    <t>0100/220</t>
  </si>
  <si>
    <t>0100/225</t>
  </si>
  <si>
    <t>0100/230</t>
  </si>
  <si>
    <t>0100/235</t>
  </si>
  <si>
    <t>0100/240</t>
  </si>
  <si>
    <t>0100/245</t>
  </si>
  <si>
    <t>0100/305</t>
  </si>
  <si>
    <t>0100/310</t>
  </si>
  <si>
    <t>0100/320</t>
  </si>
  <si>
    <t>0100/321</t>
  </si>
  <si>
    <t>0100/410</t>
  </si>
  <si>
    <t>0100/600</t>
  </si>
  <si>
    <t>Astoria Energy II</t>
  </si>
  <si>
    <t>DSM</t>
  </si>
  <si>
    <t>506 -    SP-Misc Steam Power</t>
  </si>
  <si>
    <t>512 -    SP-Maint Boiler Plt</t>
  </si>
  <si>
    <t>538 -    HP-Electric Expenses</t>
  </si>
  <si>
    <t>923 -   Outside Services Employed</t>
  </si>
  <si>
    <t>926 -    A&amp;G-Employee Pension &amp; Benefits</t>
  </si>
  <si>
    <t>928 -    A&amp;G-Regulatory Commission Expense</t>
  </si>
  <si>
    <t>930.2-A&amp;G-Miscellaneous &amp; General Expense</t>
  </si>
  <si>
    <t>935 -    A&amp;G-Maintenance of General Plant</t>
  </si>
  <si>
    <t>Actual</t>
  </si>
  <si>
    <t>Production      </t>
  </si>
  <si>
    <t>Transmission    </t>
  </si>
  <si>
    <t>General         </t>
  </si>
  <si>
    <t>P/T/G</t>
  </si>
  <si>
    <t>Plant Name</t>
  </si>
  <si>
    <t>A/C</t>
  </si>
  <si>
    <t>Allocator</t>
  </si>
  <si>
    <t>Avg. M&amp;S</t>
  </si>
  <si>
    <t>0100/255</t>
  </si>
  <si>
    <t>FERC G/L Accounts</t>
  </si>
  <si>
    <t>HTP Trans</t>
  </si>
  <si>
    <t>Obsolete/Excess Inv</t>
  </si>
  <si>
    <t>Net position at January 1</t>
  </si>
  <si>
    <t>Net position at December 31</t>
  </si>
  <si>
    <t>Astoria 2 (AE-II) Substation</t>
  </si>
  <si>
    <t>930</t>
  </si>
  <si>
    <t>Year-Over-Year Accumulated Depreciation</t>
  </si>
  <si>
    <t>Production</t>
  </si>
  <si>
    <t>Avg. Transmission Plant in Service</t>
  </si>
  <si>
    <t>Cost of Removal to Regulatory Assets - Depreciation:</t>
  </si>
  <si>
    <t>TOTAL REVENUE REQUIREMENT</t>
  </si>
  <si>
    <t>Source</t>
  </si>
  <si>
    <t>A</t>
  </si>
  <si>
    <t>B</t>
  </si>
  <si>
    <t>C</t>
  </si>
  <si>
    <t>D</t>
  </si>
  <si>
    <t>E</t>
  </si>
  <si>
    <t>F</t>
  </si>
  <si>
    <t>H</t>
  </si>
  <si>
    <t>Less line 6</t>
  </si>
  <si>
    <t>Less line 5</t>
  </si>
  <si>
    <t>LN</t>
  </si>
  <si>
    <t>(sum lines 1-14)</t>
  </si>
  <si>
    <t>Project Revenue Requirement Worksheet</t>
  </si>
  <si>
    <t>Line</t>
  </si>
  <si>
    <t>Page, Line, Col.</t>
  </si>
  <si>
    <t>Gross Transmission Plant - Total</t>
  </si>
  <si>
    <t>1a</t>
  </si>
  <si>
    <t>Transmission Accumulated Depreciation</t>
  </si>
  <si>
    <t>1b</t>
  </si>
  <si>
    <t>Net Transmission Plant - Total</t>
  </si>
  <si>
    <t>Line 1 minus Line 1a plus Line 1b</t>
  </si>
  <si>
    <t>O&amp;M TRANSMISSION EXPENSE</t>
  </si>
  <si>
    <t>Total O&amp;M Allocated to Transmission</t>
  </si>
  <si>
    <t>5</t>
  </si>
  <si>
    <t>6</t>
  </si>
  <si>
    <t>7</t>
  </si>
  <si>
    <t>8</t>
  </si>
  <si>
    <t xml:space="preserve">RETURN </t>
  </si>
  <si>
    <t>Annual Allocation Factor for Return on Rate Base</t>
  </si>
  <si>
    <t>Annual Allocation Factor for Return</t>
  </si>
  <si>
    <t>(14)</t>
  </si>
  <si>
    <t>(15)</t>
  </si>
  <si>
    <t>(16)</t>
  </si>
  <si>
    <t>Project Name and #</t>
  </si>
  <si>
    <t>Type</t>
  </si>
  <si>
    <t>Incentive Return in basis Points</t>
  </si>
  <si>
    <t>Col. 3 * Col. 5</t>
  </si>
  <si>
    <t>(Note E)</t>
  </si>
  <si>
    <t>(Note F)</t>
  </si>
  <si>
    <t>1c</t>
  </si>
  <si>
    <t>1d</t>
  </si>
  <si>
    <t>1e</t>
  </si>
  <si>
    <t>1f</t>
  </si>
  <si>
    <t>1g</t>
  </si>
  <si>
    <t>1h</t>
  </si>
  <si>
    <t>1i</t>
  </si>
  <si>
    <t>1j</t>
  </si>
  <si>
    <t>1k</t>
  </si>
  <si>
    <t>1l</t>
  </si>
  <si>
    <t>1m</t>
  </si>
  <si>
    <t>1n</t>
  </si>
  <si>
    <t>1o</t>
  </si>
  <si>
    <t>2</t>
  </si>
  <si>
    <t>Note</t>
  </si>
  <si>
    <t>Letter</t>
  </si>
  <si>
    <t>Incentives</t>
  </si>
  <si>
    <t>Rate Base</t>
  </si>
  <si>
    <t>100 Basis Point Incentive Return</t>
  </si>
  <si>
    <t>$</t>
  </si>
  <si>
    <t>%</t>
  </si>
  <si>
    <t xml:space="preserve">  Long Term Debt </t>
  </si>
  <si>
    <t xml:space="preserve">  Common Stock</t>
  </si>
  <si>
    <t>Total  (sum lines 3-4)</t>
  </si>
  <si>
    <t>100 Basis Point Incentive Return multiplied by Rate Base (line 1 * line 5)</t>
  </si>
  <si>
    <t>Incremental Return for 100 basis point increase in ROE</t>
  </si>
  <si>
    <t>(Line 6 less line 7)</t>
  </si>
  <si>
    <t>Incremental Return for 100 basis point increase in ROE divided by Rate Base</t>
  </si>
  <si>
    <t>(Line 8 / line 9)</t>
  </si>
  <si>
    <t xml:space="preserve">Notes: </t>
  </si>
  <si>
    <t>Line 5 includes a 100 basis point increase in ROE that is used only to determine the increase in return and income taxes associated with</t>
  </si>
  <si>
    <t>Project True-Up</t>
  </si>
  <si>
    <t>(d)</t>
  </si>
  <si>
    <t>(e)</t>
  </si>
  <si>
    <t>True-Up</t>
  </si>
  <si>
    <t>Applicable</t>
  </si>
  <si>
    <t>Adjustment</t>
  </si>
  <si>
    <t>Interest</t>
  </si>
  <si>
    <t>Project</t>
  </si>
  <si>
    <t>Revenue</t>
  </si>
  <si>
    <t>Principal</t>
  </si>
  <si>
    <t xml:space="preserve">Prior Period </t>
  </si>
  <si>
    <t>Rate on</t>
  </si>
  <si>
    <t>Number</t>
  </si>
  <si>
    <t>Under/(Over)</t>
  </si>
  <si>
    <t>Line 24</t>
  </si>
  <si>
    <t>Schedule 1</t>
  </si>
  <si>
    <t>…</t>
  </si>
  <si>
    <t>Subtotal</t>
  </si>
  <si>
    <t>Under/(Over) Recovery</t>
  </si>
  <si>
    <t>FERC Refund Interest Rate</t>
  </si>
  <si>
    <t>Interest Rate (Note A):</t>
  </si>
  <si>
    <t>Interest Rates under Section 35.19(a)</t>
  </si>
  <si>
    <t>January</t>
  </si>
  <si>
    <t>February</t>
  </si>
  <si>
    <t>March</t>
  </si>
  <si>
    <t>April</t>
  </si>
  <si>
    <t>May</t>
  </si>
  <si>
    <t>June</t>
  </si>
  <si>
    <t>July</t>
  </si>
  <si>
    <t>August</t>
  </si>
  <si>
    <t>September</t>
  </si>
  <si>
    <t>October</t>
  </si>
  <si>
    <t>November</t>
  </si>
  <si>
    <t>December</t>
  </si>
  <si>
    <t>Avg. Monthly FERC Rate</t>
  </si>
  <si>
    <t>Prior Period Adjustments</t>
  </si>
  <si>
    <t xml:space="preserve">Project or </t>
  </si>
  <si>
    <t>Total Adjustment</t>
  </si>
  <si>
    <t xml:space="preserve">A Description of the Adjustment </t>
  </si>
  <si>
    <t>In Dollars</t>
  </si>
  <si>
    <t>(Note  A)</t>
  </si>
  <si>
    <t>Col. (c) + Col. (d)</t>
  </si>
  <si>
    <t>25a</t>
  </si>
  <si>
    <t>25b</t>
  </si>
  <si>
    <t>25c</t>
  </si>
  <si>
    <t>..</t>
  </si>
  <si>
    <t>Notes:</t>
  </si>
  <si>
    <t>GENERAL DEPRECIATION EXPENSE</t>
  </si>
  <si>
    <t>Total General Depreciation Expense</t>
  </si>
  <si>
    <t>Project 2</t>
  </si>
  <si>
    <t>Annual Allocation Factor for Expenses</t>
  </si>
  <si>
    <t>(Sum Col. 6, 9 &amp; 10)</t>
  </si>
  <si>
    <t>check</t>
  </si>
  <si>
    <t>Docket Number</t>
  </si>
  <si>
    <t>Authorized Amount</t>
  </si>
  <si>
    <t xml:space="preserve"> TOTAL         (sum lines 1-9)</t>
  </si>
  <si>
    <t>352</t>
  </si>
  <si>
    <t>353</t>
  </si>
  <si>
    <t xml:space="preserve">     5 Year Property</t>
  </si>
  <si>
    <t xml:space="preserve">     10 Year Property</t>
  </si>
  <si>
    <t xml:space="preserve">     20 Year Property</t>
  </si>
  <si>
    <t xml:space="preserve">     7 Year Property</t>
  </si>
  <si>
    <t>Per FERC order (Note H)</t>
  </si>
  <si>
    <t>The Total General and Common Depreciation Expense excludes any depreciation expense directly associated with a project and thereby included in page 2 column 8.</t>
  </si>
  <si>
    <t>Reserved</t>
  </si>
  <si>
    <t>Cost = Schedule E, line 2, Cost plus .01</t>
  </si>
  <si>
    <t>or Project</t>
  </si>
  <si>
    <t>True-up Adjustment</t>
  </si>
  <si>
    <t>NET ADJUSTED REVENUE REQUIREMENT</t>
  </si>
  <si>
    <t xml:space="preserve">Sum lines 1, 2, &amp; 3 </t>
  </si>
  <si>
    <t>Breakout by Project</t>
  </si>
  <si>
    <t>Total Break out</t>
  </si>
  <si>
    <t>PROJECT REVENUE REQUIREMENT WORKSHEET</t>
  </si>
  <si>
    <t>INCENTIVES</t>
  </si>
  <si>
    <t>PROJECT TRUE-UP</t>
  </si>
  <si>
    <t xml:space="preserve">DEPRECIATION AND AMORTIZATION RATES </t>
  </si>
  <si>
    <t>MARCY-SOUTH CAPITALIZED LEASE AMORTIZATION AND UNAMORTIZED BALANCE</t>
  </si>
  <si>
    <t>Page 1 of 2</t>
  </si>
  <si>
    <t>Page 2 of 2</t>
  </si>
  <si>
    <t>TRANSMISSION (353 Station Equip.)</t>
  </si>
  <si>
    <t>930.1-A&amp;G-General Advertising Expense</t>
  </si>
  <si>
    <t>930.1</t>
  </si>
  <si>
    <t>General Advertising Expense</t>
  </si>
  <si>
    <t>Interest LTD (including Swaps, Deferred Refinancing)</t>
  </si>
  <si>
    <t>Land</t>
  </si>
  <si>
    <t>Construction in progress</t>
  </si>
  <si>
    <t>Production - Hydro</t>
  </si>
  <si>
    <t>Production - Gas turbine/combined cycle</t>
  </si>
  <si>
    <t>Category</t>
  </si>
  <si>
    <t>Transmission Total</t>
  </si>
  <si>
    <t>Production - Hydro Total</t>
  </si>
  <si>
    <t>Production - Gas turbine/combined cycle Total</t>
  </si>
  <si>
    <t>Land Total</t>
  </si>
  <si>
    <t>General Total</t>
  </si>
  <si>
    <t>Construction in progress Total</t>
  </si>
  <si>
    <t>SUBTOTAL Astoria 2 (AE-II) Substation</t>
  </si>
  <si>
    <t>Capital assets, not being depreciated:</t>
  </si>
  <si>
    <t>Total capital assets not being depreciated</t>
  </si>
  <si>
    <t>Capital assets, being depreciated:</t>
  </si>
  <si>
    <t>Total capital assets, being depreciated</t>
  </si>
  <si>
    <t>Power Sales</t>
  </si>
  <si>
    <t>Transmission Charges</t>
  </si>
  <si>
    <t>Wheeling Charges</t>
  </si>
  <si>
    <t>Fuel Oil and Gas</t>
  </si>
  <si>
    <t>Operations</t>
  </si>
  <si>
    <t>Maintenance</t>
  </si>
  <si>
    <t>Operating Income</t>
  </si>
  <si>
    <t>Nonoperating Revenues</t>
  </si>
  <si>
    <t>Nonoperating Expenses</t>
  </si>
  <si>
    <t>Contribution to New York State</t>
  </si>
  <si>
    <t>Interest on Long-Term Debt</t>
  </si>
  <si>
    <t>Interest Capitalized</t>
  </si>
  <si>
    <t>Amortization of Debt Premium</t>
  </si>
  <si>
    <t>Interest - Other</t>
  </si>
  <si>
    <t>Net Income Before Contributed Capital</t>
  </si>
  <si>
    <t>Contributed Capital - Wind Farm Transmission  Assets</t>
  </si>
  <si>
    <t>Change in net position</t>
  </si>
  <si>
    <t>Liabilities, Deferred Inflows and Net Position</t>
  </si>
  <si>
    <t>Current Liabilities:</t>
  </si>
  <si>
    <t>Accounts payable and accrued liabilities</t>
  </si>
  <si>
    <t>Short-term debt</t>
  </si>
  <si>
    <t>Long-term debt due within one year</t>
  </si>
  <si>
    <t>Capital lease obligation due within one year</t>
  </si>
  <si>
    <t>Risk management activities - derivatives</t>
  </si>
  <si>
    <t>Total current liabilities</t>
  </si>
  <si>
    <t>Noncurrent liabilities:</t>
  </si>
  <si>
    <t>Long-term debt:</t>
  </si>
  <si>
    <t>Senior:</t>
  </si>
  <si>
    <t>Revenue bonds</t>
  </si>
  <si>
    <t>Adjustable rate tender notes</t>
  </si>
  <si>
    <t>Subordinated:</t>
  </si>
  <si>
    <t>Commercial paper</t>
  </si>
  <si>
    <t>Total long-term debt</t>
  </si>
  <si>
    <t>Other noncurrent liabilities:</t>
  </si>
  <si>
    <t>Capital lease obligation</t>
  </si>
  <si>
    <t>Liability to decommission divested nuclear facilities</t>
  </si>
  <si>
    <t>Disposal of spent nuclear fuel</t>
  </si>
  <si>
    <t>Relicensing</t>
  </si>
  <si>
    <t>Other long-term liabilities</t>
  </si>
  <si>
    <t>Total other noncurrent liabilities</t>
  </si>
  <si>
    <t>Total noncurrent liabilities</t>
  </si>
  <si>
    <t>Total liabilities</t>
  </si>
  <si>
    <t>Deferred inflows:</t>
  </si>
  <si>
    <t>Cost of removal obligation</t>
  </si>
  <si>
    <t>Net position:</t>
  </si>
  <si>
    <t>Net investment in capital assets</t>
  </si>
  <si>
    <t>Restricted</t>
  </si>
  <si>
    <t>Unrestricted</t>
  </si>
  <si>
    <t>Total net position</t>
  </si>
  <si>
    <t>Total liabilities, deferred inflows and net position</t>
  </si>
  <si>
    <t>Assets and Deferred Outflows</t>
  </si>
  <si>
    <t>Cash and cash equivalents</t>
  </si>
  <si>
    <t>Investment in securities</t>
  </si>
  <si>
    <t>Receivables - customers</t>
  </si>
  <si>
    <t>Materials and supplies, at average Cost:</t>
  </si>
  <si>
    <t>Plant and general</t>
  </si>
  <si>
    <t>Fuel</t>
  </si>
  <si>
    <t>Miscellaneous receivables and other</t>
  </si>
  <si>
    <t>Total current assets</t>
  </si>
  <si>
    <t>Noncurrent Assets:</t>
  </si>
  <si>
    <t>Current Assets:</t>
  </si>
  <si>
    <t>Restricted funds:</t>
  </si>
  <si>
    <t>Total restricted assets</t>
  </si>
  <si>
    <t>Capital funds:</t>
  </si>
  <si>
    <t>Capital Assets</t>
  </si>
  <si>
    <t>Capital assets not being depreciated</t>
  </si>
  <si>
    <t>Capital assets, net of accumulated depreciation</t>
  </si>
  <si>
    <t>Total capital funds</t>
  </si>
  <si>
    <t>Total capital assets</t>
  </si>
  <si>
    <t>Other noncurrent assets:</t>
  </si>
  <si>
    <t>Receivable - New York State</t>
  </si>
  <si>
    <t>Notes receivable - nuclear plant sale</t>
  </si>
  <si>
    <t>Other long-term assets</t>
  </si>
  <si>
    <t>Total other noncurrent assets</t>
  </si>
  <si>
    <t>Total noncurrent assets</t>
  </si>
  <si>
    <t>Total assets</t>
  </si>
  <si>
    <t>Deferred outflows:</t>
  </si>
  <si>
    <t>Total assets and deferred outflows</t>
  </si>
  <si>
    <t>Unadjusted General Plant Depreciation</t>
  </si>
  <si>
    <t>Subordinated Notes, Series 2012</t>
  </si>
  <si>
    <t>COST OF REMOVAL</t>
  </si>
  <si>
    <t>Production - Land</t>
  </si>
  <si>
    <t>Production - Gas Turbine / Combined Cycle</t>
  </si>
  <si>
    <t>Transmission - Land</t>
  </si>
  <si>
    <t>Transmission - Asset Impairment</t>
  </si>
  <si>
    <t>General - Land</t>
  </si>
  <si>
    <t>General - Asset Impairment</t>
  </si>
  <si>
    <t>General - Cost of Removal</t>
  </si>
  <si>
    <t>Operation and Maintenance Summary</t>
  </si>
  <si>
    <t>TOTALS</t>
  </si>
  <si>
    <t>OVERALL</t>
  </si>
  <si>
    <t>RESULT</t>
  </si>
  <si>
    <t xml:space="preserve">              FERC by accounts and profit center</t>
  </si>
  <si>
    <t>Generator Step-ups</t>
  </si>
  <si>
    <t>GENERAL</t>
  </si>
  <si>
    <t>ADMIN &amp; GENERAL</t>
  </si>
  <si>
    <t>403 -    Depreciation Expense</t>
  </si>
  <si>
    <t>New York Power Authority</t>
  </si>
  <si>
    <t>Capital Assets - Note 5</t>
  </si>
  <si>
    <t>balance</t>
  </si>
  <si>
    <t>Additions</t>
  </si>
  <si>
    <t>Deletions</t>
  </si>
  <si>
    <t>Production – Hydro</t>
  </si>
  <si>
    <t>Production – Gas</t>
  </si>
  <si>
    <t>turbine/combined cycle</t>
  </si>
  <si>
    <t>Major</t>
  </si>
  <si>
    <t>O&amp;M AND A&amp;G SUMMARY</t>
  </si>
  <si>
    <t>O&amp;M AND A&amp;G DETAIL</t>
  </si>
  <si>
    <t>EXCLUDED PLANT IN SERVICE</t>
  </si>
  <si>
    <t>Accumulated decrease in fair value of hedging derivatives</t>
  </si>
  <si>
    <t>Investment Income</t>
  </si>
  <si>
    <t>PLANT IN SERVICE DETAIL</t>
  </si>
  <si>
    <t>Gross Plant in</t>
  </si>
  <si>
    <t>Service Ratio</t>
  </si>
  <si>
    <t>926 -    A&amp;G-Employee Pension &amp; Benefits(PBOP)</t>
  </si>
  <si>
    <t xml:space="preserve">Actual Revenues </t>
  </si>
  <si>
    <t>Received (Note 1)</t>
  </si>
  <si>
    <t>Requirement (Note 2)</t>
  </si>
  <si>
    <t>Line 25, Col. (e)</t>
  </si>
  <si>
    <t>Less EPRI Dues</t>
  </si>
  <si>
    <t>Less A/C 928</t>
  </si>
  <si>
    <t>Less line 8</t>
  </si>
  <si>
    <t>PBOP Adjustment</t>
  </si>
  <si>
    <t xml:space="preserve">CAPITAL STRUCTURE AND COST OF CAPITAL </t>
  </si>
  <si>
    <t>LABOR  RATIO</t>
  </si>
  <si>
    <t>Col (1) * Col (2)</t>
  </si>
  <si>
    <t>Col (3); Ln (1) + Ln (2)</t>
  </si>
  <si>
    <t>Income</t>
  </si>
  <si>
    <t>St. Lawrence/FDR</t>
  </si>
  <si>
    <t>Massena-Marcy</t>
  </si>
  <si>
    <t>Marcy-South</t>
  </si>
  <si>
    <t>New Project</t>
  </si>
  <si>
    <t>Microwave Tower Rental Income</t>
  </si>
  <si>
    <t>MICROWAVE TOWER RENTAL INCOME</t>
  </si>
  <si>
    <t>Adjustments to Rate Base</t>
  </si>
  <si>
    <t>CAPITAL ASSETS - Note 5 ($ Millions)</t>
  </si>
  <si>
    <t>Recharge New York</t>
  </si>
  <si>
    <t>Base PBOP Amount</t>
  </si>
  <si>
    <t>Operation and Maintenance Detail</t>
  </si>
  <si>
    <t>Line 4 less line 3</t>
  </si>
  <si>
    <t>Line 1 less line 2</t>
  </si>
  <si>
    <t>PBOP contained in Cost of Service</t>
  </si>
  <si>
    <t>Flexible Alternating Current Transmission System device</t>
  </si>
  <si>
    <t>Note 1</t>
  </si>
  <si>
    <t>FACTS (Note 1)</t>
  </si>
  <si>
    <t>NTAC ATRR</t>
  </si>
  <si>
    <t>Reference</t>
  </si>
  <si>
    <t xml:space="preserve">STATEMENT OF REVENUES, EXPENSES AND CHANGES IN NET POSITION </t>
  </si>
  <si>
    <t>(sum lines 1-4)</t>
  </si>
  <si>
    <t>(sum lines 6-11)</t>
  </si>
  <si>
    <t>(sum lines 5 &amp; 12)</t>
  </si>
  <si>
    <t>(Page 1, line 8)</t>
  </si>
  <si>
    <t>(Col. 7 * Col. 8)</t>
  </si>
  <si>
    <t>NTAC Facilities</t>
  </si>
  <si>
    <t xml:space="preserve">The revenue requirements shown on lines 11 and 11a et seq. and annual revenue requirements.  If the first year is a partial year, 1/12 of the amounts should be recovered for every month of the Rate Year. </t>
  </si>
  <si>
    <t>STEP-UP TRANSFORMERS O&amp;M ALLOCATOR</t>
  </si>
  <si>
    <t>FACTS O&amp;M ALLOCATOR</t>
  </si>
  <si>
    <t>PROPERTY INSURANCE ALLOCATOR</t>
  </si>
  <si>
    <t>Removed Step-up Transmission O&amp;M</t>
  </si>
  <si>
    <t>($)</t>
  </si>
  <si>
    <t>Insurance ($)</t>
  </si>
  <si>
    <t>Prepayments ($)</t>
  </si>
  <si>
    <t>Obligation ($)</t>
  </si>
  <si>
    <t>Lease/Asset ($)</t>
  </si>
  <si>
    <t>Amortization ($)</t>
  </si>
  <si>
    <t>Inventory ($)</t>
  </si>
  <si>
    <t>M&amp;S ($)</t>
  </si>
  <si>
    <t>Service ($)</t>
  </si>
  <si>
    <t>Service (Net $)</t>
  </si>
  <si>
    <t>Expense ($)</t>
  </si>
  <si>
    <t>Service  (Net $)</t>
  </si>
  <si>
    <t>Depreciation Expense ($)</t>
  </si>
  <si>
    <t>Electric Plant in Service ($)</t>
  </si>
  <si>
    <t>Accumulated Depreciation ($)</t>
  </si>
  <si>
    <t>Electric Plant in Service  (Net $ )</t>
  </si>
  <si>
    <t>Electric Plant in Service  (Net $)</t>
  </si>
  <si>
    <t>Project Gross Plant ($)</t>
  </si>
  <si>
    <t>Project Accumulated Depreciation ($)</t>
  </si>
  <si>
    <t>Annual Allocation for Expenses ($)</t>
  </si>
  <si>
    <t>Project Net Plant ($)</t>
  </si>
  <si>
    <t>Annual Return Charge ($)</t>
  </si>
  <si>
    <t>Project Depreciation/Amortization Expense ($)</t>
  </si>
  <si>
    <t>Annual Revenue Requirement ($)</t>
  </si>
  <si>
    <t>Incentive Return ($)</t>
  </si>
  <si>
    <t>Total Annual Revenue Requirement ($)</t>
  </si>
  <si>
    <t>True-Up Adjustment ($)</t>
  </si>
  <si>
    <t>Net Revenue Requirement ($)</t>
  </si>
  <si>
    <t>LABOR AMOUNT ($)</t>
  </si>
  <si>
    <t>PLANT ($)</t>
  </si>
  <si>
    <t>GENERAL PLANT ($)</t>
  </si>
  <si>
    <t>TRANSMISSION ($)</t>
  </si>
  <si>
    <t>ANNUAL DEPRECIATION AND AMORTIZATION EXPENSES ($)</t>
  </si>
  <si>
    <t>A&amp;G ($)</t>
  </si>
  <si>
    <t>OPERATION &amp; MAINTENANCE EXPENSE SUMMARY ($)</t>
  </si>
  <si>
    <t>(sum lines 13-16)</t>
  </si>
  <si>
    <t>5/</t>
  </si>
  <si>
    <t>6/</t>
  </si>
  <si>
    <t>Amount Actually Received for Transmission Service</t>
  </si>
  <si>
    <t>Preferred Dividends</t>
  </si>
  <si>
    <t>LTD Cost Rate</t>
  </si>
  <si>
    <t>POSTRETIREMENT BENEFITS OTHER THAN PENSIONS (PBOP)</t>
  </si>
  <si>
    <t>PBOP Capitalized</t>
  </si>
  <si>
    <t>(Net $)</t>
  </si>
  <si>
    <t>J. A. FitzPatrick</t>
  </si>
  <si>
    <t>Transmission CWIP, Regulatory Asset and Abandoned Plant</t>
  </si>
  <si>
    <t>Inclusive of any CWIP, Unamortized Regulatory Asset or Unamortized Abandoned Plant balances included in rate base when authorized by FERC order.</t>
  </si>
  <si>
    <t>Project Net Plant is the Project Gross Plant Identified in Column 3 less the associated Accumulated Depreciation in page 2, column 4.  Net Plant includes any FERC approved CWIP, Unamortized Abandoned Plant and Regulatory Asset.</t>
  </si>
  <si>
    <t>Col (2)+(5)</t>
  </si>
  <si>
    <t xml:space="preserve"> (1) + (4)</t>
  </si>
  <si>
    <t>CAPITALIZATION RATIO</t>
  </si>
  <si>
    <t xml:space="preserve">COST RATE </t>
  </si>
  <si>
    <t>AVERAGE</t>
  </si>
  <si>
    <t xml:space="preserve">WEIGHTED  </t>
  </si>
  <si>
    <t>Note 2</t>
  </si>
  <si>
    <t>Adjustments   (Note 2)</t>
  </si>
  <si>
    <t>(Note A)</t>
  </si>
  <si>
    <t>Incentive Return</t>
  </si>
  <si>
    <t>Net Transmission Plant</t>
  </si>
  <si>
    <t>Line 7 + line 8 + line 9</t>
  </si>
  <si>
    <t>Exhibit No. PA-102, INDEX</t>
  </si>
  <si>
    <t>Total Capital Assets</t>
  </si>
  <si>
    <t>Less CWIP</t>
  </si>
  <si>
    <t>Total Assets in Service</t>
  </si>
  <si>
    <t>Comprising:</t>
  </si>
  <si>
    <t>Service - Net ($)</t>
  </si>
  <si>
    <t>Unadjusted Depreciation</t>
  </si>
  <si>
    <t>Total Assets in Service - As per ATRR</t>
  </si>
  <si>
    <t>Capital Assets not being depreciated</t>
  </si>
  <si>
    <t>Capital Assets being depreciated</t>
  </si>
  <si>
    <t>Adjustments for ATRR</t>
  </si>
  <si>
    <t>Cost of Removal (note 1)</t>
  </si>
  <si>
    <t>Excluded (note 2)</t>
  </si>
  <si>
    <t>Adjustments to Rate Base (note 3)</t>
  </si>
  <si>
    <t>RECONCILIATIONS BETWEEN ANNUAL REPORT &amp; ATRR</t>
  </si>
  <si>
    <t>As per Annual Report</t>
  </si>
  <si>
    <t>925 - Injuries &amp; Damages Insurance as allocated</t>
  </si>
  <si>
    <t>924 -Property Insurance as allocated</t>
  </si>
  <si>
    <t>A&amp;G allocated to Production and General</t>
  </si>
  <si>
    <t>Less A/C 924 - Property Insurance</t>
  </si>
  <si>
    <t>Less A/C 925 - Injuries &amp; Damages Insurance</t>
  </si>
  <si>
    <t>OPERATION &amp; MAINTANANCE EXPENSES</t>
  </si>
  <si>
    <t>Cost of Removal: Bringing back to accumulated depreciation cost of removal which was reclassified to regulatory liabilities in annual report</t>
  </si>
  <si>
    <t>Excluded: Assets not recoverable under ATRR</t>
  </si>
  <si>
    <t>Excluded Expenses</t>
  </si>
  <si>
    <t>As per ATRR</t>
  </si>
  <si>
    <t>Total O&amp;M</t>
  </si>
  <si>
    <t>Operations &amp; Maintenance Expenses - as per Annual Report</t>
  </si>
  <si>
    <t>Operations &amp; Maintenance Expenses - as per ATRR</t>
  </si>
  <si>
    <t>MATERIALS &amp; SUPPLIES</t>
  </si>
  <si>
    <t>Plant and General</t>
  </si>
  <si>
    <t>Long-Term</t>
  </si>
  <si>
    <t>Short-Term</t>
  </si>
  <si>
    <t>Long -Term Debt</t>
  </si>
  <si>
    <t>INTEREST ON LONG-TERM DEBT</t>
  </si>
  <si>
    <t>Transmission - Cost of Removal 1/</t>
  </si>
  <si>
    <t>Excluded Transmission   2/</t>
  </si>
  <si>
    <t>2/   Excluded Transmission: Assets not recoverable under ATRR, FERC Accounts 350 and 352-359 for 500 MW, AEII, Poletti, SCPPs, Small Hydro, and Flynn.</t>
  </si>
  <si>
    <t>Schedule B1, Col 6, Ln 26</t>
  </si>
  <si>
    <t>Schedule C1, Col 5, Ln 10</t>
  </si>
  <si>
    <t>Schedule C1, Col 7, Ln 10</t>
  </si>
  <si>
    <t>Schedule F1</t>
  </si>
  <si>
    <t>Schedule A1, Col 5, Ln 17</t>
  </si>
  <si>
    <t>Schedule A2, Col 5, Ln 22</t>
  </si>
  <si>
    <t>SCHEDULE  A1</t>
  </si>
  <si>
    <t>Exhibit No. PA-102, SCH-A1</t>
  </si>
  <si>
    <t>SCHEDULE   A2</t>
  </si>
  <si>
    <t>Exhibit No. PA-102, SCH-A2</t>
  </si>
  <si>
    <t>SCHEDULE   B1</t>
  </si>
  <si>
    <t>Exhibit No. PA-102, SCH-B1</t>
  </si>
  <si>
    <t>Exhibit No. PA-102, WP-AE</t>
  </si>
  <si>
    <t>WP-AF</t>
  </si>
  <si>
    <t>REVENUE REQUIREMENT</t>
  </si>
  <si>
    <t>Compensation for FACTS through the NYISO’s issuance of Transmission Congestion Contract (“TCC”) payments</t>
  </si>
  <si>
    <t>Timing differences</t>
  </si>
  <si>
    <t>SENY load (note 4)</t>
  </si>
  <si>
    <t>FACTS revenue (note 5)</t>
  </si>
  <si>
    <t>(8)</t>
  </si>
  <si>
    <t>(9)</t>
  </si>
  <si>
    <t>(10)</t>
  </si>
  <si>
    <t>(11)</t>
  </si>
  <si>
    <t>Schedule B2, Col 4, line 14</t>
  </si>
  <si>
    <t>Schedule B2, Col 4, line 13</t>
  </si>
  <si>
    <t>Schedule B2, Col 4, line 11</t>
  </si>
  <si>
    <t>Schedule B2, Col 4, line 12</t>
  </si>
  <si>
    <t>WP-BG, Col 4</t>
  </si>
  <si>
    <t>SCHEDULE B2</t>
  </si>
  <si>
    <t>Exhibit No. PA-102, SCH- B2</t>
  </si>
  <si>
    <t>Exhibit No. PA-102, WP-BE</t>
  </si>
  <si>
    <t>WORK PAPER AA</t>
  </si>
  <si>
    <t>Exhibit No. PA-102, WP-AA</t>
  </si>
  <si>
    <t>Exhibit No. PA-102, SCH-B3</t>
  </si>
  <si>
    <t>SCHEDULE C1</t>
  </si>
  <si>
    <t>Exhibit No. PA-102, SCH-C1</t>
  </si>
  <si>
    <t>1/  Schedule B2; Net Electric Plant in Service; Ln 17</t>
  </si>
  <si>
    <t>2/  Schedule B2; Net Electric Plant in Service; Ln 25</t>
  </si>
  <si>
    <t>SCHEDULE  D1</t>
  </si>
  <si>
    <t>Exhibit No. PA-102, SCH-D1</t>
  </si>
  <si>
    <t>4/  WP-BD; Average of Year-end Unamortized Balances, Col 5</t>
  </si>
  <si>
    <t xml:space="preserve"> from WP-DA</t>
  </si>
  <si>
    <t>from WP-DA</t>
  </si>
  <si>
    <t>Exhibit No. PA-102, SCH-E1</t>
  </si>
  <si>
    <t>WP-BE</t>
  </si>
  <si>
    <t>Exhibit No. PA-102, SCH-F1</t>
  </si>
  <si>
    <t>Exhibit PA-102, SCH-F1</t>
  </si>
  <si>
    <t>Schedule B2, line 17, col 10</t>
  </si>
  <si>
    <t>Schedule A1, line 17, col 5 and Schedule A2, line 22, Col 5</t>
  </si>
  <si>
    <t>Schedule C1 line 10, col 7</t>
  </si>
  <si>
    <t>(Schedule F2, Line 10  * (Col. 12/100)* Col. 7)</t>
  </si>
  <si>
    <r>
      <t xml:space="preserve">Schedule B3 - </t>
    </r>
    <r>
      <rPr>
        <b/>
        <sz val="12"/>
        <color indexed="8"/>
        <rFont val="Calibri"/>
        <family val="2"/>
        <scheme val="minor"/>
      </rPr>
      <t>Depreciation and Amortization Rates</t>
    </r>
    <r>
      <rPr>
        <b/>
        <sz val="12"/>
        <rFont val="Calibri"/>
        <family val="2"/>
        <scheme val="minor"/>
      </rPr>
      <t xml:space="preserve"> </t>
    </r>
  </si>
  <si>
    <t>Schedule C1, lines 7, 8, &amp; 9 (Note B)</t>
  </si>
  <si>
    <t>Schedule F2</t>
  </si>
  <si>
    <t>Exhibit No. PA-102, SCH-F2</t>
  </si>
  <si>
    <t xml:space="preserve">Schedule C1, line 10, Col. 5 </t>
  </si>
  <si>
    <t>(Schedule D1, line 1)</t>
  </si>
  <si>
    <t>(Schedule D1, line 2)</t>
  </si>
  <si>
    <t>(Schedule C1, line 1, col. (1)</t>
  </si>
  <si>
    <t>Return    (Schedule C1, line 10, Col. 7)</t>
  </si>
  <si>
    <t>Exhibit No. PA-102, SCH-F3</t>
  </si>
  <si>
    <t>Schedule F3</t>
  </si>
  <si>
    <t>Schedule F2 Using Actual Cost Data</t>
  </si>
  <si>
    <t>WORK PAPER AB</t>
  </si>
  <si>
    <t>Sch A1; Col 4, Ln 12</t>
  </si>
  <si>
    <t>Exhibit No. PA-102, WP-AD</t>
  </si>
  <si>
    <t>WORK PAPER AD</t>
  </si>
  <si>
    <t>Sch B2; Col 5, Sum Ln 5, 6 and 10</t>
  </si>
  <si>
    <t>Sch A1: Col 4, Ln 12</t>
  </si>
  <si>
    <t>WORK PAPER AC</t>
  </si>
  <si>
    <t>WORK PAPER AE</t>
  </si>
  <si>
    <t>Exhibit No. PA-102, WP-AF</t>
  </si>
  <si>
    <t>WORK PAPER AF</t>
  </si>
  <si>
    <t>Exhibit No. PA-102, WP-AG</t>
  </si>
  <si>
    <t>WORK PAPER AG</t>
  </si>
  <si>
    <t>WORK PAPER AH</t>
  </si>
  <si>
    <t>Exhibit No. PA-102, WP-AH</t>
  </si>
  <si>
    <t>WORK PAPER AI</t>
  </si>
  <si>
    <t>Exhibit No. PA-102, WP-AI</t>
  </si>
  <si>
    <t>Exhibit No. PA-102, WP-BA</t>
  </si>
  <si>
    <t>WORK PAPER BA</t>
  </si>
  <si>
    <t>WORK PAPER BB</t>
  </si>
  <si>
    <t>Exhibit No. PA-102, WP-BB</t>
  </si>
  <si>
    <t>Exhibit No. PA-102, WP-BC</t>
  </si>
  <si>
    <t>WORK PAPER BC</t>
  </si>
  <si>
    <t>Exhibit No. PA-102, WP-BD</t>
  </si>
  <si>
    <t>WORK PAPER BD</t>
  </si>
  <si>
    <t>Exhibit No. PA-102, WP-BF</t>
  </si>
  <si>
    <t>WORK PAPER BF</t>
  </si>
  <si>
    <t>Exhibit No. PA-102, WP-BG</t>
  </si>
  <si>
    <t>WORK PAPER BG</t>
  </si>
  <si>
    <t>WORK PAPER BH</t>
  </si>
  <si>
    <t>Exhibit No. PA-102, WP-BH</t>
  </si>
  <si>
    <t>Exhibit No. PA-102, WP-BI</t>
  </si>
  <si>
    <t>WORK PAPER BI</t>
  </si>
  <si>
    <t>Exhibit No. PA-102, WP-CA</t>
  </si>
  <si>
    <t>WORK PAPER CA</t>
  </si>
  <si>
    <t>Exhibit No. PA-102, WP-CB</t>
  </si>
  <si>
    <t>WORK PAPER CB</t>
  </si>
  <si>
    <t>Exhibit No. PA-102, WP-DA</t>
  </si>
  <si>
    <t>WORK PAPER DA</t>
  </si>
  <si>
    <t>Exhibit No. PA-102, WP-DB</t>
  </si>
  <si>
    <t>WORK PAPER DB</t>
  </si>
  <si>
    <t>WORK PAPER EA</t>
  </si>
  <si>
    <t>Exhibit No. PA-102, WP-EA</t>
  </si>
  <si>
    <t>Exhibit No. PA-102, WP-AR-IS</t>
  </si>
  <si>
    <t>Exhibit No. PA-102, WP-AR-BS</t>
  </si>
  <si>
    <t>WORK PAPER AR-BS</t>
  </si>
  <si>
    <t>Exhibit No. PA-102, WP-AR-Cap Assets</t>
  </si>
  <si>
    <t>WORK PAPER AR-Cap Assets</t>
  </si>
  <si>
    <t>WORK PAPER Reconciliations</t>
  </si>
  <si>
    <t>Exhibit No. PA-102, WP-Reconciliations</t>
  </si>
  <si>
    <t>WORK PAPER AR- IS</t>
  </si>
  <si>
    <r>
      <rPr>
        <b/>
        <sz val="10"/>
        <color indexed="8"/>
        <rFont val="Arial"/>
        <family val="2"/>
      </rPr>
      <t>TRANSMISSION PLANT</t>
    </r>
    <r>
      <rPr>
        <b/>
        <sz val="10"/>
        <rFont val="Arial"/>
        <family val="2"/>
      </rPr>
      <t xml:space="preserve"> </t>
    </r>
  </si>
  <si>
    <r>
      <t xml:space="preserve"> </t>
    </r>
    <r>
      <rPr>
        <sz val="10"/>
        <color indexed="8"/>
        <rFont val="Arial"/>
        <family val="2"/>
      </rPr>
      <t>Land Rights</t>
    </r>
    <r>
      <rPr>
        <sz val="10"/>
        <rFont val="Arial"/>
        <family val="2"/>
      </rPr>
      <t xml:space="preserve"> </t>
    </r>
  </si>
  <si>
    <r>
      <t xml:space="preserve"> </t>
    </r>
    <r>
      <rPr>
        <sz val="10"/>
        <color indexed="8"/>
        <rFont val="Arial"/>
        <family val="2"/>
      </rPr>
      <t>Structures and Improvements</t>
    </r>
    <r>
      <rPr>
        <sz val="10"/>
        <rFont val="Arial"/>
        <family val="2"/>
      </rPr>
      <t xml:space="preserve"> </t>
    </r>
  </si>
  <si>
    <r>
      <t xml:space="preserve"> </t>
    </r>
    <r>
      <rPr>
        <sz val="10"/>
        <color indexed="8"/>
        <rFont val="Arial"/>
        <family val="2"/>
      </rPr>
      <t>Station Equipment</t>
    </r>
    <r>
      <rPr>
        <sz val="10"/>
        <rFont val="Arial"/>
        <family val="2"/>
      </rPr>
      <t xml:space="preserve"> </t>
    </r>
  </si>
  <si>
    <r>
      <t xml:space="preserve"> </t>
    </r>
    <r>
      <rPr>
        <sz val="10"/>
        <color indexed="8"/>
        <rFont val="Arial"/>
        <family val="2"/>
      </rPr>
      <t>354</t>
    </r>
    <r>
      <rPr>
        <sz val="10"/>
        <rFont val="Arial"/>
        <family val="2"/>
      </rPr>
      <t xml:space="preserve"> </t>
    </r>
  </si>
  <si>
    <r>
      <t xml:space="preserve"> </t>
    </r>
    <r>
      <rPr>
        <sz val="10"/>
        <color indexed="8"/>
        <rFont val="Arial"/>
        <family val="2"/>
      </rPr>
      <t>Towers and Fixtures</t>
    </r>
    <r>
      <rPr>
        <sz val="10"/>
        <rFont val="Arial"/>
        <family val="2"/>
      </rPr>
      <t xml:space="preserve"> </t>
    </r>
  </si>
  <si>
    <r>
      <t xml:space="preserve"> </t>
    </r>
    <r>
      <rPr>
        <sz val="10"/>
        <color indexed="8"/>
        <rFont val="Arial"/>
        <family val="2"/>
      </rPr>
      <t>355</t>
    </r>
    <r>
      <rPr>
        <sz val="10"/>
        <rFont val="Arial"/>
        <family val="2"/>
      </rPr>
      <t xml:space="preserve"> </t>
    </r>
  </si>
  <si>
    <r>
      <t xml:space="preserve"> </t>
    </r>
    <r>
      <rPr>
        <sz val="10"/>
        <color indexed="8"/>
        <rFont val="Arial"/>
        <family val="2"/>
      </rPr>
      <t>Poles and Fixtures</t>
    </r>
    <r>
      <rPr>
        <sz val="10"/>
        <rFont val="Arial"/>
        <family val="2"/>
      </rPr>
      <t xml:space="preserve"> </t>
    </r>
  </si>
  <si>
    <r>
      <t xml:space="preserve"> </t>
    </r>
    <r>
      <rPr>
        <sz val="10"/>
        <color indexed="8"/>
        <rFont val="Arial"/>
        <family val="2"/>
      </rPr>
      <t>356</t>
    </r>
    <r>
      <rPr>
        <sz val="10"/>
        <rFont val="Arial"/>
        <family val="2"/>
      </rPr>
      <t xml:space="preserve"> </t>
    </r>
  </si>
  <si>
    <r>
      <t xml:space="preserve"> </t>
    </r>
    <r>
      <rPr>
        <sz val="10"/>
        <color indexed="8"/>
        <rFont val="Arial"/>
        <family val="2"/>
      </rPr>
      <t>Overhead Conductor and Devices</t>
    </r>
    <r>
      <rPr>
        <sz val="10"/>
        <rFont val="Arial"/>
        <family val="2"/>
      </rPr>
      <t xml:space="preserve"> </t>
    </r>
  </si>
  <si>
    <r>
      <t xml:space="preserve"> </t>
    </r>
    <r>
      <rPr>
        <sz val="10"/>
        <color indexed="8"/>
        <rFont val="Arial"/>
        <family val="2"/>
      </rPr>
      <t>357</t>
    </r>
    <r>
      <rPr>
        <sz val="10"/>
        <rFont val="Arial"/>
        <family val="2"/>
      </rPr>
      <t xml:space="preserve"> </t>
    </r>
  </si>
  <si>
    <r>
      <t xml:space="preserve"> </t>
    </r>
    <r>
      <rPr>
        <sz val="10"/>
        <color indexed="8"/>
        <rFont val="Arial"/>
        <family val="2"/>
      </rPr>
      <t>Underground Conduit</t>
    </r>
    <r>
      <rPr>
        <sz val="10"/>
        <rFont val="Arial"/>
        <family val="2"/>
      </rPr>
      <t xml:space="preserve"> </t>
    </r>
  </si>
  <si>
    <r>
      <t xml:space="preserve"> </t>
    </r>
    <r>
      <rPr>
        <sz val="10"/>
        <color indexed="8"/>
        <rFont val="Arial"/>
        <family val="2"/>
      </rPr>
      <t>358</t>
    </r>
    <r>
      <rPr>
        <sz val="10"/>
        <rFont val="Arial"/>
        <family val="2"/>
      </rPr>
      <t xml:space="preserve"> </t>
    </r>
  </si>
  <si>
    <r>
      <t xml:space="preserve"> </t>
    </r>
    <r>
      <rPr>
        <sz val="10"/>
        <color indexed="8"/>
        <rFont val="Arial"/>
        <family val="2"/>
      </rPr>
      <t>Underground Conductor and Devices</t>
    </r>
    <r>
      <rPr>
        <sz val="10"/>
        <rFont val="Arial"/>
        <family val="2"/>
      </rPr>
      <t xml:space="preserve"> </t>
    </r>
  </si>
  <si>
    <r>
      <t xml:space="preserve"> </t>
    </r>
    <r>
      <rPr>
        <sz val="10"/>
        <color indexed="8"/>
        <rFont val="Arial"/>
        <family val="2"/>
      </rPr>
      <t>359</t>
    </r>
    <r>
      <rPr>
        <sz val="10"/>
        <rFont val="Arial"/>
        <family val="2"/>
      </rPr>
      <t xml:space="preserve"> </t>
    </r>
  </si>
  <si>
    <r>
      <t xml:space="preserve"> </t>
    </r>
    <r>
      <rPr>
        <sz val="10"/>
        <color indexed="8"/>
        <rFont val="Arial"/>
        <family val="2"/>
      </rPr>
      <t>Roads and Trails</t>
    </r>
    <r>
      <rPr>
        <sz val="10"/>
        <rFont val="Arial"/>
        <family val="2"/>
      </rPr>
      <t xml:space="preserve"> </t>
    </r>
  </si>
  <si>
    <r>
      <t xml:space="preserve"> </t>
    </r>
    <r>
      <rPr>
        <b/>
        <sz val="10"/>
        <color indexed="8"/>
        <rFont val="Arial"/>
        <family val="2"/>
      </rPr>
      <t>GENERAL PLANT</t>
    </r>
    <r>
      <rPr>
        <sz val="10"/>
        <rFont val="Arial"/>
        <family val="2"/>
      </rPr>
      <t xml:space="preserve"> </t>
    </r>
  </si>
  <si>
    <r>
      <t xml:space="preserve"> </t>
    </r>
    <r>
      <rPr>
        <sz val="10"/>
        <color indexed="8"/>
        <rFont val="Arial"/>
        <family val="2"/>
      </rPr>
      <t>390</t>
    </r>
    <r>
      <rPr>
        <sz val="10"/>
        <rFont val="Arial"/>
        <family val="2"/>
      </rPr>
      <t xml:space="preserve"> </t>
    </r>
  </si>
  <si>
    <r>
      <t xml:space="preserve"> </t>
    </r>
    <r>
      <rPr>
        <sz val="10"/>
        <color indexed="8"/>
        <rFont val="Arial"/>
        <family val="2"/>
      </rPr>
      <t>Structures &amp; Improvements</t>
    </r>
    <r>
      <rPr>
        <sz val="10"/>
        <rFont val="Arial"/>
        <family val="2"/>
      </rPr>
      <t xml:space="preserve"> </t>
    </r>
  </si>
  <si>
    <r>
      <t xml:space="preserve"> </t>
    </r>
    <r>
      <rPr>
        <sz val="10"/>
        <color indexed="8"/>
        <rFont val="Arial"/>
        <family val="2"/>
      </rPr>
      <t>391</t>
    </r>
    <r>
      <rPr>
        <sz val="10"/>
        <rFont val="Arial"/>
        <family val="2"/>
      </rPr>
      <t xml:space="preserve"> </t>
    </r>
  </si>
  <si>
    <r>
      <t xml:space="preserve"> </t>
    </r>
    <r>
      <rPr>
        <sz val="10"/>
        <color indexed="8"/>
        <rFont val="Arial"/>
        <family val="2"/>
      </rPr>
      <t>Office Furniture &amp; Equipment</t>
    </r>
    <r>
      <rPr>
        <sz val="10"/>
        <rFont val="Arial"/>
        <family val="2"/>
      </rPr>
      <t xml:space="preserve"> </t>
    </r>
  </si>
  <si>
    <r>
      <t xml:space="preserve"> </t>
    </r>
    <r>
      <rPr>
        <sz val="10"/>
        <color indexed="8"/>
        <rFont val="Arial"/>
        <family val="2"/>
      </rPr>
      <t>392</t>
    </r>
    <r>
      <rPr>
        <sz val="10"/>
        <rFont val="Arial"/>
        <family val="2"/>
      </rPr>
      <t xml:space="preserve"> </t>
    </r>
  </si>
  <si>
    <r>
      <t xml:space="preserve"> </t>
    </r>
    <r>
      <rPr>
        <sz val="10"/>
        <color indexed="8"/>
        <rFont val="Arial"/>
        <family val="2"/>
      </rPr>
      <t>Transportation Equipment</t>
    </r>
    <r>
      <rPr>
        <sz val="10"/>
        <rFont val="Arial"/>
        <family val="2"/>
      </rPr>
      <t xml:space="preserve"> </t>
    </r>
  </si>
  <si>
    <r>
      <t xml:space="preserve"> </t>
    </r>
    <r>
      <rPr>
        <sz val="10"/>
        <color indexed="8"/>
        <rFont val="Arial"/>
        <family val="2"/>
      </rPr>
      <t>393</t>
    </r>
    <r>
      <rPr>
        <sz val="10"/>
        <rFont val="Arial"/>
        <family val="2"/>
      </rPr>
      <t xml:space="preserve"> </t>
    </r>
  </si>
  <si>
    <r>
      <t xml:space="preserve"> </t>
    </r>
    <r>
      <rPr>
        <sz val="10"/>
        <color indexed="8"/>
        <rFont val="Arial"/>
        <family val="2"/>
      </rPr>
      <t>Stores Equipment</t>
    </r>
    <r>
      <rPr>
        <sz val="10"/>
        <rFont val="Arial"/>
        <family val="2"/>
      </rPr>
      <t xml:space="preserve"> </t>
    </r>
  </si>
  <si>
    <r>
      <t xml:space="preserve"> </t>
    </r>
    <r>
      <rPr>
        <sz val="10"/>
        <color indexed="8"/>
        <rFont val="Arial"/>
        <family val="2"/>
      </rPr>
      <t>394</t>
    </r>
    <r>
      <rPr>
        <sz val="10"/>
        <rFont val="Arial"/>
        <family val="2"/>
      </rPr>
      <t xml:space="preserve"> </t>
    </r>
  </si>
  <si>
    <r>
      <t xml:space="preserve"> </t>
    </r>
    <r>
      <rPr>
        <sz val="10"/>
        <color indexed="8"/>
        <rFont val="Arial"/>
        <family val="2"/>
      </rPr>
      <t>Tools, Shop &amp; Garage Equipment</t>
    </r>
    <r>
      <rPr>
        <sz val="10"/>
        <rFont val="Arial"/>
        <family val="2"/>
      </rPr>
      <t xml:space="preserve"> </t>
    </r>
  </si>
  <si>
    <r>
      <t xml:space="preserve"> </t>
    </r>
    <r>
      <rPr>
        <sz val="10"/>
        <color indexed="8"/>
        <rFont val="Arial"/>
        <family val="2"/>
      </rPr>
      <t>395</t>
    </r>
    <r>
      <rPr>
        <sz val="10"/>
        <rFont val="Arial"/>
        <family val="2"/>
      </rPr>
      <t xml:space="preserve"> </t>
    </r>
  </si>
  <si>
    <r>
      <t xml:space="preserve"> </t>
    </r>
    <r>
      <rPr>
        <sz val="10"/>
        <color indexed="8"/>
        <rFont val="Arial"/>
        <family val="2"/>
      </rPr>
      <t>Laboratory Equipment</t>
    </r>
    <r>
      <rPr>
        <sz val="10"/>
        <rFont val="Arial"/>
        <family val="2"/>
      </rPr>
      <t xml:space="preserve"> </t>
    </r>
  </si>
  <si>
    <r>
      <t xml:space="preserve"> </t>
    </r>
    <r>
      <rPr>
        <sz val="10"/>
        <color indexed="8"/>
        <rFont val="Arial"/>
        <family val="2"/>
      </rPr>
      <t>396</t>
    </r>
    <r>
      <rPr>
        <sz val="10"/>
        <rFont val="Arial"/>
        <family val="2"/>
      </rPr>
      <t xml:space="preserve"> </t>
    </r>
  </si>
  <si>
    <r>
      <t xml:space="preserve"> </t>
    </r>
    <r>
      <rPr>
        <sz val="10"/>
        <color indexed="8"/>
        <rFont val="Arial"/>
        <family val="2"/>
      </rPr>
      <t>Power Operated Equipment</t>
    </r>
    <r>
      <rPr>
        <sz val="10"/>
        <rFont val="Arial"/>
        <family val="2"/>
      </rPr>
      <t xml:space="preserve"> </t>
    </r>
  </si>
  <si>
    <r>
      <t xml:space="preserve"> </t>
    </r>
    <r>
      <rPr>
        <sz val="10"/>
        <color indexed="8"/>
        <rFont val="Arial"/>
        <family val="2"/>
      </rPr>
      <t>397</t>
    </r>
    <r>
      <rPr>
        <sz val="10"/>
        <rFont val="Arial"/>
        <family val="2"/>
      </rPr>
      <t xml:space="preserve"> </t>
    </r>
  </si>
  <si>
    <r>
      <t xml:space="preserve"> </t>
    </r>
    <r>
      <rPr>
        <sz val="10"/>
        <color indexed="8"/>
        <rFont val="Arial"/>
        <family val="2"/>
      </rPr>
      <t>Communication Equipment</t>
    </r>
    <r>
      <rPr>
        <sz val="10"/>
        <rFont val="Arial"/>
        <family val="2"/>
      </rPr>
      <t xml:space="preserve"> </t>
    </r>
  </si>
  <si>
    <r>
      <t xml:space="preserve"> </t>
    </r>
    <r>
      <rPr>
        <sz val="10"/>
        <color indexed="8"/>
        <rFont val="Arial"/>
        <family val="2"/>
      </rPr>
      <t>398</t>
    </r>
    <r>
      <rPr>
        <sz val="10"/>
        <rFont val="Arial"/>
        <family val="2"/>
      </rPr>
      <t xml:space="preserve"> </t>
    </r>
  </si>
  <si>
    <r>
      <t xml:space="preserve"> </t>
    </r>
    <r>
      <rPr>
        <b/>
        <sz val="10"/>
        <color indexed="8"/>
        <rFont val="Arial"/>
        <family val="2"/>
      </rPr>
      <t>INTANGIBLE PLANT</t>
    </r>
    <r>
      <rPr>
        <sz val="10"/>
        <rFont val="Arial"/>
        <family val="2"/>
      </rPr>
      <t xml:space="preserve"> </t>
    </r>
  </si>
  <si>
    <r>
      <t xml:space="preserve"> </t>
    </r>
    <r>
      <rPr>
        <sz val="10"/>
        <color indexed="8"/>
        <rFont val="Arial"/>
        <family val="2"/>
      </rPr>
      <t>303</t>
    </r>
    <r>
      <rPr>
        <sz val="10"/>
        <rFont val="Arial"/>
        <family val="2"/>
      </rPr>
      <t xml:space="preserve"> </t>
    </r>
  </si>
  <si>
    <r>
      <t xml:space="preserve"> </t>
    </r>
    <r>
      <rPr>
        <sz val="10"/>
        <color indexed="8"/>
        <rFont val="Arial"/>
        <family val="2"/>
      </rPr>
      <t>Miscellaneous Intangible Plant</t>
    </r>
    <r>
      <rPr>
        <sz val="10"/>
        <rFont val="Arial"/>
        <family val="2"/>
      </rPr>
      <t xml:space="preserve"> </t>
    </r>
  </si>
  <si>
    <r>
      <rPr>
        <sz val="10"/>
        <color indexed="8"/>
        <rFont val="Arial"/>
        <family val="2"/>
      </rPr>
      <t xml:space="preserve"> Transmission facility Contributions in Aid of Construction</t>
    </r>
    <r>
      <rPr>
        <sz val="10"/>
        <rFont val="Arial"/>
        <family val="2"/>
      </rPr>
      <t xml:space="preserve"> </t>
    </r>
  </si>
  <si>
    <t>Schedule A1</t>
  </si>
  <si>
    <t>Schedule A2</t>
  </si>
  <si>
    <t>Schedule B1</t>
  </si>
  <si>
    <t>Schedule C1</t>
  </si>
  <si>
    <t>Schedule D1</t>
  </si>
  <si>
    <t>Schedule E1</t>
  </si>
  <si>
    <t>Schedule B2</t>
  </si>
  <si>
    <t>Schedule B3</t>
  </si>
  <si>
    <t>Work Paper-BC</t>
  </si>
  <si>
    <t>Work Paper-BB</t>
  </si>
  <si>
    <t>Work Paper-AR-IS</t>
  </si>
  <si>
    <t>Work Paper-AA</t>
  </si>
  <si>
    <t>Work Paper-AB</t>
  </si>
  <si>
    <t>Work Paper-EA</t>
  </si>
  <si>
    <t>Work Paper-DA</t>
  </si>
  <si>
    <t>Work Paper-BA</t>
  </si>
  <si>
    <t>Work Paper-BH</t>
  </si>
  <si>
    <t>Work Paper-BF</t>
  </si>
  <si>
    <t>Work Paper-BG</t>
  </si>
  <si>
    <t>Work Paper-BE</t>
  </si>
  <si>
    <t>Work Paper-CA</t>
  </si>
  <si>
    <t>Work Paper-BD</t>
  </si>
  <si>
    <t>Work Paper-CB</t>
  </si>
  <si>
    <t>Work Paper-AC</t>
  </si>
  <si>
    <t>Work Paper-AF</t>
  </si>
  <si>
    <t>Work Paper-AD</t>
  </si>
  <si>
    <t>Work Paper-AI</t>
  </si>
  <si>
    <t>Work Paper-AG</t>
  </si>
  <si>
    <t>Work Paper-AH</t>
  </si>
  <si>
    <t>Work Paper-BI</t>
  </si>
  <si>
    <t>Work Paper-AE</t>
  </si>
  <si>
    <t xml:space="preserve">Work Paper-Reconciliations </t>
  </si>
  <si>
    <t>3/  1/8 of (Schedule A1; Col 5, Ln 17 + Schedule A2; Col 5, Ln 22)  [45 days]</t>
  </si>
  <si>
    <t>Schedule B2, line 17, col 9 (Note A)</t>
  </si>
  <si>
    <t>Schedule B1 line 26, col 5</t>
  </si>
  <si>
    <t>From WP-EA</t>
  </si>
  <si>
    <t>Total NYPA PBOP</t>
  </si>
  <si>
    <t>Adjusted Grand Total (Excludes 500MW C - C at Astoria)</t>
  </si>
  <si>
    <t>($ Millions)</t>
  </si>
  <si>
    <t>Total capital assets being depreciated</t>
  </si>
  <si>
    <t>Total accumulated depreciation</t>
  </si>
  <si>
    <t>Net value of capital assets being depreciated</t>
  </si>
  <si>
    <t>Net value of all capital assets</t>
  </si>
  <si>
    <t>ASSET IMPAIRMENT</t>
  </si>
  <si>
    <t>Work Paper-AR-BS</t>
  </si>
  <si>
    <t>Work Paper-AR-Cap Assets</t>
  </si>
  <si>
    <t>11a</t>
  </si>
  <si>
    <t>11b</t>
  </si>
  <si>
    <t>11c</t>
  </si>
  <si>
    <t xml:space="preserve">Sum lines 11 </t>
  </si>
  <si>
    <t>STATEMENT OF REVENUES , EXPENSES, AND CHANGES IN NET POSITION</t>
  </si>
  <si>
    <t>STATEMENT OF NET POSITION</t>
  </si>
  <si>
    <t>CAPITAL ASSETS</t>
  </si>
  <si>
    <t>FERC acct 916 - Misc Sales Expense</t>
  </si>
  <si>
    <t>Work Paper-DB</t>
  </si>
  <si>
    <t>- Allocated based on</t>
  </si>
  <si>
    <t xml:space="preserve">  allocator (Schedule E1)</t>
  </si>
  <si>
    <t xml:space="preserve">  transmission labor </t>
  </si>
  <si>
    <t>Transm. Col (3)*(4)</t>
  </si>
  <si>
    <t>4/   Excluded General: Assets not recoverable under ATRR, FERC Accounts 389-399 for 500 MW, AEII, Poletti, SCPPs, Small Hydro, and Flynn.</t>
  </si>
  <si>
    <t>Excluded General   4/</t>
  </si>
  <si>
    <t>Marcy South Capitalized Lease 3/</t>
  </si>
  <si>
    <t>[Schedule E1]</t>
  </si>
  <si>
    <t>GENERAL PLANT</t>
  </si>
  <si>
    <t>[Schedule D1]</t>
  </si>
  <si>
    <t>* Cash Working Capital (1/8 O&amp;M)</t>
  </si>
  <si>
    <t>* Marcy South Capitalized Lease</t>
  </si>
  <si>
    <t>* Materials &amp; Supplies</t>
  </si>
  <si>
    <t>* Prepayments</t>
  </si>
  <si>
    <t>* CWIP</t>
  </si>
  <si>
    <t>* Regulatory Asset</t>
  </si>
  <si>
    <t>* Abandoned Plant</t>
  </si>
  <si>
    <t xml:space="preserve"> (5) * (6)</t>
  </si>
  <si>
    <t>LONG-TERM DEBT</t>
  </si>
  <si>
    <t>SOURCE/</t>
  </si>
  <si>
    <t>COMMENTS</t>
  </si>
  <si>
    <t>LABOR RATIO</t>
  </si>
  <si>
    <t>SCHEDULE E1</t>
  </si>
  <si>
    <t>For example, if FERC were to grant a 137 basis point ROE incentive, the increase in return and taxes for a 100 basis point</t>
  </si>
  <si>
    <t xml:space="preserve">1)  For all projects and NTAC ATRR, the Actual Revenues Received are the actual revenues NYPA receives from the NYISO in that calendar year.  If NYISO does not break out the revenues per project, </t>
  </si>
  <si>
    <t>Col 1, Ln 4 x Col 2, Ln 3</t>
  </si>
  <si>
    <t>Subtract Col 1, Ln 4 * Col 2, Ln 3</t>
  </si>
  <si>
    <t xml:space="preserve">     Subtotal (Gross Transmission Plant Ratio)</t>
  </si>
  <si>
    <t>Allocated based on transmission gross plant ratio from Work Paper AI</t>
  </si>
  <si>
    <t>Allocated based on transmission labor ratio from Schedule E1</t>
  </si>
  <si>
    <t>WORK PAPER BE</t>
  </si>
  <si>
    <t>FACTS PROJECT PLANT IN SERVICE, ACCUMULATED DEPRECIATION AND DEPRECIATION EXPENSE</t>
  </si>
  <si>
    <t>ST. LAWRENCE</t>
  </si>
  <si>
    <t>Beginning/End of Year Average</t>
  </si>
  <si>
    <t>Center(s)</t>
  </si>
  <si>
    <t>Less accumulated depreciation for:</t>
  </si>
  <si>
    <t>Less A/C 928 - Regulatory Commission Expense</t>
  </si>
  <si>
    <t>A&amp;G in FERC Acct   549 -    OP-Misc Oth Pwr Gen</t>
  </si>
  <si>
    <t xml:space="preserve">differences due to rounding   </t>
  </si>
  <si>
    <t>Cap</t>
  </si>
  <si>
    <t>Reserve for Excess and Obsolete Inventory</t>
  </si>
  <si>
    <t>Reserve for Degraded Materials</t>
  </si>
  <si>
    <t>Facility Subtotal</t>
  </si>
  <si>
    <t>Reserves Subtotal</t>
  </si>
  <si>
    <t>Schedule F1, page 2, line 1a, col. 16</t>
  </si>
  <si>
    <t>Schedule F1, page 2, line 1c, col. 16</t>
  </si>
  <si>
    <t>Schedule F1, page 2, line 1b, col. 16</t>
  </si>
  <si>
    <t>Schedule F1, page 2, line 2, col. 13</t>
  </si>
  <si>
    <t>Schedule F3, page 1, line 3, col. 10</t>
  </si>
  <si>
    <t>WP-BC</t>
  </si>
  <si>
    <t>WP-BF</t>
  </si>
  <si>
    <t>WP-BG</t>
  </si>
  <si>
    <t>WP-BB</t>
  </si>
  <si>
    <t>Reclassifications (post Annual Report)</t>
  </si>
  <si>
    <t>FERC acct 905 (less contribution to New York State)</t>
  </si>
  <si>
    <t>Electric Plant in</t>
  </si>
  <si>
    <t>Adjustments to Rate Base: Relicensing, Windfarm, Step-up transformers, FACTS &amp; Asset Impairment</t>
  </si>
  <si>
    <r>
      <t>FERC approved ATRR</t>
    </r>
    <r>
      <rPr>
        <sz val="11"/>
        <color theme="1"/>
        <rFont val="Arial"/>
        <family val="2"/>
      </rPr>
      <t xml:space="preserve"> </t>
    </r>
    <r>
      <rPr>
        <sz val="10"/>
        <color theme="1"/>
        <rFont val="Arial"/>
        <family val="2"/>
      </rPr>
      <t>(line 63 - line 67)</t>
    </r>
  </si>
  <si>
    <t>Total (sum lines 64-66)</t>
  </si>
  <si>
    <t>Amount that NYPA will credit to its ATRR assessed to the SENY customer load.  These revenues are included in the Annual Report within Production Revenues.</t>
  </si>
  <si>
    <t>ELECTRIC PLANT IN SERVICE &amp; DEPRECIATION</t>
  </si>
  <si>
    <t>(Note C)</t>
  </si>
  <si>
    <t>(Note D)</t>
  </si>
  <si>
    <t>Exhibit No. PA-102, WP-AB</t>
  </si>
  <si>
    <t>Applied</t>
  </si>
  <si>
    <t>Equity</t>
  </si>
  <si>
    <t>OTHER POSTEMPLOYMENT BENEFIT PLANS</t>
  </si>
  <si>
    <t>Annual OPEB Cost</t>
  </si>
  <si>
    <t>Exhibit No. PA-102, SCH - Summary</t>
  </si>
  <si>
    <t>Project 1 - Marcy South Series Compensation</t>
  </si>
  <si>
    <r>
      <t xml:space="preserve">FERC </t>
    </r>
    <r>
      <rPr>
        <sz val="10"/>
        <color indexed="8"/>
        <rFont val="Arial"/>
        <family val="2"/>
      </rPr>
      <t xml:space="preserve">Account </t>
    </r>
    <r>
      <rPr>
        <sz val="10"/>
        <rFont val="Arial"/>
        <family val="2"/>
      </rPr>
      <t xml:space="preserve"> </t>
    </r>
  </si>
  <si>
    <r>
      <t xml:space="preserve"> </t>
    </r>
    <r>
      <rPr>
        <sz val="10"/>
        <color indexed="8"/>
        <rFont val="Arial"/>
        <family val="2"/>
      </rPr>
      <t>FERC Account</t>
    </r>
    <r>
      <rPr>
        <sz val="10"/>
        <rFont val="Arial"/>
        <family val="2"/>
      </rPr>
      <t xml:space="preserve">  Description</t>
    </r>
  </si>
  <si>
    <t>a 100 basis point increase in ROE.  Any actual incentive is calculated on Schedule F1 and must be approved by FERC.</t>
  </si>
  <si>
    <t>Revenues that are credited in the NTAC are not revenue credited here.</t>
  </si>
  <si>
    <t>Project Gross Plant is the total capital investment for the project calculated in the same method as the gross plant value in page 1, line 1 .  This value includes subsequent capital investments required to maintain the facilities to their original capabilities.  
Gross plant does not include CWIP, Unamortized Regulatory Asset or Unamortized Abandoned Plant.</t>
  </si>
  <si>
    <t>Page 1 line 6</t>
  </si>
  <si>
    <t>(line 7 divided by line 2 col 2)</t>
  </si>
  <si>
    <t>([line 3 + line 5] divided by line 1, col 2)</t>
  </si>
  <si>
    <t>-</t>
  </si>
  <si>
    <t>8a</t>
  </si>
  <si>
    <t>8b</t>
  </si>
  <si>
    <t>1p</t>
  </si>
  <si>
    <t>1q</t>
  </si>
  <si>
    <t>1r</t>
  </si>
  <si>
    <t>1s</t>
  </si>
  <si>
    <t>1t</t>
  </si>
  <si>
    <t>1u</t>
  </si>
  <si>
    <t>1v</t>
  </si>
  <si>
    <t>1w</t>
  </si>
  <si>
    <t>1x</t>
  </si>
  <si>
    <t>1y</t>
  </si>
  <si>
    <t>1z</t>
  </si>
  <si>
    <t>1aa</t>
  </si>
  <si>
    <t>1ab</t>
  </si>
  <si>
    <t>1ac</t>
  </si>
  <si>
    <t>1ad</t>
  </si>
  <si>
    <t>1ae</t>
  </si>
  <si>
    <t>1af</t>
  </si>
  <si>
    <t>1ag</t>
  </si>
  <si>
    <t>1ah</t>
  </si>
  <si>
    <t>8c</t>
  </si>
  <si>
    <t>8d</t>
  </si>
  <si>
    <t>8e</t>
  </si>
  <si>
    <t>8f</t>
  </si>
  <si>
    <t>8g</t>
  </si>
  <si>
    <t>8h</t>
  </si>
  <si>
    <t>8i</t>
  </si>
  <si>
    <t>8j</t>
  </si>
  <si>
    <t>8k</t>
  </si>
  <si>
    <t>8l</t>
  </si>
  <si>
    <t>8n</t>
  </si>
  <si>
    <t>8m</t>
  </si>
  <si>
    <t>8o</t>
  </si>
  <si>
    <t>8p</t>
  </si>
  <si>
    <t>8q</t>
  </si>
  <si>
    <t>8r</t>
  </si>
  <si>
    <t>8s</t>
  </si>
  <si>
    <t>8t</t>
  </si>
  <si>
    <t>8u</t>
  </si>
  <si>
    <t>8v</t>
  </si>
  <si>
    <t>8w</t>
  </si>
  <si>
    <t>8x</t>
  </si>
  <si>
    <t>8y</t>
  </si>
  <si>
    <t>8z</t>
  </si>
  <si>
    <t>8aa</t>
  </si>
  <si>
    <t>8ab</t>
  </si>
  <si>
    <t>8ac</t>
  </si>
  <si>
    <t>8ad</t>
  </si>
  <si>
    <t>8ae</t>
  </si>
  <si>
    <t>8af</t>
  </si>
  <si>
    <t>10a</t>
  </si>
  <si>
    <t>10b</t>
  </si>
  <si>
    <t>10c</t>
  </si>
  <si>
    <t>10d</t>
  </si>
  <si>
    <t>10e</t>
  </si>
  <si>
    <t>10f</t>
  </si>
  <si>
    <t>10g</t>
  </si>
  <si>
    <t>.</t>
  </si>
  <si>
    <t>(12)</t>
  </si>
  <si>
    <t>1ai</t>
  </si>
  <si>
    <t>1ak</t>
  </si>
  <si>
    <t>1al</t>
  </si>
  <si>
    <t>1am</t>
  </si>
  <si>
    <t>1an</t>
  </si>
  <si>
    <t>1ao</t>
  </si>
  <si>
    <t>1ap</t>
  </si>
  <si>
    <t>1aq</t>
  </si>
  <si>
    <t>1ar</t>
  </si>
  <si>
    <t>1as</t>
  </si>
  <si>
    <t>1at</t>
  </si>
  <si>
    <t>1au</t>
  </si>
  <si>
    <t>1av</t>
  </si>
  <si>
    <t>1aw</t>
  </si>
  <si>
    <t>1ax</t>
  </si>
  <si>
    <t>1ay</t>
  </si>
  <si>
    <t>1az</t>
  </si>
  <si>
    <t>(13)</t>
  </si>
  <si>
    <t>(17)</t>
  </si>
  <si>
    <t>(18)</t>
  </si>
  <si>
    <t>(19)</t>
  </si>
  <si>
    <t>(20)</t>
  </si>
  <si>
    <t>(21)</t>
  </si>
  <si>
    <t>(22)</t>
  </si>
  <si>
    <t>(23)</t>
  </si>
  <si>
    <t>(24)</t>
  </si>
  <si>
    <t>(25)</t>
  </si>
  <si>
    <t>(26)</t>
  </si>
  <si>
    <t>(27)</t>
  </si>
  <si>
    <t>(28)</t>
  </si>
  <si>
    <t>(29)</t>
  </si>
  <si>
    <t>(30)</t>
  </si>
  <si>
    <t>(31)</t>
  </si>
  <si>
    <t>(32)</t>
  </si>
  <si>
    <t>(33)</t>
  </si>
  <si>
    <t>(34)</t>
  </si>
  <si>
    <t>(35)</t>
  </si>
  <si>
    <t>(36)</t>
  </si>
  <si>
    <t>(37)</t>
  </si>
  <si>
    <t>2a</t>
  </si>
  <si>
    <t>2b</t>
  </si>
  <si>
    <t>2c</t>
  </si>
  <si>
    <t>2d</t>
  </si>
  <si>
    <t>2e</t>
  </si>
  <si>
    <t>2f</t>
  </si>
  <si>
    <t>2g</t>
  </si>
  <si>
    <t>2h</t>
  </si>
  <si>
    <t>5a</t>
  </si>
  <si>
    <t>5b</t>
  </si>
  <si>
    <t>5c</t>
  </si>
  <si>
    <t>3a</t>
  </si>
  <si>
    <t>3b</t>
  </si>
  <si>
    <t>3c</t>
  </si>
  <si>
    <t>3d</t>
  </si>
  <si>
    <t>3e</t>
  </si>
  <si>
    <t>5d</t>
  </si>
  <si>
    <t>5e</t>
  </si>
  <si>
    <t>7a</t>
  </si>
  <si>
    <t>7b</t>
  </si>
  <si>
    <t>7c</t>
  </si>
  <si>
    <t>7d</t>
  </si>
  <si>
    <t>9a</t>
  </si>
  <si>
    <t>9b</t>
  </si>
  <si>
    <t>9c</t>
  </si>
  <si>
    <t>9d</t>
  </si>
  <si>
    <t>9e</t>
  </si>
  <si>
    <t>11d</t>
  </si>
  <si>
    <t>11e</t>
  </si>
  <si>
    <t>13a</t>
  </si>
  <si>
    <t>13b</t>
  </si>
  <si>
    <t>13c</t>
  </si>
  <si>
    <t>13d</t>
  </si>
  <si>
    <t>13e</t>
  </si>
  <si>
    <t>15a</t>
  </si>
  <si>
    <t>15b</t>
  </si>
  <si>
    <t>15c</t>
  </si>
  <si>
    <t>15d</t>
  </si>
  <si>
    <t>15e</t>
  </si>
  <si>
    <t>15f</t>
  </si>
  <si>
    <t>17a</t>
  </si>
  <si>
    <t>17b</t>
  </si>
  <si>
    <t>17c</t>
  </si>
  <si>
    <t>17d</t>
  </si>
  <si>
    <t>17e</t>
  </si>
  <si>
    <t>SUBTOTAL 500mW C - C at Astoria</t>
  </si>
  <si>
    <t>SUBTOTAL FLYNN  (Holtsville)</t>
  </si>
  <si>
    <t>3f</t>
  </si>
  <si>
    <t>3g</t>
  </si>
  <si>
    <t>3h</t>
  </si>
  <si>
    <t>3i</t>
  </si>
  <si>
    <t>19a</t>
  </si>
  <si>
    <t>19b</t>
  </si>
  <si>
    <t>19c</t>
  </si>
  <si>
    <t>15g</t>
  </si>
  <si>
    <t>Inch</t>
  </si>
  <si>
    <t>22a</t>
  </si>
  <si>
    <t>22b</t>
  </si>
  <si>
    <t>22c</t>
  </si>
  <si>
    <t>22d</t>
  </si>
  <si>
    <t>22e</t>
  </si>
  <si>
    <t>22f</t>
  </si>
  <si>
    <t>22g</t>
  </si>
  <si>
    <t>24a</t>
  </si>
  <si>
    <t>24b</t>
  </si>
  <si>
    <t>24c</t>
  </si>
  <si>
    <t>24d</t>
  </si>
  <si>
    <t>24e</t>
  </si>
  <si>
    <t>24f</t>
  </si>
  <si>
    <t>24g</t>
  </si>
  <si>
    <t>24h</t>
  </si>
  <si>
    <t>26a</t>
  </si>
  <si>
    <t>26b</t>
  </si>
  <si>
    <t>26c</t>
  </si>
  <si>
    <t>26d</t>
  </si>
  <si>
    <t>26e</t>
  </si>
  <si>
    <t>26f</t>
  </si>
  <si>
    <t>28a</t>
  </si>
  <si>
    <t>28b</t>
  </si>
  <si>
    <t>28c</t>
  </si>
  <si>
    <t>28d</t>
  </si>
  <si>
    <t>28e</t>
  </si>
  <si>
    <t>30a</t>
  </si>
  <si>
    <t>30b</t>
  </si>
  <si>
    <t>30c</t>
  </si>
  <si>
    <t>30d</t>
  </si>
  <si>
    <t>30e</t>
  </si>
  <si>
    <t>30f</t>
  </si>
  <si>
    <t>32a</t>
  </si>
  <si>
    <t>32b</t>
  </si>
  <si>
    <t>32c</t>
  </si>
  <si>
    <t>34a</t>
  </si>
  <si>
    <t>34b</t>
  </si>
  <si>
    <t>34c</t>
  </si>
  <si>
    <t>36a</t>
  </si>
  <si>
    <t>36b</t>
  </si>
  <si>
    <t>36c</t>
  </si>
  <si>
    <t>36d</t>
  </si>
  <si>
    <t>36e</t>
  </si>
  <si>
    <t>36f</t>
  </si>
  <si>
    <t>8ag</t>
  </si>
  <si>
    <t>6a</t>
  </si>
  <si>
    <t>6b</t>
  </si>
  <si>
    <t>6c</t>
  </si>
  <si>
    <t>6d</t>
  </si>
  <si>
    <t>6e</t>
  </si>
  <si>
    <t>6f</t>
  </si>
  <si>
    <t>6g</t>
  </si>
  <si>
    <t>6h</t>
  </si>
  <si>
    <t>6i</t>
  </si>
  <si>
    <t>6j</t>
  </si>
  <si>
    <t>6k</t>
  </si>
  <si>
    <t>6l</t>
  </si>
  <si>
    <t>6n</t>
  </si>
  <si>
    <t>6m</t>
  </si>
  <si>
    <t>6o</t>
  </si>
  <si>
    <t>6p</t>
  </si>
  <si>
    <t>6q</t>
  </si>
  <si>
    <t>6r</t>
  </si>
  <si>
    <t>6s</t>
  </si>
  <si>
    <t>6t</t>
  </si>
  <si>
    <t>6u</t>
  </si>
  <si>
    <t>6v</t>
  </si>
  <si>
    <t>6w</t>
  </si>
  <si>
    <t>6x</t>
  </si>
  <si>
    <t>6y</t>
  </si>
  <si>
    <t>6z</t>
  </si>
  <si>
    <t>6aa</t>
  </si>
  <si>
    <t>6ab</t>
  </si>
  <si>
    <t>6ac</t>
  </si>
  <si>
    <t>6ad</t>
  </si>
  <si>
    <t>6ae</t>
  </si>
  <si>
    <t>6af</t>
  </si>
  <si>
    <t>6ag</t>
  </si>
  <si>
    <t>8ah</t>
  </si>
  <si>
    <t>8ai</t>
  </si>
  <si>
    <t>8ak</t>
  </si>
  <si>
    <t>8al</t>
  </si>
  <si>
    <t>8am</t>
  </si>
  <si>
    <t>8an</t>
  </si>
  <si>
    <t>8ao</t>
  </si>
  <si>
    <t>8ap</t>
  </si>
  <si>
    <t>8aq</t>
  </si>
  <si>
    <t>8ar</t>
  </si>
  <si>
    <t>8as</t>
  </si>
  <si>
    <t>8at</t>
  </si>
  <si>
    <t>8au</t>
  </si>
  <si>
    <t>8av</t>
  </si>
  <si>
    <t>8aw</t>
  </si>
  <si>
    <t>8ax</t>
  </si>
  <si>
    <t>8ay</t>
  </si>
  <si>
    <t>8az</t>
  </si>
  <si>
    <t>8ba</t>
  </si>
  <si>
    <t>8bb</t>
  </si>
  <si>
    <t>8bc</t>
  </si>
  <si>
    <t>8bd</t>
  </si>
  <si>
    <t>10h</t>
  </si>
  <si>
    <t>10i</t>
  </si>
  <si>
    <t>10j</t>
  </si>
  <si>
    <t>10k</t>
  </si>
  <si>
    <t>10l</t>
  </si>
  <si>
    <t>10n</t>
  </si>
  <si>
    <t>10m</t>
  </si>
  <si>
    <t>10o</t>
  </si>
  <si>
    <t>10p</t>
  </si>
  <si>
    <t>10q</t>
  </si>
  <si>
    <t>10r</t>
  </si>
  <si>
    <t>10s</t>
  </si>
  <si>
    <t>10t</t>
  </si>
  <si>
    <t>10u</t>
  </si>
  <si>
    <t>10v</t>
  </si>
  <si>
    <t>10w</t>
  </si>
  <si>
    <t>10y</t>
  </si>
  <si>
    <t>10z</t>
  </si>
  <si>
    <t>10aa</t>
  </si>
  <si>
    <t>10ab</t>
  </si>
  <si>
    <t>10ac</t>
  </si>
  <si>
    <t>10ad</t>
  </si>
  <si>
    <t>10ae</t>
  </si>
  <si>
    <t>10af</t>
  </si>
  <si>
    <t>10ag</t>
  </si>
  <si>
    <t>10ah</t>
  </si>
  <si>
    <t>10ai</t>
  </si>
  <si>
    <t>10ak</t>
  </si>
  <si>
    <t>10al</t>
  </si>
  <si>
    <t>10am</t>
  </si>
  <si>
    <t>10an</t>
  </si>
  <si>
    <t>10ao</t>
  </si>
  <si>
    <t>10ap</t>
  </si>
  <si>
    <t>10aq</t>
  </si>
  <si>
    <t>10ar</t>
  </si>
  <si>
    <t>10as</t>
  </si>
  <si>
    <t>10at</t>
  </si>
  <si>
    <t>10au</t>
  </si>
  <si>
    <t>10av</t>
  </si>
  <si>
    <t>10aw</t>
  </si>
  <si>
    <t>10ax</t>
  </si>
  <si>
    <t>10ay</t>
  </si>
  <si>
    <t>10az</t>
  </si>
  <si>
    <t>10ba</t>
  </si>
  <si>
    <t>10bb</t>
  </si>
  <si>
    <t>10bc</t>
  </si>
  <si>
    <t>10bd</t>
  </si>
  <si>
    <t>10be</t>
  </si>
  <si>
    <t>10bh</t>
  </si>
  <si>
    <t>10bi</t>
  </si>
  <si>
    <t>10bk</t>
  </si>
  <si>
    <t>10bl</t>
  </si>
  <si>
    <t>10bm</t>
  </si>
  <si>
    <t>10bn</t>
  </si>
  <si>
    <t>10bo</t>
  </si>
  <si>
    <t>10bp</t>
  </si>
  <si>
    <t>10bq</t>
  </si>
  <si>
    <t>10br</t>
  </si>
  <si>
    <t>10bs</t>
  </si>
  <si>
    <t>10bt</t>
  </si>
  <si>
    <t>10bu</t>
  </si>
  <si>
    <t>10bv</t>
  </si>
  <si>
    <t>10bw</t>
  </si>
  <si>
    <t>12a</t>
  </si>
  <si>
    <t>12b</t>
  </si>
  <si>
    <t>12c</t>
  </si>
  <si>
    <t>12d</t>
  </si>
  <si>
    <t>12e</t>
  </si>
  <si>
    <t>12f</t>
  </si>
  <si>
    <t>12g</t>
  </si>
  <si>
    <t>12h</t>
  </si>
  <si>
    <t>12i</t>
  </si>
  <si>
    <t>12j</t>
  </si>
  <si>
    <t>12k</t>
  </si>
  <si>
    <t>12l</t>
  </si>
  <si>
    <t>12n</t>
  </si>
  <si>
    <t>12m</t>
  </si>
  <si>
    <t>12o</t>
  </si>
  <si>
    <t>12p</t>
  </si>
  <si>
    <t>12q</t>
  </si>
  <si>
    <t>12r</t>
  </si>
  <si>
    <t>12s</t>
  </si>
  <si>
    <t>12t</t>
  </si>
  <si>
    <t>12u</t>
  </si>
  <si>
    <t>12v</t>
  </si>
  <si>
    <t>12w</t>
  </si>
  <si>
    <t>12x</t>
  </si>
  <si>
    <t>12y</t>
  </si>
  <si>
    <t>12z</t>
  </si>
  <si>
    <t>12aa</t>
  </si>
  <si>
    <t>12ab</t>
  </si>
  <si>
    <t>12ac</t>
  </si>
  <si>
    <t>12ad</t>
  </si>
  <si>
    <t>12ae</t>
  </si>
  <si>
    <t>12af</t>
  </si>
  <si>
    <t>12ag</t>
  </si>
  <si>
    <t>12ah</t>
  </si>
  <si>
    <t>12ai</t>
  </si>
  <si>
    <t>12ak</t>
  </si>
  <si>
    <t>12al</t>
  </si>
  <si>
    <t>12am</t>
  </si>
  <si>
    <t>12an</t>
  </si>
  <si>
    <t>12ao</t>
  </si>
  <si>
    <t>12ap</t>
  </si>
  <si>
    <t>12aq</t>
  </si>
  <si>
    <t>12ar</t>
  </si>
  <si>
    <t>12as</t>
  </si>
  <si>
    <t>12at</t>
  </si>
  <si>
    <t>12au</t>
  </si>
  <si>
    <t>12av</t>
  </si>
  <si>
    <t>12aw</t>
  </si>
  <si>
    <t>12ax</t>
  </si>
  <si>
    <t>12ay</t>
  </si>
  <si>
    <t>12az</t>
  </si>
  <si>
    <t>12ba</t>
  </si>
  <si>
    <t>12bb</t>
  </si>
  <si>
    <t>12bc</t>
  </si>
  <si>
    <t>12bd</t>
  </si>
  <si>
    <t>12be</t>
  </si>
  <si>
    <t>12bh</t>
  </si>
  <si>
    <t>12bi</t>
  </si>
  <si>
    <t>12bk</t>
  </si>
  <si>
    <t>12bl</t>
  </si>
  <si>
    <t>12bm</t>
  </si>
  <si>
    <t>12bn</t>
  </si>
  <si>
    <t>12bo</t>
  </si>
  <si>
    <t>12bp</t>
  </si>
  <si>
    <t>12bq</t>
  </si>
  <si>
    <t>12br</t>
  </si>
  <si>
    <t>12bs</t>
  </si>
  <si>
    <t>12bt</t>
  </si>
  <si>
    <t>12bu</t>
  </si>
  <si>
    <t>12bv</t>
  </si>
  <si>
    <t>12bw</t>
  </si>
  <si>
    <t>12bx</t>
  </si>
  <si>
    <t>12by</t>
  </si>
  <si>
    <t>12bz</t>
  </si>
  <si>
    <t>12ca</t>
  </si>
  <si>
    <t>12cb</t>
  </si>
  <si>
    <t>12cc</t>
  </si>
  <si>
    <t>12cd</t>
  </si>
  <si>
    <t>12ce</t>
  </si>
  <si>
    <t>12cf</t>
  </si>
  <si>
    <t>12cg</t>
  </si>
  <si>
    <t>12ch</t>
  </si>
  <si>
    <t>12ci</t>
  </si>
  <si>
    <t>12ck</t>
  </si>
  <si>
    <t>12cl</t>
  </si>
  <si>
    <t>12cm</t>
  </si>
  <si>
    <t>12cn</t>
  </si>
  <si>
    <t>12co</t>
  </si>
  <si>
    <t>12cp</t>
  </si>
  <si>
    <t xml:space="preserve">           Net value of all capital assets</t>
  </si>
  <si>
    <t>4a</t>
  </si>
  <si>
    <t>4b</t>
  </si>
  <si>
    <t>4c</t>
  </si>
  <si>
    <t>4d</t>
  </si>
  <si>
    <t>4e</t>
  </si>
  <si>
    <t>4f</t>
  </si>
  <si>
    <t>5f</t>
  </si>
  <si>
    <t>5g</t>
  </si>
  <si>
    <t>5h</t>
  </si>
  <si>
    <t>5i</t>
  </si>
  <si>
    <t>(38)</t>
  </si>
  <si>
    <t>2i</t>
  </si>
  <si>
    <t>2j</t>
  </si>
  <si>
    <t>2k</t>
  </si>
  <si>
    <t>2l</t>
  </si>
  <si>
    <t>2n</t>
  </si>
  <si>
    <t>2m</t>
  </si>
  <si>
    <t>2o</t>
  </si>
  <si>
    <t>2p</t>
  </si>
  <si>
    <t>2q</t>
  </si>
  <si>
    <t>2r</t>
  </si>
  <si>
    <t>2s</t>
  </si>
  <si>
    <t>2t</t>
  </si>
  <si>
    <t>2u</t>
  </si>
  <si>
    <t>2v</t>
  </si>
  <si>
    <t>2w</t>
  </si>
  <si>
    <t>2x</t>
  </si>
  <si>
    <t>2y</t>
  </si>
  <si>
    <t>2z</t>
  </si>
  <si>
    <t>2aa</t>
  </si>
  <si>
    <t>2ab</t>
  </si>
  <si>
    <t>2ac</t>
  </si>
  <si>
    <t>2ad</t>
  </si>
  <si>
    <t>3j</t>
  </si>
  <si>
    <t>3k</t>
  </si>
  <si>
    <t>3l</t>
  </si>
  <si>
    <t>3n</t>
  </si>
  <si>
    <t>3m</t>
  </si>
  <si>
    <t>3o</t>
  </si>
  <si>
    <t>3p</t>
  </si>
  <si>
    <t>3q</t>
  </si>
  <si>
    <t>Total  Deferred outflows</t>
  </si>
  <si>
    <t>16a</t>
  </si>
  <si>
    <t>16b</t>
  </si>
  <si>
    <t>16c</t>
  </si>
  <si>
    <t>16d</t>
  </si>
  <si>
    <t>16e</t>
  </si>
  <si>
    <t>16f</t>
  </si>
  <si>
    <t>18a</t>
  </si>
  <si>
    <t>18b</t>
  </si>
  <si>
    <t>18c</t>
  </si>
  <si>
    <t>18d</t>
  </si>
  <si>
    <t>18e</t>
  </si>
  <si>
    <t>18f</t>
  </si>
  <si>
    <t>18g</t>
  </si>
  <si>
    <t>20a</t>
  </si>
  <si>
    <t>20b</t>
  </si>
  <si>
    <t>20c</t>
  </si>
  <si>
    <t>20d</t>
  </si>
  <si>
    <t>20e</t>
  </si>
  <si>
    <t>20f</t>
  </si>
  <si>
    <t>7e</t>
  </si>
  <si>
    <t>WP-AA, Col (5)</t>
  </si>
  <si>
    <t>WP-AC, Col (1) line 5</t>
  </si>
  <si>
    <t>WP-AD,Col (1) line 5</t>
  </si>
  <si>
    <t>WP-AE, Col (3) line 2</t>
  </si>
  <si>
    <t>See WP-AA; Col (3), Ln 2x</t>
  </si>
  <si>
    <t>See WP-AG; Col (3) ,Ln 4</t>
  </si>
  <si>
    <t>See WP-AH; Col (3) ,Ln 4</t>
  </si>
  <si>
    <t>WP-BA, Col (4)</t>
  </si>
  <si>
    <t>Relicensing Reclassification</t>
  </si>
  <si>
    <t>Exhibit No. PA-102, WP-AC</t>
  </si>
  <si>
    <t>This work paper includes total NYPA PBOP which is allocated to transmission by labor ratio as shown on Schedule A2.</t>
  </si>
  <si>
    <t>14a</t>
  </si>
  <si>
    <t>14b</t>
  </si>
  <si>
    <t>14c</t>
  </si>
  <si>
    <t>14d</t>
  </si>
  <si>
    <t>14e</t>
  </si>
  <si>
    <t>14f</t>
  </si>
  <si>
    <t>18h</t>
  </si>
  <si>
    <t>20g</t>
  </si>
  <si>
    <t>20h</t>
  </si>
  <si>
    <t>20i</t>
  </si>
  <si>
    <t>20j</t>
  </si>
  <si>
    <t>20k</t>
  </si>
  <si>
    <t>22h</t>
  </si>
  <si>
    <t>22i</t>
  </si>
  <si>
    <t>22j</t>
  </si>
  <si>
    <t>22k</t>
  </si>
  <si>
    <t>22l</t>
  </si>
  <si>
    <t>22n</t>
  </si>
  <si>
    <t>(Note I)</t>
  </si>
  <si>
    <t>Requires approval by FERC of incentive return applicable to the specified project(s). A negative number of basis points may be entered to reduce the ROE applicable to a project if a FERC order specifies a lower return for that project.</t>
  </si>
  <si>
    <t>I</t>
  </si>
  <si>
    <t>The discount is the reduction in revenue, if any, that NYPA agreed to, for instance, to be selected to build facilities as the result of a competitive process and equals the amount by which the annual revenue requirement is reduced from the ceiling rate</t>
  </si>
  <si>
    <t xml:space="preserve">Sum Col. 15 + 16 </t>
  </si>
  <si>
    <t>Current Year</t>
  </si>
  <si>
    <t>Sch B2, Line 13, Col 9</t>
  </si>
  <si>
    <t>Sch B2, Line 12, Col 9</t>
  </si>
  <si>
    <t>1/  NYPA does not pay EPRI dues</t>
  </si>
  <si>
    <t>Page 354 line 21</t>
  </si>
  <si>
    <t>Page 354 lines 17, 20, 24</t>
  </si>
  <si>
    <t>Page 321 line 83</t>
  </si>
  <si>
    <t>Page 321 lines 85-92</t>
  </si>
  <si>
    <t>Page 321 line 93</t>
  </si>
  <si>
    <t>Page 321 line 97</t>
  </si>
  <si>
    <t>Page 321 line 101</t>
  </si>
  <si>
    <t>Page 321 line 102-106</t>
  </si>
  <si>
    <t>Page 321 line 107</t>
  </si>
  <si>
    <t>Page 321 line 108</t>
  </si>
  <si>
    <t>Page 321 line 109</t>
  </si>
  <si>
    <t>Page 321 line 110</t>
  </si>
  <si>
    <t>Page 323 line 181</t>
  </si>
  <si>
    <t>Page 323 line 182</t>
  </si>
  <si>
    <t>Page 323 line 183</t>
  </si>
  <si>
    <t>Page 323 line 184</t>
  </si>
  <si>
    <t>Page 323 line 185</t>
  </si>
  <si>
    <t>Page 323 line 186</t>
  </si>
  <si>
    <t>Page 323 line 187</t>
  </si>
  <si>
    <t>Page 323 line 189</t>
  </si>
  <si>
    <t>Page 323 line 190.5</t>
  </si>
  <si>
    <t>Page 323 line 191</t>
  </si>
  <si>
    <t>Page 323 line 192</t>
  </si>
  <si>
    <t>Page 323 line 192.5</t>
  </si>
  <si>
    <t>Page 323 line 193</t>
  </si>
  <si>
    <t>Page 323 line 196</t>
  </si>
  <si>
    <t>ln. 8 + ln. 27 + ln. 37</t>
  </si>
  <si>
    <t>ln. 35 - ln. 27</t>
  </si>
  <si>
    <t>ln. 16 + ln. 45 + ln. 100.5 - ln. 8 - ln. 37</t>
  </si>
  <si>
    <t>ln. 58 + ln. 100.6 - ln. 48</t>
  </si>
  <si>
    <t>ln. 48</t>
  </si>
  <si>
    <t>ln. 99</t>
  </si>
  <si>
    <t>ln. 86</t>
  </si>
  <si>
    <t>ln. 99 - ln. 86</t>
  </si>
  <si>
    <t>(Sum lines 1-25)</t>
  </si>
  <si>
    <t>7/</t>
  </si>
  <si>
    <t>6/  WP-CB; Col 3, Ln 3</t>
  </si>
  <si>
    <t>Note:  The FACTS project data is based on NYPA's financial records with adherence to FERC's Uniform System of Accounts and U.S. generally accepted accounting principles.</t>
  </si>
  <si>
    <t>Note:  The Cost of Removal data is based on NYPA's accounting records under the provisions of FASB Accounting Standards Codification Topic 980.</t>
  </si>
  <si>
    <t>SCHEDULE  D2</t>
  </si>
  <si>
    <t xml:space="preserve">PROJECT SPECIFIC CAPITAL STRUCTURE AND COST OF CAPITAL </t>
  </si>
  <si>
    <t>PROJECT NET PLANT</t>
  </si>
  <si>
    <t>PROJECT BASE RETURN</t>
  </si>
  <si>
    <t>PROJECT ALLOWED RETURN</t>
  </si>
  <si>
    <t>PROJECT SPECIFIC RETURN ADJUSTMENT</t>
  </si>
  <si>
    <t>Exhibit No. PA-102, SCH-D2</t>
  </si>
  <si>
    <t>Schedule D2</t>
  </si>
  <si>
    <t>Total Project Specific Return Adustment</t>
  </si>
  <si>
    <t>Line 4 + Line 6 + Line 6a</t>
  </si>
  <si>
    <t>(14a)</t>
  </si>
  <si>
    <t>(Sum Col. 11 + 13 + 14 +14a)</t>
  </si>
  <si>
    <t>Discount</t>
  </si>
  <si>
    <t>Project 1 - Marcy South Series Compensation - Capital Structure</t>
  </si>
  <si>
    <t>Net Proceeds Long Term Debt</t>
  </si>
  <si>
    <t xml:space="preserve">Net Proceeds Long Term Debt </t>
  </si>
  <si>
    <t>Plant in Service
(p. 204-207 column (g))</t>
  </si>
  <si>
    <t>Gross Proceeds Outstanding LT Debt</t>
  </si>
  <si>
    <t>Bonds</t>
  </si>
  <si>
    <t>Other Long Term Debt</t>
  </si>
  <si>
    <t>Unamortized Gain on Reacquired Debt</t>
  </si>
  <si>
    <t xml:space="preserve">Amortization of Loss on Reacquired Debt </t>
  </si>
  <si>
    <t xml:space="preserve">Amort. of Debt Disc. and Expense </t>
  </si>
  <si>
    <t>Long Term Debt Cost</t>
  </si>
  <si>
    <t xml:space="preserve">Interest on Long-Term Debt </t>
  </si>
  <si>
    <t>(Less) Reacquired Bonds</t>
  </si>
  <si>
    <t xml:space="preserve">Unamortized Premium on Long-Term Debt </t>
  </si>
  <si>
    <t>(Less) Unamortized Debt Expenses</t>
  </si>
  <si>
    <t>(Less) Unamortized Loss on Reacquired Debt</t>
  </si>
  <si>
    <t>Net Position</t>
  </si>
  <si>
    <t>p. 112 ln. 18 c,d</t>
  </si>
  <si>
    <t>p. 112 ln. 19 c,d</t>
  </si>
  <si>
    <t>p. 112 ln. 21 c,d</t>
  </si>
  <si>
    <t>p. 112 ln. 23 c,d</t>
  </si>
  <si>
    <t>p. 111 ln. 69 c,d</t>
  </si>
  <si>
    <t>p. 111 ln. 81 c,d</t>
  </si>
  <si>
    <t>p. 112 ln. 22 c,d</t>
  </si>
  <si>
    <t>p. 113 ln. 61 c,d</t>
  </si>
  <si>
    <t>p. 117 ln. 62 c,d</t>
  </si>
  <si>
    <t>p. 117 ln. 63 c,d</t>
  </si>
  <si>
    <t>p. 117 ln. 64 c,d</t>
  </si>
  <si>
    <t>p. 117 ln. 65 c,d</t>
  </si>
  <si>
    <t>p. 117 ln. 66 c,d</t>
  </si>
  <si>
    <t>ln. 20 + ln. 23</t>
  </si>
  <si>
    <t>Schedule D2, Col 3, Ln A</t>
  </si>
  <si>
    <t>(Less) Amort. of Premium on Debt</t>
  </si>
  <si>
    <t>(Less) Amortization of Gain on Reacquired Debt</t>
  </si>
  <si>
    <t>(Less) Unamortized Discount on Long-Term Debt</t>
  </si>
  <si>
    <t xml:space="preserve">Total Long Term Debt Interest </t>
  </si>
  <si>
    <t>Total Long Term Debt Interest</t>
  </si>
  <si>
    <t>Sch B2; Col 9, Sum Ln 5, 6 and 10</t>
  </si>
  <si>
    <t>Col. (5) - Col. (4)</t>
  </si>
  <si>
    <t>(Col. (6) + Col. (7)) x</t>
  </si>
  <si>
    <t xml:space="preserve">Col. (8) x 24 months </t>
  </si>
  <si>
    <t>Col. (6) + Col. (7)</t>
  </si>
  <si>
    <t xml:space="preserve"> + Col. (9)</t>
  </si>
  <si>
    <t>the Actual Revenues Received will be allocated pro rata to each project based on their Actual Net Revenue Requirement in col (5).</t>
  </si>
  <si>
    <t>Depreciation (p.219)</t>
  </si>
  <si>
    <t>7/ CWIP, Regulatory Asset and Abandoned Plant are zero until an amount is authorized by FERC as shown below.  CWIP amount is shown in the NYPA Form 1 Equivalent, page 216, line 1</t>
  </si>
  <si>
    <t>NYPA Form 1 Equivalent</t>
  </si>
  <si>
    <r>
      <rPr>
        <b/>
        <sz val="12"/>
        <color indexed="8"/>
        <rFont val="Arial"/>
        <family val="2"/>
      </rPr>
      <t>NYPA Form 1</t>
    </r>
    <r>
      <rPr>
        <b/>
        <u/>
        <sz val="12"/>
        <color indexed="8"/>
        <rFont val="Arial"/>
        <family val="2"/>
      </rPr>
      <t xml:space="preserve"> Equivalent</t>
    </r>
  </si>
  <si>
    <t xml:space="preserve"> from WP-DA 1/</t>
  </si>
  <si>
    <t>from WP-DA 2/</t>
  </si>
  <si>
    <t>Col (3) Ln (4) *  WP-DA Col (7) Ln (4)</t>
  </si>
  <si>
    <t>Col (3); Ln (3) * Ln (4)</t>
  </si>
  <si>
    <t xml:space="preserve">       (2) and (3).</t>
  </si>
  <si>
    <t>ln. 24 - Cost of Removal 5/</t>
  </si>
  <si>
    <t>ln. 27 - Cost of Removal 5/</t>
  </si>
  <si>
    <t>ln. 22 - Cost of Removal 5/</t>
  </si>
  <si>
    <t>3/   Marcy South Capitalized Lease amount is added separately to the Rate Base.</t>
  </si>
  <si>
    <t xml:space="preserve">        SCPPs include Brentwood, Gowanus, Harlem River, Hell Gate, Kent, Pouch and Vernon. Small Hydro includes Ashokan, Crescent, Jarvis and Vischer Ferry. </t>
  </si>
  <si>
    <t>1/   Cost of Removal: Bringing back to accumulated depreciation cost of removal which was reclassified to regulatory liabilities in annual report.</t>
  </si>
  <si>
    <t>5/   The difference between the Accumulated Depreciation contained in the NYPA Form 1 Equivalent and the amount contained here is equal to the Cost of Removal.</t>
  </si>
  <si>
    <t xml:space="preserve">      The Long-Term Debt share is calculated as 1 minus the Common Equity share.</t>
  </si>
  <si>
    <t xml:space="preserve">      Section 205 or 206 filing to FERC.</t>
  </si>
  <si>
    <t xml:space="preserve">      FPA Section 205 or 206 filing to FERC.</t>
  </si>
  <si>
    <t xml:space="preserve">      The MSSC Long-Term Debt share is calculated as 1 minus the Common Equity share.</t>
  </si>
  <si>
    <t>1/  See Schedule-E1, Col (3), Ln 2</t>
  </si>
  <si>
    <t>2/   The ROE listed in Col (2) Ln (2) is the base ROE plus 50 basis-point incentive for RTO participation.  ROE may only be changed pursuant to an FPA</t>
  </si>
  <si>
    <t>1/   The Common Equity share listed in Col (1) is capped at 50%.  The cap may only be changed pursuant to an FPA Section 205 or 206 filing to FERC.</t>
  </si>
  <si>
    <t>Gross Transmission Plant that is included on Schedule B2, Ln 17, Col 5.</t>
  </si>
  <si>
    <t>Project Depreciation Expense is the amount in Schedule B1, Ln 26, Col. 2 that is associated with the specified project.  Project Depreciation Expense includes the amortization of Abandoned Plant and any FERC approved Regulatory Asset.  
However, if FERC grants accelerated depreciation for a project the depreciation rate authorized by FERC will be used instead of the rates shown on Schedule B3 for all other projects.</t>
  </si>
  <si>
    <t xml:space="preserve">increase in ROE would be multiplied by 137 on Schedule F1, Col. 13. </t>
  </si>
  <si>
    <t>Prior Period Adjustments are when an error is discovered relating to a prior true-up or refunds/surcharges ordered by FERC.  The interest on the Prior Period Adjustment excludes interest for the current true up period, because the interest is included in Ln 25 Col (d).</t>
  </si>
  <si>
    <t>5/:  The ROE listed in Col (6), Ln (3) is the base ROE plus 50 basis-point incentive for RTO participation.  ROE may only be changed pursuant to an</t>
  </si>
  <si>
    <t xml:space="preserve">      is fixed and cannot be modified or deleted absent an FPA Section 205 or 206 filing to FERC.  The Applied Equity Share in Col (5) Ln (3) will be the </t>
  </si>
  <si>
    <t xml:space="preserve">      actual common equity share, not to exceed the Equity Cap in Col (4) Ln (3).  The debt share is calculated as 1 minus the equity share.</t>
  </si>
  <si>
    <t>4/:  The capital structure listed in Col (3) is calculated based on the total capitalization amount listed in column (2).  The Equity Cap in Col (4) Ln (3)</t>
  </si>
  <si>
    <t>6/:  The Long-Term Debt Amount ($) in Col (2) Ln (1) is the Gross Proceeds Outstanding Long Term Debt, the average of WP-DB Ln (3e), Col</t>
  </si>
  <si>
    <t>5/  Average of year-end inventory Materials &amp; Supplies (WP-CA).  NYPA Form 1 Equivalent, page 227, Ln 12, average of columns b and c.</t>
  </si>
  <si>
    <t>Workpaper WP-DB Ln (5), average of Col (2) and (3)</t>
  </si>
  <si>
    <t>Workpaper WP-DB Col (2) Ln (2)</t>
  </si>
  <si>
    <t>Workpaper WP-DB Ln (4), average of Col (2) and (3)</t>
  </si>
  <si>
    <t>Project X</t>
  </si>
  <si>
    <t>1/   The MSSC Common Equity share listed in Col (1) is capped at 53%.  The cap may only be changed pursuant to an FPA Section 205 or 206 filing to FERC.</t>
  </si>
  <si>
    <t>2/   The MSSC  ROE listed in Col (2) Ln (2) is the base ROE plus 50 basis-point incentive Congestion Relief Adder.  ROE may only be changed pursuant to an FPA</t>
  </si>
  <si>
    <t>PROJECT SPECIFIC CAPITAL STRUCTURE AND COST OF CAPITAL 3/</t>
  </si>
  <si>
    <t xml:space="preserve">7/:   The Long-Term Debt Cost Rate is calculated as the Total Long Term Debt Interest [Workpaper WP-DB Col (2) Ln (2)] divided by the Net Proceeds </t>
  </si>
  <si>
    <t xml:space="preserve">       Long Term Debt [Workpaper WP-DB row (4), average of Col (2) and (3)]. </t>
  </si>
  <si>
    <t>Less A/C 930.5</t>
  </si>
  <si>
    <t>Less line 12</t>
  </si>
  <si>
    <t>(sum lines 16 to 21)</t>
  </si>
  <si>
    <t>(sum lines 1 to 22)</t>
  </si>
  <si>
    <t xml:space="preserve">     Admin &amp; General allocated to transmission [Workpaper WP-AA Col (4) ln (2ab) multiplied by Workpaper E1-Labor Ratio Col (3) ln (2)] for data pertaining to calendar years 2016 and later.</t>
  </si>
  <si>
    <t xml:space="preserve">3/   Additional project-specific capital structures added to this Schedule D2 must be approved by FERC.  The cost of long-term debt and common equity </t>
  </si>
  <si>
    <t xml:space="preserve">      for any such project shall reflect the cost rates in Col (2), Lns (1) and (2) unless a different cost rate is approved by FERC.</t>
  </si>
  <si>
    <t>YEAR ENDING DECEMBER 31, ____</t>
  </si>
  <si>
    <t xml:space="preserve">____ Annual Report </t>
  </si>
  <si>
    <t xml:space="preserve">2/  Column 5 is populated as 0 (zero) for data pertaining to calendar years ____ and 2015. It is populated as a sum of Transmission R&amp;D Expense [Workpaper WP-AA Col (3) ln(2ab)] plus the portion of </t>
  </si>
  <si>
    <t>3/  Populated as 0 (zero) for data pertaining to calendar years ____ and 2015.  Populated as WP-AA Col (3) for data pertaining to calendar years 2016 and later.</t>
  </si>
  <si>
    <t>Col (3); Ln (6) - Ln (5)</t>
  </si>
  <si>
    <t>391.2</t>
  </si>
  <si>
    <t>391.3</t>
  </si>
  <si>
    <t>Computer Equipment 5 yr</t>
  </si>
  <si>
    <t>Computer Equipment 10 yr</t>
  </si>
  <si>
    <t>399</t>
  </si>
  <si>
    <t>2) Schedule F1, Page 2 of 2, col (16).</t>
  </si>
  <si>
    <r>
      <rPr>
        <sz val="10"/>
        <color indexed="8"/>
        <rFont val="Arial"/>
        <family val="2"/>
      </rPr>
      <t>depreciation rates above will be weighted based on the relative amount of underlying plant booked to the accounts</t>
    </r>
    <r>
      <rPr>
        <sz val="10"/>
        <rFont val="Arial"/>
        <family val="2"/>
      </rPr>
      <t xml:space="preserve"> </t>
    </r>
  </si>
  <si>
    <r>
      <rPr>
        <sz val="10"/>
        <color indexed="8"/>
        <rFont val="Arial"/>
        <family val="2"/>
      </rPr>
      <t>shown in lines 1-9 above and the weighted average depreciation rate will be used to amortize the CIAC.</t>
    </r>
    <r>
      <rPr>
        <sz val="10"/>
        <rFont val="Arial"/>
        <family val="2"/>
      </rPr>
      <t xml:space="preserve"> The life of a</t>
    </r>
  </si>
  <si>
    <t>without prior FERC approval.</t>
  </si>
  <si>
    <r>
      <rPr>
        <sz val="10"/>
        <color indexed="8"/>
        <rFont val="Arial"/>
        <family val="2"/>
      </rPr>
      <t xml:space="preserve">In the event a Contribution in Aid of Construction (CIAC) is made for a transmission facility, the transmission </t>
    </r>
    <r>
      <rPr>
        <sz val="10"/>
        <rFont val="Arial"/>
        <family val="2"/>
      </rPr>
      <t xml:space="preserve"> </t>
    </r>
  </si>
  <si>
    <t xml:space="preserve">This schedule does not contain updated depreciation rates for the Long Island Sound Cable, an asset not included in the NYPA </t>
  </si>
  <si>
    <t>of the bonds purchased to construct the facility in 1991.</t>
  </si>
  <si>
    <r>
      <t xml:space="preserve"> </t>
    </r>
    <r>
      <rPr>
        <sz val="10"/>
        <color indexed="8"/>
        <rFont val="Arial"/>
        <family val="2"/>
      </rPr>
      <t>Rate (Annual) Percent</t>
    </r>
    <r>
      <rPr>
        <sz val="10"/>
        <rFont val="Arial"/>
        <family val="2"/>
      </rPr>
      <t xml:space="preserve"> 1/</t>
    </r>
  </si>
  <si>
    <t>Long Island Sound Cable 2/</t>
  </si>
  <si>
    <r>
      <t xml:space="preserve"> </t>
    </r>
    <r>
      <rPr>
        <sz val="10"/>
        <color indexed="8"/>
        <rFont val="Arial"/>
        <family val="2"/>
      </rPr>
      <t>Miscellaneous Equipment</t>
    </r>
    <r>
      <rPr>
        <sz val="10"/>
        <rFont val="Arial"/>
        <family val="2"/>
      </rPr>
      <t xml:space="preserve"> 4/</t>
    </r>
  </si>
  <si>
    <t>Where no depreciation rate is listed for a transmission or general plant account for a particular project (other than the Long Island</t>
  </si>
  <si>
    <t xml:space="preserve">Sound Cable), NYPA lacks depreciable plant as of 12/31/2015 (or all plant has been fully depreciated). If new plant corresponding to these </t>
  </si>
  <si>
    <t>Fully accrued.  If plant added to Marcy-South Account 396,  8.33% rate applies; if plant added to Niagara Account 393, 3.33% rate applies.</t>
  </si>
  <si>
    <t>accounts is subsequently added for the relevant projects, the “New Project” depreciation rate for the relevant account will apply.</t>
  </si>
  <si>
    <t>For Headquarters Account 398, plant nearly fully accrued.  If plant is added to this account, 5.00% rate applies.</t>
  </si>
  <si>
    <t xml:space="preserve">debt service, and consistent with past practice NYPA uses a 30-year depreciable life for the cable based on the 30-year term of </t>
  </si>
  <si>
    <t>Depreciation Study filed at FERC in 2017.  NYPA recovers the cost of the cable from the Long Island Power Authority through</t>
  </si>
  <si>
    <r>
      <t xml:space="preserve">facility subject to a CIAC will be equivalent to the depreciation rate calculated above, i.e., 100% </t>
    </r>
    <r>
      <rPr>
        <sz val="9"/>
        <rFont val="Arial"/>
        <family val="2"/>
      </rPr>
      <t>÷</t>
    </r>
    <r>
      <rPr>
        <sz val="10"/>
        <rFont val="Arial"/>
        <family val="2"/>
      </rPr>
      <t xml:space="preserve"> deprecation rate = life</t>
    </r>
  </si>
  <si>
    <t>in years. The estimated life of the facility or rights associated with the facility will not change  over the life of a CIAC</t>
  </si>
  <si>
    <r>
      <rPr>
        <sz val="10"/>
        <color indexed="8"/>
        <rFont val="Arial"/>
        <family val="2"/>
      </rPr>
      <t>These depreciation rates will not change absent the appropriate filing at FERC.</t>
    </r>
    <r>
      <rPr>
        <sz val="10"/>
        <rFont val="Arial"/>
        <family val="2"/>
      </rPr>
      <t xml:space="preserve"> </t>
    </r>
  </si>
  <si>
    <t>Based on Plant Data Year Ending December 31, 2015 (as filed with FERC in 2017 and as modified by settlement filed in Docket Nos. EL17-67, et al.)</t>
  </si>
  <si>
    <t>2017</t>
  </si>
  <si>
    <t>Station Equip - Transmission</t>
  </si>
  <si>
    <t>2017 Amount ($)</t>
  </si>
  <si>
    <t> 12/31/2001</t>
  </si>
  <si>
    <t>157       </t>
  </si>
  <si>
    <t>729308 </t>
  </si>
  <si>
    <t>Asset Impairment (FASB 121) - Vernon Boulevard</t>
  </si>
  <si>
    <t> 11/30/2002</t>
  </si>
  <si>
    <t>158       </t>
  </si>
  <si>
    <t>Asset Impairment (FASB 121) - Gowanus         </t>
  </si>
  <si>
    <t>160       </t>
  </si>
  <si>
    <t>Asset Impairment (FASB 121) - Pouch Terminal  </t>
  </si>
  <si>
    <t> 12/31/2003</t>
  </si>
  <si>
    <t>WriteOff  Asset Retirement Cost - V B Impaired</t>
  </si>
  <si>
    <t> 11/30/2004</t>
  </si>
  <si>
    <t>220       </t>
  </si>
  <si>
    <t>Asset Impairment (FAS 144) - Marcy  FACTS/CSC </t>
  </si>
  <si>
    <t>159       </t>
  </si>
  <si>
    <t>Asset Impairment (FAS 144) - Kent, Bklyn      </t>
  </si>
  <si>
    <t>161       </t>
  </si>
  <si>
    <t>Asset Impairment (FAS 144) - Brentwood, L.I.  </t>
  </si>
  <si>
    <t>Relicensing Costs</t>
  </si>
  <si>
    <t>Niagara Relicense Compliance &amp; Implement Costs</t>
  </si>
  <si>
    <t>Niagara Relicense Other Payments '07</t>
  </si>
  <si>
    <t>STL Relicensing Re: Fish Enhancement</t>
  </si>
  <si>
    <t>ST. Lawrence Relicensing Re: Community Enhance Fun</t>
  </si>
  <si>
    <t>STL Relicensing Re:  Habitat Improvement Funds</t>
  </si>
  <si>
    <t>ST. Lawrence Relicensing Re: Local Reccreation Fac</t>
  </si>
  <si>
    <t>STL Relicense Re: Seaway Equity Corp.</t>
  </si>
  <si>
    <t>STL. Relicensing-WHWMA Inprovement Proj</t>
  </si>
  <si>
    <t>Blenheim Gilboa Relicensing Costs</t>
  </si>
  <si>
    <t>St. Lawrence:</t>
  </si>
  <si>
    <t>St. Lawrence - Station Equipment</t>
  </si>
  <si>
    <t>Step-Up Transformer</t>
  </si>
  <si>
    <t>Blenheim Gilboa</t>
  </si>
  <si>
    <t>Niagara:</t>
  </si>
  <si>
    <t>Niagara -  Station Equipment 6 Units</t>
  </si>
  <si>
    <t>Step-Up Transformer &amp; Related Equipment - Unit # 6</t>
  </si>
  <si>
    <t>Step-Up Transformer &amp; Related Equipment - Unit # 5</t>
  </si>
  <si>
    <t>Step-Up Transformer &amp; Related Equipment - Unit # 12</t>
  </si>
  <si>
    <t>Step-Up Transformer &amp; Related Equipment - Unit # 11</t>
  </si>
  <si>
    <t>Step-Up Transformer &amp; Related Equipment - Unit # 7</t>
  </si>
  <si>
    <t>Step-Up Transformer &amp; Related Equipment - Unit # 3</t>
  </si>
  <si>
    <t>Step-Up Transformer &amp; Related Equipment - Unit # 9</t>
  </si>
  <si>
    <t>J. A.  FitzPatrick</t>
  </si>
  <si>
    <t xml:space="preserve">                    -  </t>
  </si>
  <si>
    <t xml:space="preserve">                   -  </t>
  </si>
  <si>
    <t>500MW C - C at Astoria:</t>
  </si>
  <si>
    <t>Step-Up Transformer GTB 7A</t>
  </si>
  <si>
    <t>Step-Up Transformer GTB 7B</t>
  </si>
  <si>
    <t>Step-Up Transformer STG</t>
  </si>
  <si>
    <t>Marcy CSC Building, Electronics, Software, Xfmrs -</t>
  </si>
  <si>
    <t>Oakdale (NYSEG) SubStation 345kv Capacitor Bank</t>
  </si>
  <si>
    <t>Marcy CSC Transformer - 345kv, 200mva</t>
  </si>
  <si>
    <t>Marcy CSC Gas Circuit Breaker - 345kv, 3000a  GE</t>
  </si>
  <si>
    <t>Marcy CSC Disconnect Switches (Five) - 362kv</t>
  </si>
  <si>
    <t>Marcy CSC 3000 Bay w/Equipment</t>
  </si>
  <si>
    <t>Marcy CSC Relay/Protection/Control Equipment</t>
  </si>
  <si>
    <t>Edic (NMPC) SubStation 345kv Capacitor Bank</t>
  </si>
  <si>
    <t>Circuit Breaker Monitoring System</t>
  </si>
  <si>
    <t>Remote Terminal Units</t>
  </si>
  <si>
    <t>Marcy CSC Transformer - 345kv, 100mva</t>
  </si>
  <si>
    <t>Marcy CSC Gas Circuit Breaker - 362kv,   GE</t>
  </si>
  <si>
    <t>CSC   Potential Xfmrs, 345kV, SF6 Gas (Fourteen)</t>
  </si>
  <si>
    <t>CSC   Current  Xfmrs, 362kV, SF6 Gas   (Seven)</t>
  </si>
  <si>
    <t>Marcy CSC   Disconnect Switches, 345kV   (Eleven)</t>
  </si>
  <si>
    <t>CSC   Motor Oper Disconnect Switches, 38kV  (Four)</t>
  </si>
  <si>
    <t>Marcy CSC Gas Circuit Breaker - 35kVA,  SF6  (Two)</t>
  </si>
  <si>
    <t>Marcy CSC   Power &amp; Control Cable</t>
  </si>
  <si>
    <t>Marcy CSC   Surge Arresters</t>
  </si>
  <si>
    <t>CEC Circuit Switcher Upgrade</t>
  </si>
  <si>
    <t>Remote Terminal Units CMC-MAD-11-AAAQ</t>
  </si>
  <si>
    <t>105 - Blenheim-Gilboa</t>
  </si>
  <si>
    <t>110 - St. Lawrence</t>
  </si>
  <si>
    <t>115 - Niagara</t>
  </si>
  <si>
    <t>310 - Headquarters</t>
  </si>
  <si>
    <t>220 - Marcy /Clark Trans</t>
  </si>
  <si>
    <t>235 - Sound Cable</t>
  </si>
  <si>
    <t>BLENHEIM - GILBOA</t>
  </si>
  <si>
    <t>Land &amp; Land Rights</t>
  </si>
  <si>
    <t>J. A. FITZPATRICK</t>
  </si>
  <si>
    <t>LONG ISLAND SOUND CABLE</t>
  </si>
  <si>
    <t>MARCY-SOUTH</t>
  </si>
  <si>
    <t>MASSENA - MARCY  (Clark)</t>
  </si>
  <si>
    <t>St.  LAWRENCE / FDR</t>
  </si>
  <si>
    <t>HEADQUARTERS</t>
  </si>
  <si>
    <t>Land &amp; Land Rights - Pathnode Substation WF</t>
  </si>
  <si>
    <t>ASHOKAN / KENSICO</t>
  </si>
  <si>
    <t>Waterwheels, Turbines, Generators</t>
  </si>
  <si>
    <t>Reservoirs, Dams, Waterways</t>
  </si>
  <si>
    <t>Accessory Electric Equipment</t>
  </si>
  <si>
    <t>Misc Power Plant Equipment</t>
  </si>
  <si>
    <t>Roads, Railroads &amp; Bridges</t>
  </si>
  <si>
    <t>Cost of Removal Deprec to Reg Assets (Prod)</t>
  </si>
  <si>
    <t>Boiler Plant Equipment</t>
  </si>
  <si>
    <t>TurboGenerator Units</t>
  </si>
  <si>
    <t>FuelHolders, Producers, Accessory</t>
  </si>
  <si>
    <t>Generators</t>
  </si>
  <si>
    <t>Capital Lease Asset (Manual)</t>
  </si>
  <si>
    <t>Impairment (Prod)</t>
  </si>
  <si>
    <t>Station Equipment - Windfarm Assets acq. 12-1-11</t>
  </si>
  <si>
    <t>Asset Impairment</t>
  </si>
  <si>
    <t>Impairment (Trans)</t>
  </si>
  <si>
    <t>Reclassification to deferred liability</t>
  </si>
  <si>
    <t>Cost of Removal Deprec to Reg Assets (Trans)</t>
  </si>
  <si>
    <t>Transprt.Equip-500MW</t>
  </si>
  <si>
    <t>Power Oper Eqp-500MW</t>
  </si>
  <si>
    <t>Cost of Removal Deprec to Reg Assets (Gen)</t>
  </si>
  <si>
    <t>NYPA/940300</t>
  </si>
  <si>
    <t>NYPA/950100</t>
  </si>
  <si>
    <t>NYPA/950600</t>
  </si>
  <si>
    <t>NYPA/951200</t>
  </si>
  <si>
    <t>NYPA/951400</t>
  </si>
  <si>
    <t>NYPA/953500</t>
  </si>
  <si>
    <t>NYPA/953700</t>
  </si>
  <si>
    <t>NYPA/953800</t>
  </si>
  <si>
    <t>NYPA/953900</t>
  </si>
  <si>
    <t>NYPA/954100</t>
  </si>
  <si>
    <t>NYPA/954200</t>
  </si>
  <si>
    <t>NYPA/954300</t>
  </si>
  <si>
    <t>NYPA/954400</t>
  </si>
  <si>
    <t>NYPA/954500</t>
  </si>
  <si>
    <t>NYPA/954600</t>
  </si>
  <si>
    <t>NYPA/954800</t>
  </si>
  <si>
    <t>NYPA/954900</t>
  </si>
  <si>
    <t>NYPA/955100</t>
  </si>
  <si>
    <t>NYPA/955200</t>
  </si>
  <si>
    <t>NYPA/955300</t>
  </si>
  <si>
    <t>NYPA/955400</t>
  </si>
  <si>
    <t>NYPA/955500</t>
  </si>
  <si>
    <t>NYPA/956000</t>
  </si>
  <si>
    <t>NYPA/956100</t>
  </si>
  <si>
    <t>NYPA/956200</t>
  </si>
  <si>
    <t>NYPA/956500</t>
  </si>
  <si>
    <t>NYPA/956600</t>
  </si>
  <si>
    <t>NYPA/956800</t>
  </si>
  <si>
    <t>NYPA/956900</t>
  </si>
  <si>
    <t>NYPA/957000</t>
  </si>
  <si>
    <t>NYPA/957100</t>
  </si>
  <si>
    <t>NYPA/957200</t>
  </si>
  <si>
    <t>NYPA/957300</t>
  </si>
  <si>
    <t>NYPA/920000</t>
  </si>
  <si>
    <t>NYPA/992400</t>
  </si>
  <si>
    <t>NYPA/992600</t>
  </si>
  <si>
    <t>NYPA/992800</t>
  </si>
  <si>
    <t>NYPA/993000</t>
  </si>
  <si>
    <t>NYPA/920030</t>
  </si>
  <si>
    <t>NYPA/993020</t>
  </si>
  <si>
    <t>NYPA/993500</t>
  </si>
  <si>
    <t>0100/700</t>
  </si>
  <si>
    <t>0100/800</t>
  </si>
  <si>
    <t>CES</t>
  </si>
  <si>
    <t>Canal Corp</t>
  </si>
  <si>
    <t>12/31/2017 ($)</t>
  </si>
  <si>
    <t>Land-Canal System</t>
  </si>
  <si>
    <t>CIP- Canal System</t>
  </si>
  <si>
    <t>Canal System</t>
  </si>
  <si>
    <t>12cq</t>
  </si>
  <si>
    <t>12cs</t>
  </si>
  <si>
    <t>12cr</t>
  </si>
  <si>
    <t>12ct</t>
  </si>
  <si>
    <t>12cu</t>
  </si>
  <si>
    <t>12cv</t>
  </si>
  <si>
    <t>12cw</t>
  </si>
  <si>
    <t>12cx</t>
  </si>
  <si>
    <t>12cy</t>
  </si>
  <si>
    <t>12cz</t>
  </si>
  <si>
    <t>12da</t>
  </si>
  <si>
    <t>MSSC</t>
  </si>
  <si>
    <t>Impairment Cost</t>
  </si>
  <si>
    <t>Canal Reimbursement Agreement</t>
  </si>
  <si>
    <t>DECEMBER 2017</t>
  </si>
  <si>
    <t>Investments in securiries- restricted</t>
  </si>
  <si>
    <t>Pensions (Note 10)</t>
  </si>
  <si>
    <t xml:space="preserve">Pensions </t>
  </si>
  <si>
    <t>Accumulated increase in fair value of hedging</t>
  </si>
  <si>
    <t>930.9- Misc Adj. And Other Cr</t>
  </si>
  <si>
    <t>3r</t>
  </si>
  <si>
    <t>3s</t>
  </si>
  <si>
    <t>NYPA/941710</t>
  </si>
  <si>
    <t>4171 -    Non-Utility Oper Exp</t>
  </si>
  <si>
    <t>2ae</t>
  </si>
  <si>
    <t>2af</t>
  </si>
  <si>
    <t>4171 -    Non-Utility Depreciation Expense</t>
  </si>
  <si>
    <t>4171 -    Depreciation Expense Non Utility</t>
  </si>
  <si>
    <t>YEAR ENDING DECEMBER 31, 2018</t>
  </si>
  <si>
    <t>2018</t>
  </si>
  <si>
    <t>2017-2018 EXCLUDED PLANT IN SERVICE</t>
  </si>
  <si>
    <t>NYPA/954810</t>
  </si>
  <si>
    <t>5481 - OP-Operation Energy Storage Equip</t>
  </si>
  <si>
    <t>0100/901</t>
  </si>
  <si>
    <t>Large Energy Storage</t>
  </si>
  <si>
    <t>1ba</t>
  </si>
  <si>
    <t>2018-2017</t>
  </si>
  <si>
    <t>2018 Amount ($)</t>
  </si>
  <si>
    <t>DECEMBER 2018</t>
  </si>
  <si>
    <t>Postemployment benefits other than pensions (Note 11)</t>
  </si>
  <si>
    <t>25d</t>
  </si>
  <si>
    <t>2ag</t>
  </si>
  <si>
    <t>NTAC True-up Collection</t>
  </si>
  <si>
    <t>MSSC True Up Collection</t>
  </si>
  <si>
    <t>Overstatment of Interest on Long Term Debt NTAC</t>
  </si>
  <si>
    <t>Overstatment of Interest on Long Term Debt MSSC</t>
  </si>
  <si>
    <t>14g</t>
  </si>
  <si>
    <t>2017 - 2018 Average</t>
  </si>
  <si>
    <t>12/31/2018 ($)</t>
  </si>
  <si>
    <t>Included General &amp; Transmission Plant - Depreciation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</si>
</sst>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5" formatCode="&quot;$&quot;#,##0_);\(&quot;$&quot;#,##0\)"/>
    <numFmt numFmtId="41" formatCode="_(* #,##0_);_(* \(#,##0\);_(* &quot;-&quot;_);_(@_)"/>
    <numFmt numFmtId="44" formatCode="_(&quot;$&quot;* #,##0.00_);_(&quot;$&quot;* \(#,##0.00\);_(&quot;$&quot;* &quot;-&quot;??_);_(@_)"/>
    <numFmt numFmtId="43" formatCode="_(* #,##0.00_);_(* \(#,##0.00\);_(* &quot;-&quot;??_);_(@_)"/>
    <numFmt numFmtId="164" formatCode="0_)"/>
    <numFmt numFmtId="165" formatCode="dd\-mmm\-yy_)"/>
    <numFmt numFmtId="166" formatCode="0.000%"/>
    <numFmt numFmtId="167" formatCode="&quot;$&quot;#,##0"/>
    <numFmt numFmtId="168" formatCode="_(* #,##0_);_(* \(#,##0\);_(* &quot;-&quot;??_);_(@_)"/>
    <numFmt numFmtId="169" formatCode="#,##0;\(#,##0\)"/>
    <numFmt numFmtId="170" formatCode="_(&quot;$&quot;* #,##0_);_(&quot;$&quot;* \(#,##0\);_(&quot;$&quot;* &quot;-&quot;??_);_(@_)"/>
    <numFmt numFmtId="171" formatCode="0.0%"/>
    <numFmt numFmtId="172" formatCode="0.00_)"/>
    <numFmt numFmtId="173" formatCode="0_);\(0\)"/>
    <numFmt numFmtId="174" formatCode="\$\ #,##0.00"/>
    <numFmt numFmtId="175" formatCode="&quot;$&quot;#,##0.00"/>
    <numFmt numFmtId="176" formatCode="#,##0.00000"/>
    <numFmt numFmtId="177" formatCode="_(* #,##0.0000_);_(* \(#,##0.0000\);_(* &quot;-&quot;??_);_(@_)"/>
    <numFmt numFmtId="178" formatCode="0.0000"/>
    <numFmt numFmtId="179" formatCode="_(* #,##0.000_);_(* \(#,##0.000\);_(* &quot;-&quot;??_);_(@_)"/>
    <numFmt numFmtId="180" formatCode="_(* #,##0.0_);_(* \(#,##0.0\);_(* &quot;-&quot;??_);_(@_)"/>
    <numFmt numFmtId="181" formatCode="#,##0\ \ \ ;[Red]\(#,##0\)\ \ ;\—\ \ \ \ "/>
    <numFmt numFmtId="182" formatCode="#,##0\ \ \ \ ;[Red]\(#,##0\)\ \ \ ;\—\ \ \ \ "/>
    <numFmt numFmtId="183" formatCode="#,##0\ \ ;[Red]\(#,##0\)\ ;\—\ \ "/>
    <numFmt numFmtId="184" formatCode="#,##0\ ;\(#,##0\);\-\ \ \ \ \ "/>
    <numFmt numFmtId="185" formatCode="#,##0\ ;\(#,##0\);\–\ \ \ \ \ "/>
    <numFmt numFmtId="186" formatCode="#,##0.0;\(#,##0.00\)"/>
    <numFmt numFmtId="187" formatCode="_(* #,##0.00000_);_(* \(#,##0.00000\);_(* &quot;-&quot;??_);_(@_)"/>
    <numFmt numFmtId="188" formatCode="#,##0.0"/>
  </numFmts>
  <fonts count="164">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4"/>
      <color indexed="8"/>
      <name val="Arial"/>
      <family val="2"/>
    </font>
    <font>
      <b/>
      <sz val="14"/>
      <color indexed="8"/>
      <name val="Arial"/>
      <family val="2"/>
    </font>
    <font>
      <sz val="18"/>
      <color indexed="8"/>
      <name val="Arial"/>
      <family val="2"/>
    </font>
    <font>
      <sz val="12"/>
      <color indexed="8"/>
      <name val="Arial"/>
      <family val="2"/>
    </font>
    <font>
      <b/>
      <sz val="12"/>
      <color indexed="8"/>
      <name val="Arial"/>
      <family val="2"/>
    </font>
    <font>
      <b/>
      <sz val="10"/>
      <color indexed="8"/>
      <name val="Arial"/>
      <family val="2"/>
    </font>
    <font>
      <sz val="12"/>
      <color indexed="8"/>
      <name val="Arial"/>
      <family val="2"/>
    </font>
    <font>
      <sz val="12"/>
      <name val="Courier"/>
      <family val="3"/>
    </font>
    <font>
      <sz val="14"/>
      <name val="Courier"/>
      <family val="3"/>
    </font>
    <font>
      <sz val="8"/>
      <name val="Arial"/>
      <family val="2"/>
    </font>
    <font>
      <sz val="12"/>
      <name val="Arial"/>
      <family val="2"/>
    </font>
    <font>
      <sz val="12"/>
      <name val="Arial"/>
      <family val="2"/>
    </font>
    <font>
      <b/>
      <sz val="12"/>
      <name val="Arial"/>
      <family val="2"/>
    </font>
    <font>
      <b/>
      <sz val="10"/>
      <name val="Arial"/>
      <family val="2"/>
    </font>
    <font>
      <sz val="11"/>
      <color theme="1"/>
      <name val="Calibri"/>
      <family val="2"/>
      <scheme val="minor"/>
    </font>
    <font>
      <b/>
      <sz val="11"/>
      <color theme="1"/>
      <name val="Calibri"/>
      <family val="2"/>
      <scheme val="minor"/>
    </font>
    <font>
      <sz val="11"/>
      <name val="Calibri"/>
      <family val="2"/>
      <scheme val="minor"/>
    </font>
    <font>
      <sz val="10"/>
      <name val="Arial"/>
      <family val="2"/>
    </font>
    <font>
      <sz val="11"/>
      <color indexed="8"/>
      <name val="Calibri"/>
      <family val="2"/>
    </font>
    <font>
      <sz val="10"/>
      <color indexed="8"/>
      <name val="Arial"/>
      <family val="2"/>
    </font>
    <font>
      <sz val="10"/>
      <color indexed="39"/>
      <name val="Arial"/>
      <family val="2"/>
    </font>
    <font>
      <b/>
      <sz val="16"/>
      <color indexed="23"/>
      <name val="Arial"/>
      <family val="2"/>
    </font>
    <font>
      <sz val="10"/>
      <color indexed="10"/>
      <name val="Arial"/>
      <family val="2"/>
    </font>
    <font>
      <sz val="10"/>
      <name val="Courier"/>
      <family val="3"/>
    </font>
    <font>
      <b/>
      <sz val="14"/>
      <color rgb="FFFF0000"/>
      <name val="Arial"/>
      <family val="2"/>
    </font>
    <font>
      <b/>
      <u/>
      <sz val="10"/>
      <name val="Courier"/>
      <family val="3"/>
    </font>
    <font>
      <sz val="10"/>
      <name val="Courier"/>
      <family val="3"/>
    </font>
    <font>
      <sz val="10"/>
      <color rgb="FFFF0000"/>
      <name val="Arial"/>
      <family val="2"/>
    </font>
    <font>
      <b/>
      <u/>
      <sz val="14"/>
      <color theme="1"/>
      <name val="Arial"/>
      <family val="2"/>
    </font>
    <font>
      <sz val="14"/>
      <color rgb="FFFF0000"/>
      <name val="Arial"/>
      <family val="2"/>
    </font>
    <font>
      <b/>
      <sz val="14"/>
      <name val="Arial"/>
      <family val="2"/>
    </font>
    <font>
      <sz val="14"/>
      <name val="Arial"/>
      <family val="2"/>
    </font>
    <font>
      <sz val="10"/>
      <name val="Arial"/>
      <family val="2"/>
    </font>
    <font>
      <sz val="11"/>
      <color rgb="FF1F497D"/>
      <name val="Calibri"/>
      <family val="2"/>
    </font>
    <font>
      <b/>
      <sz val="12"/>
      <name val="Calibri"/>
      <family val="2"/>
      <scheme val="minor"/>
    </font>
    <font>
      <sz val="10"/>
      <name val="Calibri"/>
      <family val="2"/>
      <scheme val="minor"/>
    </font>
    <font>
      <sz val="12"/>
      <name val="Calibri"/>
      <family val="2"/>
      <scheme val="minor"/>
    </font>
    <font>
      <b/>
      <u/>
      <sz val="12"/>
      <name val="Courier"/>
      <family val="3"/>
    </font>
    <font>
      <b/>
      <sz val="10"/>
      <name val="Calibri"/>
      <family val="2"/>
      <scheme val="minor"/>
    </font>
    <font>
      <sz val="10"/>
      <color rgb="FFFF0000"/>
      <name val="Calibri"/>
      <family val="2"/>
      <scheme val="minor"/>
    </font>
    <font>
      <sz val="12"/>
      <color theme="1"/>
      <name val="Calibri"/>
      <family val="2"/>
      <scheme val="minor"/>
    </font>
    <font>
      <sz val="9"/>
      <name val="Calibri"/>
      <family val="2"/>
      <scheme val="minor"/>
    </font>
    <font>
      <i/>
      <sz val="10"/>
      <name val="Calibri"/>
      <family val="2"/>
      <scheme val="minor"/>
    </font>
    <font>
      <sz val="14"/>
      <color indexed="8"/>
      <name val="Calibri"/>
      <family val="2"/>
      <scheme val="minor"/>
    </font>
    <font>
      <sz val="14"/>
      <color rgb="FFFF0000"/>
      <name val="Calibri"/>
      <family val="2"/>
      <scheme val="minor"/>
    </font>
    <font>
      <u/>
      <sz val="14"/>
      <color indexed="8"/>
      <name val="Calibri"/>
      <family val="2"/>
      <scheme val="minor"/>
    </font>
    <font>
      <b/>
      <sz val="9"/>
      <color indexed="8"/>
      <name val="Arial"/>
      <family val="2"/>
    </font>
    <font>
      <sz val="9"/>
      <name val="Courier"/>
      <family val="3"/>
    </font>
    <font>
      <b/>
      <u/>
      <sz val="9"/>
      <name val="Courier"/>
      <family val="3"/>
    </font>
    <font>
      <b/>
      <u/>
      <sz val="12"/>
      <name val="Calibri"/>
      <family val="2"/>
      <scheme val="minor"/>
    </font>
    <font>
      <b/>
      <sz val="14"/>
      <color indexed="8"/>
      <name val="Calibri"/>
      <family val="2"/>
      <scheme val="minor"/>
    </font>
    <font>
      <b/>
      <sz val="12"/>
      <color indexed="8"/>
      <name val="Calibri"/>
      <family val="2"/>
      <scheme val="minor"/>
    </font>
    <font>
      <sz val="12"/>
      <color indexed="8"/>
      <name val="Calibri"/>
      <family val="2"/>
      <scheme val="minor"/>
    </font>
    <font>
      <b/>
      <sz val="12"/>
      <color rgb="FFFF0000"/>
      <name val="Calibri"/>
      <family val="2"/>
      <scheme val="minor"/>
    </font>
    <font>
      <b/>
      <sz val="14"/>
      <name val="Calibri"/>
      <family val="2"/>
      <scheme val="minor"/>
    </font>
    <font>
      <b/>
      <i/>
      <sz val="12"/>
      <name val="Calibri"/>
      <family val="2"/>
      <scheme val="minor"/>
    </font>
    <font>
      <b/>
      <sz val="9"/>
      <name val="Calibri"/>
      <family val="2"/>
      <scheme val="minor"/>
    </font>
    <font>
      <sz val="10"/>
      <name val="Arial"/>
      <family val="2"/>
    </font>
    <font>
      <u/>
      <sz val="10"/>
      <color theme="10"/>
      <name val="Courier"/>
      <family val="3"/>
    </font>
    <font>
      <b/>
      <sz val="10"/>
      <color indexed="39"/>
      <name val="Arial"/>
      <family val="2"/>
    </font>
    <font>
      <b/>
      <sz val="11"/>
      <color indexed="8"/>
      <name val="Arial"/>
      <family val="2"/>
    </font>
    <font>
      <b/>
      <sz val="10"/>
      <color rgb="FFFF0000"/>
      <name val="Calibri"/>
      <family val="2"/>
      <scheme val="minor"/>
    </font>
    <font>
      <u/>
      <sz val="9"/>
      <name val="Courier"/>
      <family val="3"/>
    </font>
    <font>
      <sz val="9"/>
      <color indexed="8"/>
      <name val="Arial"/>
      <family val="2"/>
    </font>
    <font>
      <sz val="9"/>
      <color indexed="8"/>
      <name val="Calibri"/>
      <family val="2"/>
      <scheme val="minor"/>
    </font>
    <font>
      <b/>
      <sz val="9"/>
      <color rgb="FFFF0000"/>
      <name val="Arial"/>
      <family val="2"/>
    </font>
    <font>
      <sz val="12"/>
      <name val="Arial MT"/>
    </font>
    <font>
      <sz val="10"/>
      <name val="Times New Roman"/>
      <family val="1"/>
    </font>
    <font>
      <sz val="10"/>
      <color indexed="17"/>
      <name val="Times New Roman"/>
      <family val="1"/>
    </font>
    <font>
      <b/>
      <sz val="10"/>
      <name val="Times New Roman"/>
      <family val="1"/>
    </font>
    <font>
      <sz val="10"/>
      <name val="Arial Narrow"/>
      <family val="2"/>
    </font>
    <font>
      <sz val="12"/>
      <name val="Times New Roman"/>
      <family val="1"/>
    </font>
    <font>
      <sz val="12"/>
      <name val="Arial Narrow"/>
      <family val="2"/>
    </font>
    <font>
      <b/>
      <sz val="10"/>
      <color indexed="8"/>
      <name val="Calibri"/>
      <family val="2"/>
      <scheme val="minor"/>
    </font>
    <font>
      <sz val="10"/>
      <color indexed="8"/>
      <name val="Calibri"/>
      <family val="2"/>
      <scheme val="minor"/>
    </font>
    <font>
      <sz val="12"/>
      <name val="Calibri"/>
      <family val="2"/>
    </font>
    <font>
      <sz val="10"/>
      <name val="Arial"/>
      <family val="2"/>
    </font>
    <font>
      <sz val="11"/>
      <name val="Times New Roman"/>
      <family val="1"/>
    </font>
    <font>
      <sz val="12"/>
      <color theme="1"/>
      <name val="Arial"/>
      <family val="2"/>
    </font>
    <font>
      <b/>
      <sz val="12"/>
      <color theme="1"/>
      <name val="Arial"/>
      <family val="2"/>
    </font>
    <font>
      <b/>
      <i/>
      <sz val="12"/>
      <name val="Arial"/>
      <family val="2"/>
    </font>
    <font>
      <b/>
      <u/>
      <sz val="12"/>
      <name val="Arial"/>
      <family val="2"/>
    </font>
    <font>
      <b/>
      <sz val="12"/>
      <name val="Calibri"/>
      <family val="2"/>
    </font>
    <font>
      <b/>
      <sz val="16"/>
      <color theme="1"/>
      <name val="Arial"/>
      <family val="2"/>
    </font>
    <font>
      <b/>
      <sz val="14"/>
      <color theme="1"/>
      <name val="Calibri"/>
      <family val="2"/>
      <scheme val="minor"/>
    </font>
    <font>
      <b/>
      <sz val="13"/>
      <color indexed="8"/>
      <name val="Arial"/>
      <family val="2"/>
    </font>
    <font>
      <b/>
      <u/>
      <sz val="10"/>
      <name val="Calibri"/>
      <family val="2"/>
      <scheme val="minor"/>
    </font>
    <font>
      <b/>
      <u/>
      <sz val="10"/>
      <name val="Arial"/>
      <family val="2"/>
    </font>
    <font>
      <u/>
      <sz val="12"/>
      <name val="Arial"/>
      <family val="2"/>
    </font>
    <font>
      <b/>
      <sz val="11"/>
      <color rgb="FF000000"/>
      <name val="Arial"/>
      <family val="2"/>
    </font>
    <font>
      <b/>
      <sz val="11"/>
      <name val="Arial"/>
      <family val="2"/>
    </font>
    <font>
      <sz val="11"/>
      <color rgb="FF000000"/>
      <name val="Arial"/>
      <family val="2"/>
    </font>
    <font>
      <sz val="11"/>
      <name val="Arial"/>
      <family val="2"/>
    </font>
    <font>
      <b/>
      <u val="singleAccounting"/>
      <sz val="12"/>
      <name val="Arial"/>
      <family val="2"/>
    </font>
    <font>
      <sz val="12"/>
      <color rgb="FF000000"/>
      <name val="Arial"/>
      <family val="2"/>
    </font>
    <font>
      <sz val="11"/>
      <color theme="1"/>
      <name val="Arial"/>
      <family val="2"/>
    </font>
    <font>
      <b/>
      <u/>
      <sz val="12"/>
      <color indexed="8"/>
      <name val="Arial"/>
      <family val="2"/>
    </font>
    <font>
      <sz val="12"/>
      <color rgb="FFFF0000"/>
      <name val="Arial"/>
      <family val="2"/>
    </font>
    <font>
      <b/>
      <sz val="11"/>
      <color theme="1"/>
      <name val="Arial"/>
      <family val="2"/>
    </font>
    <font>
      <sz val="12"/>
      <color rgb="FF0033CC"/>
      <name val="Arial"/>
      <family val="2"/>
    </font>
    <font>
      <b/>
      <sz val="16"/>
      <color indexed="8"/>
      <name val="Calibri"/>
      <family val="2"/>
      <scheme val="minor"/>
    </font>
    <font>
      <b/>
      <sz val="16"/>
      <color indexed="8"/>
      <name val="Arial"/>
      <family val="2"/>
    </font>
    <font>
      <sz val="14"/>
      <name val="Calibri"/>
      <family val="2"/>
      <scheme val="minor"/>
    </font>
    <font>
      <sz val="14"/>
      <name val="Courier"/>
      <family val="3"/>
    </font>
    <font>
      <sz val="9"/>
      <name val="Arial"/>
      <family val="2"/>
    </font>
    <font>
      <i/>
      <sz val="10"/>
      <name val="Arial"/>
      <family val="2"/>
    </font>
    <font>
      <u/>
      <sz val="10"/>
      <name val="Arial"/>
      <family val="2"/>
    </font>
    <font>
      <i/>
      <sz val="9"/>
      <name val="Arial"/>
      <family val="2"/>
    </font>
    <font>
      <sz val="10"/>
      <color rgb="FF0070C0"/>
      <name val="Arial"/>
      <family val="2"/>
    </font>
    <font>
      <b/>
      <sz val="12"/>
      <color rgb="FF0070C0"/>
      <name val="Arial"/>
      <family val="2"/>
    </font>
    <font>
      <b/>
      <u/>
      <sz val="10"/>
      <color indexed="8"/>
      <name val="Arial"/>
      <family val="2"/>
    </font>
    <font>
      <i/>
      <sz val="12"/>
      <color indexed="8"/>
      <name val="Arial"/>
      <family val="2"/>
    </font>
    <font>
      <b/>
      <i/>
      <sz val="10"/>
      <name val="Arial"/>
      <family val="2"/>
    </font>
    <font>
      <u/>
      <sz val="12"/>
      <color indexed="8"/>
      <name val="Arial"/>
      <family val="2"/>
    </font>
    <font>
      <u/>
      <sz val="10"/>
      <color indexed="8"/>
      <name val="Arial"/>
      <family val="2"/>
    </font>
    <font>
      <u/>
      <sz val="10"/>
      <color rgb="FFFF0000"/>
      <name val="Arial"/>
      <family val="2"/>
    </font>
    <font>
      <u val="singleAccounting"/>
      <sz val="10"/>
      <name val="Arial"/>
      <family val="2"/>
    </font>
    <font>
      <b/>
      <sz val="10"/>
      <color rgb="FFFF0000"/>
      <name val="Arial"/>
      <family val="2"/>
    </font>
    <font>
      <sz val="12"/>
      <color indexed="10"/>
      <name val="Arial"/>
      <family val="2"/>
    </font>
    <font>
      <strike/>
      <sz val="10"/>
      <name val="Arial"/>
      <family val="2"/>
    </font>
    <font>
      <u val="singleAccounting"/>
      <sz val="11"/>
      <color rgb="FF000000"/>
      <name val="Arial"/>
      <family val="2"/>
    </font>
    <font>
      <sz val="9"/>
      <name val="Courier"/>
    </font>
    <font>
      <sz val="8"/>
      <name val="Courier"/>
      <family val="3"/>
    </font>
    <font>
      <sz val="8"/>
      <name val="Courier"/>
    </font>
    <font>
      <sz val="8"/>
      <name val="Calibri"/>
      <family val="2"/>
      <scheme val="minor"/>
    </font>
    <font>
      <b/>
      <sz val="8"/>
      <name val="Calibri"/>
      <family val="2"/>
      <scheme val="minor"/>
    </font>
    <font>
      <sz val="9"/>
      <color theme="1"/>
      <name val="Arial"/>
      <family val="2"/>
    </font>
    <font>
      <b/>
      <sz val="9"/>
      <color theme="1"/>
      <name val="Arial"/>
      <family val="2"/>
    </font>
    <font>
      <b/>
      <sz val="9"/>
      <name val="Arial"/>
      <family val="2"/>
    </font>
    <font>
      <b/>
      <sz val="11"/>
      <name val="Calibri"/>
      <family val="2"/>
      <scheme val="minor"/>
    </font>
    <font>
      <b/>
      <u val="singleAccounting"/>
      <sz val="11"/>
      <color theme="1"/>
      <name val="Calibri"/>
      <family val="2"/>
      <scheme val="minor"/>
    </font>
    <font>
      <sz val="13"/>
      <name val="Times New Roman"/>
      <family val="1"/>
    </font>
    <font>
      <sz val="11"/>
      <color rgb="FF000000"/>
      <name val="Calibri"/>
      <family val="2"/>
    </font>
    <font>
      <sz val="9"/>
      <color rgb="FFFF0000"/>
      <name val="Arial"/>
      <family val="2"/>
    </font>
    <font>
      <b/>
      <u val="singleAccounting"/>
      <sz val="11"/>
      <name val="Calibri"/>
      <family val="2"/>
      <scheme val="minor"/>
    </font>
    <font>
      <sz val="10"/>
      <name val="Courier"/>
    </font>
    <font>
      <sz val="12"/>
      <color theme="1"/>
      <name val="Courier"/>
      <family val="3"/>
    </font>
    <font>
      <sz val="14"/>
      <color theme="1"/>
      <name val="Arial"/>
      <family val="2"/>
    </font>
    <font>
      <sz val="10"/>
      <color theme="1"/>
      <name val="Courier"/>
    </font>
    <font>
      <b/>
      <sz val="12"/>
      <color theme="1"/>
      <name val="Calibri"/>
      <family val="2"/>
      <scheme val="minor"/>
    </font>
    <font>
      <sz val="13"/>
      <color theme="1"/>
      <name val="Times New Roman"/>
      <family val="1"/>
    </font>
    <font>
      <sz val="12"/>
      <color rgb="FFFF0000"/>
      <name val="Courier"/>
      <family val="3"/>
    </font>
    <font>
      <sz val="10"/>
      <color rgb="FFFF0000"/>
      <name val="Courier"/>
    </font>
    <font>
      <b/>
      <sz val="12"/>
      <color rgb="FFFF0000"/>
      <name val="Arial"/>
      <family val="2"/>
    </font>
    <font>
      <sz val="20"/>
      <color rgb="FFFF0000"/>
      <name val="Arial"/>
      <family val="2"/>
    </font>
  </fonts>
  <fills count="41">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rgb="FFFFFF00"/>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
      <patternFill patternType="solid">
        <fgColor indexed="43"/>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rgb="FFFFFF99"/>
        <bgColor indexed="64"/>
      </patternFill>
    </fill>
    <fill>
      <patternFill patternType="solid">
        <fgColor theme="4" tint="0.79998168889431442"/>
        <bgColor indexed="64"/>
      </patternFill>
    </fill>
  </fills>
  <borders count="65">
    <border>
      <left/>
      <right/>
      <top/>
      <bottom/>
      <diagonal/>
    </border>
    <border>
      <left style="thin">
        <color indexed="8"/>
      </left>
      <right style="thin">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auto="1"/>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style="medium">
        <color auto="1"/>
      </top>
      <bottom style="medium">
        <color auto="1"/>
      </bottom>
      <diagonal/>
    </border>
    <border>
      <left/>
      <right/>
      <top style="thick">
        <color auto="1"/>
      </top>
      <bottom style="thick">
        <color auto="1"/>
      </bottom>
      <diagonal/>
    </border>
    <border>
      <left/>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style="thin">
        <color auto="1"/>
      </left>
      <right style="thin">
        <color indexed="64"/>
      </right>
      <top/>
      <bottom style="medium">
        <color auto="1"/>
      </bottom>
      <diagonal/>
    </border>
    <border>
      <left style="thin">
        <color auto="1"/>
      </left>
      <right/>
      <top/>
      <bottom style="medium">
        <color auto="1"/>
      </bottom>
      <diagonal/>
    </border>
    <border>
      <left style="thin">
        <color indexed="64"/>
      </left>
      <right/>
      <top style="medium">
        <color auto="1"/>
      </top>
      <bottom style="medium">
        <color indexed="64"/>
      </bottom>
      <diagonal/>
    </border>
    <border>
      <left style="medium">
        <color theme="1"/>
      </left>
      <right style="medium">
        <color theme="1"/>
      </right>
      <top style="medium">
        <color theme="1"/>
      </top>
      <bottom style="medium">
        <color theme="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theme="1"/>
      </bottom>
      <diagonal/>
    </border>
    <border>
      <left/>
      <right/>
      <top style="medium">
        <color indexed="64"/>
      </top>
      <bottom/>
      <diagonal/>
    </border>
    <border>
      <left style="thin">
        <color indexed="64"/>
      </left>
      <right style="thin">
        <color auto="1"/>
      </right>
      <top style="medium">
        <color auto="1"/>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524">
    <xf numFmtId="164" fontId="0" fillId="0" borderId="0"/>
    <xf numFmtId="43" fontId="30" fillId="0" borderId="0" applyFont="0" applyFill="0" applyBorder="0" applyAlignment="0" applyProtection="0"/>
    <xf numFmtId="44" fontId="30" fillId="0" borderId="0" applyFont="0" applyFill="0" applyBorder="0" applyAlignment="0" applyProtection="0"/>
    <xf numFmtId="0" fontId="33" fillId="0" borderId="0"/>
    <xf numFmtId="0" fontId="30" fillId="0" borderId="0"/>
    <xf numFmtId="0" fontId="28" fillId="0" borderId="0"/>
    <xf numFmtId="0" fontId="28" fillId="0" borderId="0"/>
    <xf numFmtId="9" fontId="3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6"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8" fillId="0" borderId="0">
      <alignment vertical="top"/>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6" fillId="0" borderId="0" applyFont="0" applyFill="0" applyBorder="0" applyAlignment="0" applyProtection="0"/>
    <xf numFmtId="4" fontId="38" fillId="5" borderId="7" applyNumberFormat="0" applyProtection="0">
      <alignment vertical="center"/>
    </xf>
    <xf numFmtId="4" fontId="39" fillId="5" borderId="7" applyNumberFormat="0" applyProtection="0">
      <alignment vertical="center"/>
    </xf>
    <xf numFmtId="4" fontId="38" fillId="5" borderId="7" applyNumberFormat="0" applyProtection="0">
      <alignment horizontal="left" vertical="center" indent="1"/>
    </xf>
    <xf numFmtId="4" fontId="38" fillId="5" borderId="7" applyNumberFormat="0" applyProtection="0">
      <alignment horizontal="left" vertical="center" indent="1"/>
    </xf>
    <xf numFmtId="0" fontId="36" fillId="6" borderId="7" applyNumberFormat="0" applyProtection="0">
      <alignment horizontal="left" vertical="center" indent="1"/>
    </xf>
    <xf numFmtId="4" fontId="38" fillId="7" borderId="7" applyNumberFormat="0" applyProtection="0">
      <alignment horizontal="right" vertical="center"/>
    </xf>
    <xf numFmtId="4" fontId="38" fillId="8" borderId="7" applyNumberFormat="0" applyProtection="0">
      <alignment horizontal="right" vertical="center"/>
    </xf>
    <xf numFmtId="4" fontId="38" fillId="2" borderId="7" applyNumberFormat="0" applyProtection="0">
      <alignment horizontal="right" vertical="center"/>
    </xf>
    <xf numFmtId="4" fontId="38" fillId="9" borderId="7" applyNumberFormat="0" applyProtection="0">
      <alignment horizontal="right" vertical="center"/>
    </xf>
    <xf numFmtId="4" fontId="38" fillId="10" borderId="7" applyNumberFormat="0" applyProtection="0">
      <alignment horizontal="right" vertical="center"/>
    </xf>
    <xf numFmtId="4" fontId="38" fillId="11" borderId="7" applyNumberFormat="0" applyProtection="0">
      <alignment horizontal="right" vertical="center"/>
    </xf>
    <xf numFmtId="4" fontId="38" fillId="12" borderId="7" applyNumberFormat="0" applyProtection="0">
      <alignment horizontal="right" vertical="center"/>
    </xf>
    <xf numFmtId="4" fontId="38" fillId="13" borderId="7" applyNumberFormat="0" applyProtection="0">
      <alignment horizontal="right" vertical="center"/>
    </xf>
    <xf numFmtId="4" fontId="38" fillId="3" borderId="7" applyNumberFormat="0" applyProtection="0">
      <alignment horizontal="right" vertical="center"/>
    </xf>
    <xf numFmtId="4" fontId="24" fillId="14" borderId="7" applyNumberFormat="0" applyProtection="0">
      <alignment horizontal="left" vertical="center" indent="1"/>
    </xf>
    <xf numFmtId="4" fontId="38" fillId="15" borderId="8" applyNumberFormat="0" applyProtection="0">
      <alignment horizontal="left" vertical="center" indent="1"/>
    </xf>
    <xf numFmtId="4" fontId="23" fillId="16" borderId="0" applyNumberFormat="0" applyProtection="0">
      <alignment horizontal="left" vertical="center" indent="1"/>
    </xf>
    <xf numFmtId="0" fontId="36" fillId="6" borderId="7" applyNumberFormat="0" applyProtection="0">
      <alignment horizontal="left" vertical="center" indent="1"/>
    </xf>
    <xf numFmtId="4" fontId="38" fillId="15" borderId="7" applyNumberFormat="0" applyProtection="0">
      <alignment horizontal="left" vertical="center" indent="1"/>
    </xf>
    <xf numFmtId="4" fontId="38" fillId="17" borderId="7" applyNumberFormat="0" applyProtection="0">
      <alignment horizontal="left" vertical="center" indent="1"/>
    </xf>
    <xf numFmtId="0" fontId="36" fillId="17" borderId="7" applyNumberFormat="0" applyProtection="0">
      <alignment horizontal="left" vertical="center" indent="1"/>
    </xf>
    <xf numFmtId="0" fontId="36" fillId="17" borderId="7" applyNumberFormat="0" applyProtection="0">
      <alignment horizontal="left" vertical="center" indent="1"/>
    </xf>
    <xf numFmtId="0" fontId="36" fillId="18" borderId="7" applyNumberFormat="0" applyProtection="0">
      <alignment horizontal="left" vertical="center" indent="1"/>
    </xf>
    <xf numFmtId="0" fontId="36" fillId="18" borderId="7" applyNumberFormat="0" applyProtection="0">
      <alignment horizontal="left" vertical="center" indent="1"/>
    </xf>
    <xf numFmtId="0" fontId="36" fillId="19" borderId="7" applyNumberFormat="0" applyProtection="0">
      <alignment horizontal="left" vertical="center" indent="1"/>
    </xf>
    <xf numFmtId="0" fontId="36" fillId="19"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4" fontId="38" fillId="20" borderId="7" applyNumberFormat="0" applyProtection="0">
      <alignment vertical="center"/>
    </xf>
    <xf numFmtId="4" fontId="39" fillId="20" borderId="7" applyNumberFormat="0" applyProtection="0">
      <alignment vertical="center"/>
    </xf>
    <xf numFmtId="4" fontId="38" fillId="20" borderId="7" applyNumberFormat="0" applyProtection="0">
      <alignment horizontal="left" vertical="center" indent="1"/>
    </xf>
    <xf numFmtId="4" fontId="38" fillId="20" borderId="7" applyNumberFormat="0" applyProtection="0">
      <alignment horizontal="left" vertical="center" indent="1"/>
    </xf>
    <xf numFmtId="4" fontId="38" fillId="15" borderId="7" applyNumberFormat="0" applyProtection="0">
      <alignment horizontal="right" vertical="center"/>
    </xf>
    <xf numFmtId="4" fontId="39" fillId="15" borderId="7" applyNumberFormat="0" applyProtection="0">
      <alignment horizontal="right" vertical="center"/>
    </xf>
    <xf numFmtId="0" fontId="36" fillId="6" borderId="7" applyNumberFormat="0" applyProtection="0">
      <alignment horizontal="left" vertical="center" indent="1"/>
    </xf>
    <xf numFmtId="0" fontId="36" fillId="6" borderId="7" applyNumberFormat="0" applyProtection="0">
      <alignment horizontal="left" vertical="center" indent="1"/>
    </xf>
    <xf numFmtId="0" fontId="40" fillId="0" borderId="0"/>
    <xf numFmtId="4" fontId="41" fillId="15" borderId="7" applyNumberFormat="0" applyProtection="0">
      <alignment horizontal="right" vertical="center"/>
    </xf>
    <xf numFmtId="0" fontId="29" fillId="0" borderId="0"/>
    <xf numFmtId="43" fontId="29" fillId="0" borderId="0" applyFont="0" applyFill="0" applyBorder="0" applyAlignment="0" applyProtection="0"/>
    <xf numFmtId="9" fontId="29"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43" fontId="36" fillId="0" borderId="0" applyFont="0" applyFill="0" applyBorder="0" applyAlignment="0" applyProtection="0"/>
    <xf numFmtId="43" fontId="29" fillId="0" borderId="0" applyFont="0" applyFill="0" applyBorder="0" applyAlignment="0" applyProtection="0"/>
    <xf numFmtId="0" fontId="18" fillId="0" borderId="0"/>
    <xf numFmtId="0" fontId="29" fillId="0" borderId="0"/>
    <xf numFmtId="0" fontId="36" fillId="0" borderId="0"/>
    <xf numFmtId="9" fontId="29"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0" fontId="17" fillId="0" borderId="0"/>
    <xf numFmtId="44" fontId="17" fillId="0" borderId="0" applyFont="0" applyFill="0" applyBorder="0" applyAlignment="0" applyProtection="0"/>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4" fontId="23" fillId="16" borderId="0"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4" fontId="38" fillId="15" borderId="7" applyNumberFormat="0" applyProtection="0">
      <alignment horizontal="left" vertical="center" indent="1"/>
    </xf>
    <xf numFmtId="4" fontId="38" fillId="17" borderId="7" applyNumberFormat="0" applyProtection="0">
      <alignment horizontal="left" vertical="center" indent="1"/>
    </xf>
    <xf numFmtId="0" fontId="36" fillId="17" borderId="7" applyNumberFormat="0" applyProtection="0">
      <alignment horizontal="left" vertical="center" indent="1"/>
    </xf>
    <xf numFmtId="0" fontId="36" fillId="17" borderId="7" applyNumberFormat="0" applyProtection="0">
      <alignment horizontal="left" vertical="center" indent="1"/>
    </xf>
    <xf numFmtId="0" fontId="36" fillId="17" borderId="7" applyNumberFormat="0" applyProtection="0">
      <alignment horizontal="left" vertical="center" indent="1"/>
    </xf>
    <xf numFmtId="0" fontId="36" fillId="17" borderId="7" applyNumberFormat="0" applyProtection="0">
      <alignment horizontal="left" vertical="center" indent="1"/>
    </xf>
    <xf numFmtId="0" fontId="36" fillId="18" borderId="7" applyNumberFormat="0" applyProtection="0">
      <alignment horizontal="left" vertical="center" indent="1"/>
    </xf>
    <xf numFmtId="0" fontId="36" fillId="18" borderId="7" applyNumberFormat="0" applyProtection="0">
      <alignment horizontal="left" vertical="center" indent="1"/>
    </xf>
    <xf numFmtId="0" fontId="36" fillId="18" borderId="7" applyNumberFormat="0" applyProtection="0">
      <alignment horizontal="left" vertical="center" indent="1"/>
    </xf>
    <xf numFmtId="0" fontId="36" fillId="18" borderId="7" applyNumberFormat="0" applyProtection="0">
      <alignment horizontal="left" vertical="center" indent="1"/>
    </xf>
    <xf numFmtId="0" fontId="36" fillId="19" borderId="7" applyNumberFormat="0" applyProtection="0">
      <alignment horizontal="left" vertical="center" indent="1"/>
    </xf>
    <xf numFmtId="0" fontId="36" fillId="19" borderId="7" applyNumberFormat="0" applyProtection="0">
      <alignment horizontal="left" vertical="center" indent="1"/>
    </xf>
    <xf numFmtId="0" fontId="36" fillId="19" borderId="7" applyNumberFormat="0" applyProtection="0">
      <alignment horizontal="left" vertical="center" indent="1"/>
    </xf>
    <xf numFmtId="0" fontId="36" fillId="19"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40" fillId="0" borderId="0"/>
    <xf numFmtId="0" fontId="51" fillId="0" borderId="0"/>
    <xf numFmtId="164" fontId="42" fillId="0" borderId="0"/>
    <xf numFmtId="43" fontId="42" fillId="0" borderId="0" applyFont="0" applyFill="0" applyBorder="0" applyAlignment="0" applyProtection="0"/>
    <xf numFmtId="0" fontId="18" fillId="0" borderId="0"/>
    <xf numFmtId="0" fontId="76" fillId="0" borderId="0"/>
    <xf numFmtId="0" fontId="77" fillId="0" borderId="0" applyNumberFormat="0" applyFill="0" applyBorder="0" applyAlignment="0" applyProtection="0">
      <alignment vertical="top"/>
      <protection locked="0"/>
    </xf>
    <xf numFmtId="0" fontId="16" fillId="0" borderId="0"/>
    <xf numFmtId="4" fontId="24" fillId="23" borderId="18" applyNumberFormat="0" applyProtection="0">
      <alignment vertical="center"/>
    </xf>
    <xf numFmtId="4" fontId="78" fillId="5" borderId="18" applyNumberFormat="0" applyProtection="0">
      <alignment vertical="center"/>
    </xf>
    <xf numFmtId="4" fontId="24" fillId="5" borderId="18" applyNumberFormat="0" applyProtection="0">
      <alignment horizontal="left" vertical="center" indent="1"/>
    </xf>
    <xf numFmtId="0" fontId="24" fillId="5" borderId="18" applyNumberFormat="0" applyProtection="0">
      <alignment horizontal="left" vertical="top" indent="1"/>
    </xf>
    <xf numFmtId="4" fontId="24" fillId="24" borderId="0" applyNumberFormat="0" applyProtection="0">
      <alignment horizontal="left" vertical="center" indent="1"/>
    </xf>
    <xf numFmtId="4" fontId="38" fillId="25" borderId="18" applyNumberFormat="0" applyProtection="0">
      <alignment horizontal="right" vertical="center"/>
    </xf>
    <xf numFmtId="4" fontId="38" fillId="26" borderId="18" applyNumberFormat="0" applyProtection="0">
      <alignment horizontal="right" vertical="center"/>
    </xf>
    <xf numFmtId="4" fontId="38" fillId="27" borderId="18" applyNumberFormat="0" applyProtection="0">
      <alignment horizontal="right" vertical="center"/>
    </xf>
    <xf numFmtId="4" fontId="38" fillId="28" borderId="18" applyNumberFormat="0" applyProtection="0">
      <alignment horizontal="right" vertical="center"/>
    </xf>
    <xf numFmtId="4" fontId="38" fillId="29" borderId="18" applyNumberFormat="0" applyProtection="0">
      <alignment horizontal="right" vertical="center"/>
    </xf>
    <xf numFmtId="4" fontId="38" fillId="30" borderId="18" applyNumberFormat="0" applyProtection="0">
      <alignment horizontal="right" vertical="center"/>
    </xf>
    <xf numFmtId="4" fontId="38" fillId="31" borderId="18" applyNumberFormat="0" applyProtection="0">
      <alignment horizontal="right" vertical="center"/>
    </xf>
    <xf numFmtId="4" fontId="38" fillId="32" borderId="18" applyNumberFormat="0" applyProtection="0">
      <alignment horizontal="right" vertical="center"/>
    </xf>
    <xf numFmtId="4" fontId="38" fillId="33" borderId="18" applyNumberFormat="0" applyProtection="0">
      <alignment horizontal="right" vertical="center"/>
    </xf>
    <xf numFmtId="4" fontId="24" fillId="34" borderId="19" applyNumberFormat="0" applyProtection="0">
      <alignment horizontal="left" vertical="center" indent="1"/>
    </xf>
    <xf numFmtId="4" fontId="38" fillId="35" borderId="0" applyNumberFormat="0" applyProtection="0">
      <alignment horizontal="left" vertical="center" indent="1"/>
    </xf>
    <xf numFmtId="4" fontId="38" fillId="36" borderId="18" applyNumberFormat="0" applyProtection="0">
      <alignment horizontal="right" vertical="center"/>
    </xf>
    <xf numFmtId="0" fontId="36" fillId="16" borderId="18" applyNumberFormat="0" applyProtection="0">
      <alignment horizontal="left" vertical="center" indent="1"/>
    </xf>
    <xf numFmtId="0" fontId="36" fillId="16" borderId="18" applyNumberFormat="0" applyProtection="0">
      <alignment horizontal="left" vertical="top" indent="1"/>
    </xf>
    <xf numFmtId="0" fontId="36" fillId="24" borderId="18" applyNumberFormat="0" applyProtection="0">
      <alignment horizontal="left" vertical="center" indent="1"/>
    </xf>
    <xf numFmtId="0" fontId="36" fillId="24" borderId="18" applyNumberFormat="0" applyProtection="0">
      <alignment horizontal="left" vertical="top" indent="1"/>
    </xf>
    <xf numFmtId="0" fontId="36" fillId="37" borderId="18" applyNumberFormat="0" applyProtection="0">
      <alignment horizontal="left" vertical="center" indent="1"/>
    </xf>
    <xf numFmtId="0" fontId="36" fillId="37" borderId="18" applyNumberFormat="0" applyProtection="0">
      <alignment horizontal="left" vertical="top" indent="1"/>
    </xf>
    <xf numFmtId="0" fontId="36" fillId="38" borderId="18" applyNumberFormat="0" applyProtection="0">
      <alignment horizontal="left" vertical="center" indent="1"/>
    </xf>
    <xf numFmtId="0" fontId="36" fillId="38" borderId="18" applyNumberFormat="0" applyProtection="0">
      <alignment horizontal="left" vertical="top" indent="1"/>
    </xf>
    <xf numFmtId="4" fontId="38" fillId="20" borderId="18" applyNumberFormat="0" applyProtection="0">
      <alignment vertical="center"/>
    </xf>
    <xf numFmtId="4" fontId="39" fillId="20" borderId="18" applyNumberFormat="0" applyProtection="0">
      <alignment vertical="center"/>
    </xf>
    <xf numFmtId="4" fontId="38" fillId="20" borderId="18" applyNumberFormat="0" applyProtection="0">
      <alignment horizontal="left" vertical="center" indent="1"/>
    </xf>
    <xf numFmtId="0" fontId="38" fillId="20" borderId="18" applyNumberFormat="0" applyProtection="0">
      <alignment horizontal="left" vertical="top" indent="1"/>
    </xf>
    <xf numFmtId="4" fontId="38" fillId="35" borderId="18" applyNumberFormat="0" applyProtection="0">
      <alignment horizontal="right" vertical="center"/>
    </xf>
    <xf numFmtId="4" fontId="39" fillId="35" borderId="18" applyNumberFormat="0" applyProtection="0">
      <alignment horizontal="right" vertical="center"/>
    </xf>
    <xf numFmtId="4" fontId="38" fillId="36" borderId="18" applyNumberFormat="0" applyProtection="0">
      <alignment horizontal="left" vertical="center" indent="1"/>
    </xf>
    <xf numFmtId="0" fontId="38" fillId="24" borderId="18" applyNumberFormat="0" applyProtection="0">
      <alignment horizontal="left" vertical="top" indent="1"/>
    </xf>
    <xf numFmtId="4" fontId="41" fillId="35" borderId="18" applyNumberFormat="0" applyProtection="0">
      <alignment horizontal="right" vertical="center"/>
    </xf>
    <xf numFmtId="0" fontId="16" fillId="0" borderId="0"/>
    <xf numFmtId="4" fontId="38" fillId="5" borderId="21" applyNumberFormat="0" applyProtection="0">
      <alignment horizontal="left" vertical="center" indent="1"/>
    </xf>
    <xf numFmtId="0" fontId="36" fillId="6" borderId="21" applyNumberFormat="0" applyProtection="0">
      <alignment horizontal="left" vertical="center" indent="1"/>
    </xf>
    <xf numFmtId="0" fontId="36" fillId="6" borderId="21" applyNumberFormat="0" applyProtection="0">
      <alignment horizontal="left" vertical="center" inden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4" fontId="2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38" fillId="5" borderId="21" applyNumberFormat="0" applyProtection="0">
      <alignment vertical="center"/>
    </xf>
    <xf numFmtId="4" fontId="39" fillId="5" borderId="21" applyNumberFormat="0" applyProtection="0">
      <alignment vertical="center"/>
    </xf>
    <xf numFmtId="4" fontId="38" fillId="5" borderId="21" applyNumberFormat="0" applyProtection="0">
      <alignment horizontal="left" vertical="center" indent="1"/>
    </xf>
    <xf numFmtId="4" fontId="38" fillId="7" borderId="21" applyNumberFormat="0" applyProtection="0">
      <alignment horizontal="right" vertical="center"/>
    </xf>
    <xf numFmtId="4" fontId="38" fillId="8" borderId="21" applyNumberFormat="0" applyProtection="0">
      <alignment horizontal="right" vertical="center"/>
    </xf>
    <xf numFmtId="4" fontId="38" fillId="2" borderId="21" applyNumberFormat="0" applyProtection="0">
      <alignment horizontal="right" vertical="center"/>
    </xf>
    <xf numFmtId="4" fontId="38" fillId="9" borderId="21" applyNumberFormat="0" applyProtection="0">
      <alignment horizontal="right" vertical="center"/>
    </xf>
    <xf numFmtId="4" fontId="38" fillId="10" borderId="21" applyNumberFormat="0" applyProtection="0">
      <alignment horizontal="right" vertical="center"/>
    </xf>
    <xf numFmtId="4" fontId="38" fillId="11" borderId="21" applyNumberFormat="0" applyProtection="0">
      <alignment horizontal="right" vertical="center"/>
    </xf>
    <xf numFmtId="4" fontId="38" fillId="12" borderId="21" applyNumberFormat="0" applyProtection="0">
      <alignment horizontal="right" vertical="center"/>
    </xf>
    <xf numFmtId="4" fontId="38" fillId="13" borderId="21" applyNumberFormat="0" applyProtection="0">
      <alignment horizontal="right" vertical="center"/>
    </xf>
    <xf numFmtId="4" fontId="38" fillId="3" borderId="21" applyNumberFormat="0" applyProtection="0">
      <alignment horizontal="right" vertical="center"/>
    </xf>
    <xf numFmtId="4" fontId="24" fillId="14" borderId="21" applyNumberFormat="0" applyProtection="0">
      <alignment horizontal="left" vertical="center" indent="1"/>
    </xf>
    <xf numFmtId="0" fontId="36" fillId="6" borderId="21" applyNumberFormat="0" applyProtection="0">
      <alignment horizontal="left" vertical="center" indent="1"/>
    </xf>
    <xf numFmtId="4" fontId="38" fillId="15" borderId="21" applyNumberFormat="0" applyProtection="0">
      <alignment horizontal="left" vertical="center" indent="1"/>
    </xf>
    <xf numFmtId="4" fontId="38" fillId="17" borderId="21" applyNumberFormat="0" applyProtection="0">
      <alignment horizontal="left" vertical="center" indent="1"/>
    </xf>
    <xf numFmtId="0" fontId="36" fillId="17" borderId="21" applyNumberFormat="0" applyProtection="0">
      <alignment horizontal="left" vertical="center" indent="1"/>
    </xf>
    <xf numFmtId="0" fontId="36" fillId="17" borderId="21" applyNumberFormat="0" applyProtection="0">
      <alignment horizontal="left" vertical="center" indent="1"/>
    </xf>
    <xf numFmtId="0" fontId="36" fillId="18" borderId="21" applyNumberFormat="0" applyProtection="0">
      <alignment horizontal="left" vertical="center" indent="1"/>
    </xf>
    <xf numFmtId="0" fontId="36" fillId="18" borderId="21" applyNumberFormat="0" applyProtection="0">
      <alignment horizontal="left" vertical="center" indent="1"/>
    </xf>
    <xf numFmtId="0" fontId="36" fillId="19" borderId="21" applyNumberFormat="0" applyProtection="0">
      <alignment horizontal="left" vertical="center" indent="1"/>
    </xf>
    <xf numFmtId="0" fontId="36" fillId="19" borderId="21" applyNumberFormat="0" applyProtection="0">
      <alignment horizontal="left" vertical="center" indent="1"/>
    </xf>
    <xf numFmtId="0" fontId="36" fillId="6" borderId="21" applyNumberFormat="0" applyProtection="0">
      <alignment horizontal="left" vertical="center" indent="1"/>
    </xf>
    <xf numFmtId="0" fontId="36" fillId="6" borderId="21" applyNumberFormat="0" applyProtection="0">
      <alignment horizontal="left" vertical="center" indent="1"/>
    </xf>
    <xf numFmtId="4" fontId="38" fillId="20" borderId="21" applyNumberFormat="0" applyProtection="0">
      <alignment vertical="center"/>
    </xf>
    <xf numFmtId="4" fontId="39" fillId="20" borderId="21" applyNumberFormat="0" applyProtection="0">
      <alignment vertical="center"/>
    </xf>
    <xf numFmtId="4" fontId="38" fillId="20" borderId="21" applyNumberFormat="0" applyProtection="0">
      <alignment horizontal="left" vertical="center" indent="1"/>
    </xf>
    <xf numFmtId="4" fontId="38" fillId="20" borderId="21" applyNumberFormat="0" applyProtection="0">
      <alignment horizontal="left" vertical="center" indent="1"/>
    </xf>
    <xf numFmtId="4" fontId="38" fillId="15" borderId="21" applyNumberFormat="0" applyProtection="0">
      <alignment horizontal="right" vertical="center"/>
    </xf>
    <xf numFmtId="4" fontId="39" fillId="15" borderId="21" applyNumberFormat="0" applyProtection="0">
      <alignment horizontal="right" vertical="center"/>
    </xf>
    <xf numFmtId="0" fontId="36" fillId="6" borderId="21" applyNumberFormat="0" applyProtection="0">
      <alignment horizontal="left" vertical="center" indent="1"/>
    </xf>
    <xf numFmtId="4" fontId="41" fillId="15" borderId="21" applyNumberFormat="0" applyProtection="0">
      <alignment horizontal="right" vertical="center"/>
    </xf>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0" fontId="15" fillId="0" borderId="0"/>
    <xf numFmtId="44" fontId="15" fillId="0" borderId="0" applyFont="0" applyFill="0" applyBorder="0" applyAlignment="0" applyProtection="0"/>
    <xf numFmtId="43" fontId="16" fillId="0" borderId="0" applyFont="0" applyFill="0" applyBorder="0" applyAlignment="0" applyProtection="0"/>
    <xf numFmtId="0" fontId="16" fillId="0" borderId="0"/>
    <xf numFmtId="0" fontId="36" fillId="6" borderId="21" applyNumberFormat="0" applyProtection="0">
      <alignment horizontal="left" vertical="center" indent="1"/>
    </xf>
    <xf numFmtId="4" fontId="38" fillId="15" borderId="21" applyNumberFormat="0" applyProtection="0">
      <alignment horizontal="left" vertical="center" indent="1"/>
    </xf>
    <xf numFmtId="4" fontId="38" fillId="17" borderId="21" applyNumberFormat="0" applyProtection="0">
      <alignment horizontal="left" vertical="center" indent="1"/>
    </xf>
    <xf numFmtId="0" fontId="36" fillId="17" borderId="21" applyNumberFormat="0" applyProtection="0">
      <alignment horizontal="left" vertical="center" indent="1"/>
    </xf>
    <xf numFmtId="0" fontId="36" fillId="17" borderId="21" applyNumberFormat="0" applyProtection="0">
      <alignment horizontal="left" vertical="center" indent="1"/>
    </xf>
    <xf numFmtId="0" fontId="36" fillId="18" borderId="21" applyNumberFormat="0" applyProtection="0">
      <alignment horizontal="left" vertical="center" indent="1"/>
    </xf>
    <xf numFmtId="0" fontId="36" fillId="18" borderId="21" applyNumberFormat="0" applyProtection="0">
      <alignment horizontal="left" vertical="center" indent="1"/>
    </xf>
    <xf numFmtId="0" fontId="36" fillId="19" borderId="21" applyNumberFormat="0" applyProtection="0">
      <alignment horizontal="left" vertical="center" indent="1"/>
    </xf>
    <xf numFmtId="0" fontId="36" fillId="19" borderId="21" applyNumberFormat="0" applyProtection="0">
      <alignment horizontal="left" vertical="center" indent="1"/>
    </xf>
    <xf numFmtId="0" fontId="36" fillId="6" borderId="21" applyNumberFormat="0" applyProtection="0">
      <alignment horizontal="left" vertical="center" indent="1"/>
    </xf>
    <xf numFmtId="0" fontId="36" fillId="6" borderId="21" applyNumberFormat="0" applyProtection="0">
      <alignment horizontal="left" vertical="center" indent="1"/>
    </xf>
    <xf numFmtId="0" fontId="36" fillId="6" borderId="21" applyNumberFormat="0" applyProtection="0">
      <alignment horizontal="left" vertical="center" indent="1"/>
    </xf>
    <xf numFmtId="0" fontId="16" fillId="0" borderId="0"/>
    <xf numFmtId="0" fontId="36" fillId="0" borderId="0"/>
    <xf numFmtId="0" fontId="36"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175" fontId="85" fillId="0" borderId="0" applyProtection="0"/>
    <xf numFmtId="0" fontId="36" fillId="0" borderId="0"/>
    <xf numFmtId="43" fontId="15" fillId="0" borderId="0" applyFont="0" applyFill="0" applyBorder="0" applyAlignment="0" applyProtection="0"/>
    <xf numFmtId="9" fontId="36" fillId="0" borderId="0" applyFont="0" applyFill="0" applyBorder="0" applyAlignment="0" applyProtection="0"/>
    <xf numFmtId="175" fontId="85" fillId="0" borderId="0" applyProtection="0"/>
    <xf numFmtId="175" fontId="85" fillId="0" borderId="0" applyProtection="0"/>
    <xf numFmtId="0" fontId="10" fillId="0" borderId="0"/>
    <xf numFmtId="175" fontId="85" fillId="0" borderId="0" applyProtection="0"/>
    <xf numFmtId="44" fontId="36" fillId="0" borderId="0" applyFont="0" applyFill="0" applyBorder="0" applyAlignment="0" applyProtection="0"/>
    <xf numFmtId="0" fontId="36" fillId="0" borderId="0"/>
    <xf numFmtId="0" fontId="85" fillId="0" borderId="0" applyProtection="0"/>
    <xf numFmtId="0" fontId="9" fillId="0" borderId="0"/>
    <xf numFmtId="0" fontId="36" fillId="6" borderId="31" applyNumberFormat="0" applyProtection="0">
      <alignment horizontal="left" vertical="center" indent="1"/>
    </xf>
    <xf numFmtId="0" fontId="36" fillId="6" borderId="31" applyNumberFormat="0" applyProtection="0">
      <alignment horizontal="left" vertical="center" indent="1"/>
    </xf>
    <xf numFmtId="4" fontId="38" fillId="5" borderId="31" applyNumberFormat="0" applyProtection="0">
      <alignment horizontal="left" vertical="center" indent="1"/>
    </xf>
    <xf numFmtId="0" fontId="36" fillId="6" borderId="31" applyNumberFormat="0" applyProtection="0">
      <alignment horizontal="left" vertical="center" indent="1"/>
    </xf>
    <xf numFmtId="4" fontId="38" fillId="15" borderId="31" applyNumberFormat="0" applyProtection="0">
      <alignment horizontal="right" vertical="center"/>
    </xf>
    <xf numFmtId="4" fontId="38" fillId="5" borderId="31" applyNumberFormat="0" applyProtection="0">
      <alignment vertical="center"/>
    </xf>
    <xf numFmtId="0" fontId="36" fillId="0" borderId="0"/>
    <xf numFmtId="0" fontId="36" fillId="0" borderId="0"/>
    <xf numFmtId="4" fontId="38" fillId="5" borderId="31" applyNumberFormat="0" applyProtection="0">
      <alignment horizontal="left" vertical="center" indent="1"/>
    </xf>
    <xf numFmtId="43" fontId="42" fillId="0" borderId="0" applyFont="0" applyFill="0" applyBorder="0" applyAlignment="0" applyProtection="0"/>
    <xf numFmtId="44" fontId="42" fillId="0" borderId="0" applyFont="0" applyFill="0" applyBorder="0" applyAlignment="0" applyProtection="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9" fontId="42" fillId="0" borderId="0" applyFont="0" applyFill="0" applyBorder="0" applyAlignment="0" applyProtection="0"/>
    <xf numFmtId="0" fontId="95" fillId="0" borderId="0"/>
    <xf numFmtId="0" fontId="36" fillId="0" borderId="0"/>
    <xf numFmtId="181" fontId="96" fillId="0" borderId="0" applyFill="0" applyBorder="0" applyAlignment="0" applyProtection="0"/>
    <xf numFmtId="0" fontId="95" fillId="0" borderId="0"/>
    <xf numFmtId="43" fontId="36" fillId="0" borderId="0" applyFont="0" applyFill="0" applyBorder="0" applyAlignment="0" applyProtection="0"/>
    <xf numFmtId="0" fontId="8" fillId="0" borderId="0"/>
    <xf numFmtId="0" fontId="8"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84" fontId="96" fillId="0" borderId="4" applyNumberFormat="0" applyFill="0" applyAlignment="0" applyProtection="0">
      <alignment horizontal="center"/>
    </xf>
    <xf numFmtId="185" fontId="96" fillId="0" borderId="22" applyFill="0" applyAlignment="0" applyProtection="0">
      <alignment horizontal="center"/>
    </xf>
    <xf numFmtId="0" fontId="96" fillId="0" borderId="0" applyNumberFormat="0" applyFill="0" applyAlignment="0" applyProtection="0"/>
    <xf numFmtId="0" fontId="96" fillId="0" borderId="22" applyNumberFormat="0" applyFill="0" applyAlignment="0" applyProtection="0"/>
    <xf numFmtId="0" fontId="151" fillId="0" borderId="0"/>
    <xf numFmtId="0" fontId="36" fillId="0" borderId="0"/>
    <xf numFmtId="0" fontId="36" fillId="6" borderId="62" applyNumberFormat="0" applyProtection="0">
      <alignment horizontal="left" vertical="center" indent="1"/>
    </xf>
    <xf numFmtId="0" fontId="36" fillId="6" borderId="62" applyNumberFormat="0" applyProtection="0">
      <alignment horizontal="left" vertical="center" indent="1"/>
    </xf>
    <xf numFmtId="43" fontId="42" fillId="0" borderId="0" applyFont="0" applyFill="0" applyBorder="0" applyAlignment="0" applyProtection="0"/>
    <xf numFmtId="4" fontId="38" fillId="15" borderId="62" applyNumberFormat="0" applyProtection="0">
      <alignment horizontal="right" vertical="center"/>
    </xf>
  </cellStyleXfs>
  <cellXfs count="1877">
    <xf numFmtId="164" fontId="0" fillId="0" borderId="0" xfId="0"/>
    <xf numFmtId="164" fontId="19" fillId="0" borderId="0" xfId="0" applyNumberFormat="1" applyFont="1" applyProtection="1"/>
    <xf numFmtId="164" fontId="20" fillId="0" borderId="0" xfId="0" applyNumberFormat="1" applyFont="1" applyAlignment="1" applyProtection="1">
      <alignment horizontal="center"/>
    </xf>
    <xf numFmtId="164" fontId="21" fillId="0" borderId="0" xfId="0" applyNumberFormat="1" applyFont="1" applyProtection="1"/>
    <xf numFmtId="164" fontId="22" fillId="0" borderId="0" xfId="0" applyNumberFormat="1" applyFont="1" applyProtection="1"/>
    <xf numFmtId="164" fontId="23" fillId="0" borderId="0" xfId="0" applyNumberFormat="1" applyFont="1" applyProtection="1"/>
    <xf numFmtId="165" fontId="23" fillId="0" borderId="0" xfId="0" applyNumberFormat="1" applyFont="1" applyProtection="1"/>
    <xf numFmtId="164" fontId="25" fillId="0" borderId="0" xfId="0" applyNumberFormat="1" applyFont="1" applyProtection="1"/>
    <xf numFmtId="164" fontId="26" fillId="0" borderId="0" xfId="0" applyFont="1"/>
    <xf numFmtId="164" fontId="27" fillId="0" borderId="0" xfId="0" applyFont="1"/>
    <xf numFmtId="164" fontId="0" fillId="0" borderId="0" xfId="0" applyBorder="1"/>
    <xf numFmtId="164" fontId="19" fillId="21" borderId="0" xfId="0" applyNumberFormat="1" applyFont="1" applyFill="1" applyProtection="1"/>
    <xf numFmtId="164" fontId="20" fillId="21" borderId="0" xfId="0" applyNumberFormat="1" applyFont="1" applyFill="1" applyProtection="1"/>
    <xf numFmtId="164" fontId="0" fillId="21" borderId="0" xfId="0" applyFill="1"/>
    <xf numFmtId="164" fontId="23" fillId="21" borderId="0" xfId="0" applyNumberFormat="1" applyFont="1" applyFill="1" applyProtection="1"/>
    <xf numFmtId="5" fontId="19" fillId="21" borderId="0" xfId="0" applyNumberFormat="1" applyFont="1" applyFill="1" applyProtection="1"/>
    <xf numFmtId="5" fontId="20" fillId="21" borderId="0" xfId="0" applyNumberFormat="1" applyFont="1" applyFill="1" applyProtection="1"/>
    <xf numFmtId="164" fontId="26" fillId="21" borderId="0" xfId="0" applyFont="1" applyFill="1"/>
    <xf numFmtId="164" fontId="19" fillId="21" borderId="0" xfId="0" applyNumberFormat="1" applyFont="1" applyFill="1" applyAlignment="1" applyProtection="1">
      <alignment horizontal="left"/>
    </xf>
    <xf numFmtId="10" fontId="20" fillId="21" borderId="0" xfId="0" applyNumberFormat="1" applyFont="1" applyFill="1" applyAlignment="1" applyProtection="1">
      <alignment horizontal="center"/>
    </xf>
    <xf numFmtId="164" fontId="22" fillId="21" borderId="0" xfId="0" applyNumberFormat="1" applyFont="1" applyFill="1" applyProtection="1"/>
    <xf numFmtId="164" fontId="22" fillId="21" borderId="0" xfId="0" applyNumberFormat="1" applyFont="1" applyFill="1" applyAlignment="1" applyProtection="1">
      <alignment horizontal="center"/>
    </xf>
    <xf numFmtId="164" fontId="23" fillId="21" borderId="0" xfId="0" applyNumberFormat="1" applyFont="1" applyFill="1" applyAlignment="1" applyProtection="1">
      <alignment horizontal="right"/>
    </xf>
    <xf numFmtId="49" fontId="19" fillId="21" borderId="0" xfId="0" applyNumberFormat="1" applyFont="1" applyFill="1" applyAlignment="1" applyProtection="1">
      <alignment horizontal="center"/>
    </xf>
    <xf numFmtId="49" fontId="0" fillId="21" borderId="0" xfId="0" applyNumberFormat="1" applyFill="1" applyAlignment="1">
      <alignment horizontal="center"/>
    </xf>
    <xf numFmtId="14" fontId="20" fillId="21" borderId="0" xfId="0" applyNumberFormat="1" applyFont="1" applyFill="1" applyAlignment="1" applyProtection="1">
      <alignment horizontal="center"/>
    </xf>
    <xf numFmtId="164" fontId="44" fillId="0" borderId="0" xfId="0" applyFont="1"/>
    <xf numFmtId="164" fontId="36" fillId="21" borderId="0" xfId="0" applyFont="1" applyFill="1"/>
    <xf numFmtId="164" fontId="20" fillId="21" borderId="0" xfId="0" applyNumberFormat="1" applyFont="1" applyFill="1" applyAlignment="1" applyProtection="1">
      <alignment horizontal="left"/>
    </xf>
    <xf numFmtId="164" fontId="20" fillId="21" borderId="0" xfId="0" applyNumberFormat="1" applyFont="1" applyFill="1" applyBorder="1" applyAlignment="1" applyProtection="1"/>
    <xf numFmtId="5" fontId="48" fillId="21" borderId="0" xfId="0" applyNumberFormat="1" applyFont="1" applyFill="1" applyProtection="1"/>
    <xf numFmtId="41" fontId="48" fillId="21" borderId="0" xfId="0" applyNumberFormat="1" applyFont="1" applyFill="1" applyProtection="1"/>
    <xf numFmtId="164" fontId="48" fillId="21" borderId="0" xfId="0" applyNumberFormat="1" applyFont="1" applyFill="1" applyProtection="1"/>
    <xf numFmtId="0" fontId="32" fillId="21" borderId="0" xfId="8" applyFont="1" applyFill="1"/>
    <xf numFmtId="0" fontId="36" fillId="21" borderId="0" xfId="8" applyFont="1" applyFill="1"/>
    <xf numFmtId="164" fontId="49" fillId="21" borderId="0" xfId="0" applyNumberFormat="1" applyFont="1" applyFill="1" applyProtection="1"/>
    <xf numFmtId="164" fontId="42" fillId="21" borderId="0" xfId="0" applyFont="1" applyFill="1"/>
    <xf numFmtId="164" fontId="50" fillId="21" borderId="0" xfId="0" applyNumberFormat="1" applyFont="1" applyFill="1" applyProtection="1"/>
    <xf numFmtId="14" fontId="49" fillId="21" borderId="0" xfId="0" applyNumberFormat="1" applyFont="1" applyFill="1" applyAlignment="1" applyProtection="1">
      <alignment horizontal="left"/>
    </xf>
    <xf numFmtId="164" fontId="49" fillId="21" borderId="0" xfId="0" applyNumberFormat="1" applyFont="1" applyFill="1" applyAlignment="1" applyProtection="1">
      <alignment horizontal="right"/>
    </xf>
    <xf numFmtId="164" fontId="49" fillId="21" borderId="0" xfId="0" applyNumberFormat="1" applyFont="1" applyFill="1" applyAlignment="1" applyProtection="1"/>
    <xf numFmtId="49" fontId="50" fillId="21" borderId="0" xfId="0" applyNumberFormat="1" applyFont="1" applyFill="1" applyAlignment="1" applyProtection="1">
      <alignment horizontal="center"/>
    </xf>
    <xf numFmtId="0" fontId="32" fillId="21" borderId="0" xfId="8" applyFont="1" applyFill="1" applyAlignment="1">
      <alignment horizontal="center"/>
    </xf>
    <xf numFmtId="164" fontId="44" fillId="21" borderId="0" xfId="0" applyFont="1" applyFill="1"/>
    <xf numFmtId="0" fontId="32" fillId="21" borderId="0" xfId="61" applyFont="1" applyFill="1"/>
    <xf numFmtId="164" fontId="23" fillId="21" borderId="0" xfId="0" applyNumberFormat="1" applyFont="1" applyFill="1" applyAlignment="1" applyProtection="1"/>
    <xf numFmtId="0" fontId="51" fillId="21" borderId="0" xfId="192" applyFill="1"/>
    <xf numFmtId="0" fontId="29" fillId="21" borderId="0" xfId="8" applyFont="1" applyFill="1"/>
    <xf numFmtId="164" fontId="52" fillId="21" borderId="0" xfId="0" applyFont="1" applyFill="1"/>
    <xf numFmtId="164" fontId="52" fillId="21" borderId="0" xfId="0" applyFont="1" applyFill="1" applyAlignment="1">
      <alignment horizontal="left" indent="1"/>
    </xf>
    <xf numFmtId="164" fontId="43" fillId="21" borderId="0" xfId="0" applyNumberFormat="1" applyFont="1" applyFill="1" applyProtection="1"/>
    <xf numFmtId="0" fontId="29" fillId="21" borderId="0" xfId="6" applyFont="1" applyFill="1"/>
    <xf numFmtId="0" fontId="29" fillId="21" borderId="0" xfId="6" applyFont="1" applyFill="1" applyBorder="1" applyAlignment="1">
      <alignment horizontal="center"/>
    </xf>
    <xf numFmtId="0" fontId="29" fillId="21" borderId="0" xfId="6" applyFont="1" applyFill="1" applyBorder="1" applyAlignment="1">
      <alignment horizontal="right"/>
    </xf>
    <xf numFmtId="0" fontId="31" fillId="21" borderId="0" xfId="6" quotePrefix="1" applyFont="1" applyFill="1"/>
    <xf numFmtId="1" fontId="29" fillId="21" borderId="0" xfId="6" applyNumberFormat="1" applyFont="1" applyFill="1" applyBorder="1" applyAlignment="1">
      <alignment horizontal="left"/>
    </xf>
    <xf numFmtId="49" fontId="29" fillId="21" borderId="0" xfId="6" applyNumberFormat="1" applyFont="1" applyFill="1" applyAlignment="1">
      <alignment horizontal="left"/>
    </xf>
    <xf numFmtId="0" fontId="36" fillId="21" borderId="0" xfId="6" applyFont="1" applyFill="1"/>
    <xf numFmtId="164" fontId="31" fillId="21" borderId="0" xfId="0" applyFont="1" applyFill="1" applyAlignment="1"/>
    <xf numFmtId="164" fontId="20" fillId="21" borderId="0" xfId="0" applyNumberFormat="1" applyFont="1" applyFill="1" applyAlignment="1" applyProtection="1">
      <alignment horizontal="center"/>
    </xf>
    <xf numFmtId="164" fontId="23" fillId="21" borderId="0" xfId="0" applyNumberFormat="1" applyFont="1" applyFill="1" applyAlignment="1" applyProtection="1">
      <alignment horizontal="center"/>
    </xf>
    <xf numFmtId="0" fontId="31" fillId="21" borderId="0" xfId="144" applyFont="1" applyFill="1"/>
    <xf numFmtId="0" fontId="46" fillId="21" borderId="0" xfId="8" applyFont="1" applyFill="1"/>
    <xf numFmtId="164" fontId="54" fillId="21" borderId="0" xfId="0" applyFont="1" applyFill="1"/>
    <xf numFmtId="164" fontId="55" fillId="21" borderId="0" xfId="0" applyFont="1" applyFill="1"/>
    <xf numFmtId="0" fontId="47" fillId="21" borderId="0" xfId="162" applyFont="1" applyFill="1"/>
    <xf numFmtId="164" fontId="56" fillId="21" borderId="0" xfId="0" applyFont="1" applyFill="1"/>
    <xf numFmtId="14" fontId="23" fillId="21" borderId="0" xfId="0" applyNumberFormat="1" applyFont="1" applyFill="1" applyAlignment="1" applyProtection="1">
      <alignment horizontal="left"/>
    </xf>
    <xf numFmtId="164" fontId="49" fillId="21" borderId="0" xfId="0" applyNumberFormat="1" applyFont="1" applyFill="1" applyBorder="1" applyAlignment="1" applyProtection="1"/>
    <xf numFmtId="0" fontId="18" fillId="21" borderId="0" xfId="17" applyFont="1" applyFill="1"/>
    <xf numFmtId="0" fontId="35" fillId="21" borderId="0" xfId="17" applyFont="1" applyFill="1" applyAlignment="1">
      <alignment horizontal="right"/>
    </xf>
    <xf numFmtId="164" fontId="20" fillId="21" borderId="0" xfId="0" applyNumberFormat="1" applyFont="1" applyFill="1" applyAlignment="1" applyProtection="1"/>
    <xf numFmtId="0" fontId="31" fillId="21" borderId="0" xfId="6" applyFont="1" applyFill="1"/>
    <xf numFmtId="0" fontId="31" fillId="21" borderId="0" xfId="6" applyFont="1" applyFill="1" applyBorder="1" applyAlignment="1">
      <alignment horizontal="center"/>
    </xf>
    <xf numFmtId="0" fontId="31" fillId="21" borderId="0" xfId="6" applyFont="1" applyFill="1" applyBorder="1" applyAlignment="1">
      <alignment horizontal="right"/>
    </xf>
    <xf numFmtId="0" fontId="31" fillId="21" borderId="0" xfId="6" applyFont="1" applyFill="1" applyBorder="1" applyAlignment="1"/>
    <xf numFmtId="0" fontId="29" fillId="21" borderId="0" xfId="5" applyFont="1" applyFill="1" applyAlignment="1">
      <alignment horizontal="left"/>
    </xf>
    <xf numFmtId="0" fontId="29" fillId="21" borderId="0" xfId="5" applyFont="1" applyFill="1" applyAlignment="1">
      <alignment horizontal="center"/>
    </xf>
    <xf numFmtId="0" fontId="29" fillId="21" borderId="0" xfId="5" applyFont="1" applyFill="1"/>
    <xf numFmtId="0" fontId="29" fillId="21" borderId="0" xfId="5" applyFont="1" applyFill="1" applyAlignment="1">
      <alignment horizontal="right"/>
    </xf>
    <xf numFmtId="0" fontId="31" fillId="21" borderId="0" xfId="5" applyFont="1" applyFill="1" applyAlignment="1">
      <alignment horizontal="center"/>
    </xf>
    <xf numFmtId="165" fontId="23" fillId="21" borderId="0" xfId="0" applyNumberFormat="1" applyFont="1" applyFill="1" applyAlignment="1" applyProtection="1">
      <alignment horizontal="right"/>
    </xf>
    <xf numFmtId="0" fontId="54" fillId="0" borderId="0" xfId="8" applyFont="1"/>
    <xf numFmtId="0" fontId="53" fillId="0" borderId="0" xfId="8" applyFont="1"/>
    <xf numFmtId="0" fontId="53" fillId="0" borderId="0" xfId="72" applyFont="1"/>
    <xf numFmtId="164" fontId="62" fillId="21" borderId="0" xfId="0" applyNumberFormat="1" applyFont="1" applyFill="1" applyProtection="1"/>
    <xf numFmtId="164" fontId="62" fillId="21" borderId="0" xfId="0" applyNumberFormat="1" applyFont="1" applyFill="1" applyAlignment="1" applyProtection="1">
      <alignment horizontal="left"/>
    </xf>
    <xf numFmtId="5" fontId="63" fillId="21" borderId="0" xfId="0" applyNumberFormat="1" applyFont="1" applyFill="1" applyProtection="1"/>
    <xf numFmtId="164" fontId="62" fillId="0" borderId="0" xfId="0" applyNumberFormat="1" applyFont="1" applyFill="1" applyProtection="1"/>
    <xf numFmtId="164" fontId="62" fillId="21" borderId="0" xfId="0" applyNumberFormat="1" applyFont="1" applyFill="1" applyAlignment="1" applyProtection="1">
      <alignment horizontal="center"/>
    </xf>
    <xf numFmtId="164" fontId="64" fillId="21" borderId="0" xfId="0" applyNumberFormat="1" applyFont="1" applyFill="1" applyAlignment="1" applyProtection="1">
      <alignment horizontal="center"/>
    </xf>
    <xf numFmtId="5" fontId="62" fillId="21" borderId="0" xfId="0" applyNumberFormat="1" applyFont="1" applyFill="1" applyProtection="1"/>
    <xf numFmtId="5" fontId="62" fillId="0" borderId="0" xfId="0" applyNumberFormat="1" applyFont="1" applyFill="1" applyProtection="1"/>
    <xf numFmtId="0" fontId="53" fillId="0" borderId="0" xfId="8" applyFont="1" applyAlignment="1">
      <alignment horizontal="center"/>
    </xf>
    <xf numFmtId="0" fontId="53" fillId="0" borderId="16" xfId="72" applyFont="1" applyBorder="1"/>
    <xf numFmtId="0" fontId="53" fillId="0" borderId="16" xfId="8" applyFont="1" applyBorder="1" applyAlignment="1">
      <alignment horizontal="center"/>
    </xf>
    <xf numFmtId="0" fontId="53" fillId="0" borderId="0" xfId="8" applyFont="1" applyBorder="1"/>
    <xf numFmtId="0" fontId="53" fillId="0" borderId="0" xfId="72" applyFont="1" applyBorder="1"/>
    <xf numFmtId="14" fontId="23" fillId="21" borderId="0" xfId="0" applyNumberFormat="1" applyFont="1" applyFill="1" applyAlignment="1" applyProtection="1">
      <alignment horizontal="right"/>
    </xf>
    <xf numFmtId="0" fontId="29" fillId="21" borderId="0" xfId="192" applyFont="1" applyFill="1"/>
    <xf numFmtId="164" fontId="29" fillId="21" borderId="0" xfId="0" applyFont="1" applyFill="1"/>
    <xf numFmtId="164" fontId="56" fillId="0" borderId="0" xfId="0" applyFont="1"/>
    <xf numFmtId="14" fontId="23" fillId="21" borderId="0" xfId="0" applyNumberFormat="1" applyFont="1" applyFill="1" applyAlignment="1" applyProtection="1">
      <alignment horizontal="center"/>
    </xf>
    <xf numFmtId="164" fontId="66" fillId="21" borderId="0" xfId="0" applyFont="1" applyFill="1"/>
    <xf numFmtId="164" fontId="67" fillId="0" borderId="0" xfId="0" applyFont="1"/>
    <xf numFmtId="164" fontId="65" fillId="21" borderId="0" xfId="0" applyNumberFormat="1" applyFont="1" applyFill="1" applyAlignment="1" applyProtection="1">
      <alignment horizontal="right"/>
    </xf>
    <xf numFmtId="0" fontId="32" fillId="21" borderId="3" xfId="8" applyFont="1" applyFill="1" applyBorder="1" applyAlignment="1">
      <alignment horizontal="center"/>
    </xf>
    <xf numFmtId="0" fontId="29" fillId="21" borderId="0" xfId="39" applyFont="1" applyFill="1"/>
    <xf numFmtId="0" fontId="36" fillId="21" borderId="0" xfId="39" applyFill="1"/>
    <xf numFmtId="164" fontId="22" fillId="21" borderId="0" xfId="193" applyNumberFormat="1" applyFont="1" applyFill="1" applyProtection="1"/>
    <xf numFmtId="164" fontId="56" fillId="21" borderId="0" xfId="193" applyFont="1" applyFill="1"/>
    <xf numFmtId="164" fontId="26" fillId="21" borderId="0" xfId="193" applyFont="1" applyFill="1"/>
    <xf numFmtId="164" fontId="20" fillId="21" borderId="0" xfId="193" applyNumberFormat="1" applyFont="1" applyFill="1" applyProtection="1"/>
    <xf numFmtId="164" fontId="19" fillId="21" borderId="0" xfId="193" applyNumberFormat="1" applyFont="1" applyFill="1" applyProtection="1"/>
    <xf numFmtId="164" fontId="44" fillId="21" borderId="0" xfId="193" applyFont="1" applyFill="1"/>
    <xf numFmtId="164" fontId="42" fillId="21" borderId="0" xfId="193" applyFill="1"/>
    <xf numFmtId="49" fontId="19" fillId="21" borderId="0" xfId="193"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49" fontId="31" fillId="21" borderId="0" xfId="5" applyNumberFormat="1" applyFont="1" applyFill="1" applyBorder="1" applyAlignment="1">
      <alignment horizontal="center"/>
    </xf>
    <xf numFmtId="0" fontId="36" fillId="21" borderId="0" xfId="6" applyFont="1" applyFill="1" applyAlignment="1">
      <alignment horizontal="center"/>
    </xf>
    <xf numFmtId="0" fontId="55" fillId="21" borderId="0" xfId="5" applyFont="1" applyFill="1"/>
    <xf numFmtId="0" fontId="53" fillId="21" borderId="0" xfId="5" applyFont="1" applyFill="1" applyAlignment="1">
      <alignment horizontal="center"/>
    </xf>
    <xf numFmtId="17" fontId="53" fillId="21" borderId="0" xfId="5" applyNumberFormat="1" applyFont="1" applyFill="1" applyAlignment="1">
      <alignment horizontal="center"/>
    </xf>
    <xf numFmtId="164" fontId="68" fillId="21" borderId="0" xfId="0" applyFont="1" applyFill="1"/>
    <xf numFmtId="164" fontId="69" fillId="21" borderId="0" xfId="0" applyNumberFormat="1" applyFont="1" applyFill="1" applyProtection="1"/>
    <xf numFmtId="0" fontId="55" fillId="21" borderId="0" xfId="5" applyFont="1" applyFill="1" applyAlignment="1">
      <alignment horizontal="center"/>
    </xf>
    <xf numFmtId="0" fontId="53" fillId="21" borderId="0" xfId="5" applyFont="1" applyFill="1"/>
    <xf numFmtId="0" fontId="54" fillId="21" borderId="0" xfId="5" applyFont="1" applyFill="1"/>
    <xf numFmtId="5" fontId="55" fillId="21" borderId="0" xfId="5" applyNumberFormat="1" applyFont="1" applyFill="1"/>
    <xf numFmtId="49" fontId="70" fillId="21" borderId="0" xfId="5" applyNumberFormat="1" applyFont="1" applyFill="1" applyBorder="1" applyAlignment="1" applyProtection="1">
      <alignment horizontal="center"/>
    </xf>
    <xf numFmtId="169" fontId="55" fillId="21" borderId="0" xfId="5" applyNumberFormat="1" applyFont="1" applyFill="1"/>
    <xf numFmtId="5" fontId="55" fillId="21" borderId="0" xfId="5" applyNumberFormat="1" applyFont="1" applyFill="1" applyBorder="1"/>
    <xf numFmtId="164" fontId="71" fillId="0" borderId="0" xfId="0" applyNumberFormat="1" applyFont="1" applyProtection="1"/>
    <xf numFmtId="164" fontId="54" fillId="0" borderId="0" xfId="0" applyFont="1"/>
    <xf numFmtId="164" fontId="71" fillId="21" borderId="0" xfId="0" applyNumberFormat="1" applyFont="1" applyFill="1" applyProtection="1"/>
    <xf numFmtId="164" fontId="70" fillId="21" borderId="0" xfId="0" applyNumberFormat="1" applyFont="1" applyFill="1" applyAlignment="1" applyProtection="1">
      <alignment horizontal="center"/>
    </xf>
    <xf numFmtId="5" fontId="71" fillId="21" borderId="0" xfId="0" applyNumberFormat="1" applyFont="1" applyFill="1" applyProtection="1"/>
    <xf numFmtId="5" fontId="70" fillId="21" borderId="0" xfId="0" applyNumberFormat="1" applyFont="1" applyFill="1" applyProtection="1"/>
    <xf numFmtId="164" fontId="70" fillId="21" borderId="0" xfId="0" applyNumberFormat="1" applyFont="1" applyFill="1" applyProtection="1"/>
    <xf numFmtId="164" fontId="72" fillId="21" borderId="0" xfId="0" applyNumberFormat="1" applyFont="1" applyFill="1" applyProtection="1"/>
    <xf numFmtId="164" fontId="55" fillId="0" borderId="0" xfId="0" applyFont="1"/>
    <xf numFmtId="164" fontId="54" fillId="21" borderId="0" xfId="0" applyFont="1" applyFill="1" applyAlignment="1">
      <alignment horizontal="center"/>
    </xf>
    <xf numFmtId="172" fontId="71" fillId="21" borderId="0" xfId="0" applyNumberFormat="1" applyFont="1" applyFill="1" applyAlignment="1" applyProtection="1">
      <alignment horizontal="right"/>
    </xf>
    <xf numFmtId="164" fontId="58" fillId="21" borderId="0" xfId="0" applyFont="1" applyFill="1"/>
    <xf numFmtId="0" fontId="55" fillId="0" borderId="0" xfId="8" applyFont="1"/>
    <xf numFmtId="0" fontId="55" fillId="21" borderId="0" xfId="8" applyFont="1" applyFill="1"/>
    <xf numFmtId="0" fontId="54" fillId="21" borderId="0" xfId="8" applyFont="1" applyFill="1"/>
    <xf numFmtId="168" fontId="54" fillId="21" borderId="0" xfId="8" applyNumberFormat="1" applyFont="1" applyFill="1"/>
    <xf numFmtId="0" fontId="54" fillId="0" borderId="0" xfId="8" applyFont="1" applyAlignment="1">
      <alignment horizontal="center"/>
    </xf>
    <xf numFmtId="3" fontId="55" fillId="21" borderId="0" xfId="8" applyNumberFormat="1" applyFont="1" applyFill="1"/>
    <xf numFmtId="164" fontId="70" fillId="21" borderId="0" xfId="0" applyNumberFormat="1" applyFont="1" applyFill="1" applyBorder="1" applyAlignment="1" applyProtection="1"/>
    <xf numFmtId="0" fontId="54" fillId="21" borderId="0" xfId="39" applyFont="1" applyFill="1"/>
    <xf numFmtId="164" fontId="36" fillId="0" borderId="0" xfId="0" applyFont="1"/>
    <xf numFmtId="164" fontId="20" fillId="21" borderId="0" xfId="0" applyNumberFormat="1" applyFont="1" applyFill="1" applyAlignment="1" applyProtection="1">
      <alignment horizontal="center"/>
    </xf>
    <xf numFmtId="164" fontId="23" fillId="21" borderId="0" xfId="0" applyNumberFormat="1" applyFont="1" applyFill="1" applyAlignment="1" applyProtection="1">
      <alignment horizontal="center"/>
    </xf>
    <xf numFmtId="10" fontId="70" fillId="21" borderId="0" xfId="0" applyNumberFormat="1" applyFont="1" applyFill="1" applyBorder="1" applyProtection="1"/>
    <xf numFmtId="164" fontId="20" fillId="21"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164" fontId="29" fillId="0" borderId="0" xfId="0" applyFont="1"/>
    <xf numFmtId="14" fontId="31" fillId="21" borderId="0" xfId="0" applyNumberFormat="1" applyFont="1" applyFill="1" applyAlignment="1" applyProtection="1">
      <alignment horizontal="right"/>
    </xf>
    <xf numFmtId="0" fontId="32" fillId="21" borderId="0" xfId="196" applyFont="1" applyFill="1" applyAlignment="1">
      <alignment horizontal="center"/>
    </xf>
    <xf numFmtId="3" fontId="32" fillId="21" borderId="0" xfId="189" quotePrefix="1" applyNumberFormat="1" applyFont="1" applyFill="1" applyBorder="1" applyAlignment="1" applyProtection="1">
      <alignment horizontal="center" vertical="center"/>
      <protection locked="0"/>
    </xf>
    <xf numFmtId="0" fontId="32" fillId="21" borderId="0" xfId="165" applyNumberFormat="1" applyFont="1" applyFill="1" applyBorder="1" applyAlignment="1" applyProtection="1">
      <alignment horizontal="center" vertical="center"/>
      <protection locked="0"/>
    </xf>
    <xf numFmtId="164" fontId="20" fillId="21" borderId="0" xfId="0" applyNumberFormat="1" applyFont="1" applyFill="1" applyAlignment="1" applyProtection="1">
      <alignment horizontal="center"/>
    </xf>
    <xf numFmtId="3" fontId="55" fillId="21" borderId="0" xfId="8" applyNumberFormat="1" applyFont="1" applyFill="1" applyBorder="1"/>
    <xf numFmtId="3" fontId="53" fillId="21" borderId="0" xfId="8" applyNumberFormat="1" applyFont="1" applyFill="1"/>
    <xf numFmtId="3" fontId="55" fillId="21" borderId="0" xfId="9" applyNumberFormat="1" applyFont="1" applyFill="1" applyBorder="1"/>
    <xf numFmtId="14" fontId="31" fillId="21" borderId="0" xfId="0" applyNumberFormat="1" applyFont="1" applyFill="1" applyAlignment="1" applyProtection="1">
      <alignment horizontal="left"/>
    </xf>
    <xf numFmtId="164" fontId="20" fillId="21" borderId="0" xfId="193" applyNumberFormat="1" applyFont="1" applyFill="1" applyAlignment="1" applyProtection="1">
      <alignment horizontal="center"/>
    </xf>
    <xf numFmtId="14" fontId="31" fillId="21" borderId="0" xfId="193" applyNumberFormat="1" applyFont="1" applyFill="1" applyAlignment="1" applyProtection="1">
      <alignment horizontal="right"/>
    </xf>
    <xf numFmtId="164" fontId="23" fillId="21" borderId="0" xfId="193" applyNumberFormat="1" applyFont="1" applyFill="1" applyAlignment="1" applyProtection="1">
      <alignment horizontal="right"/>
    </xf>
    <xf numFmtId="14" fontId="20" fillId="21" borderId="0" xfId="193" applyNumberFormat="1" applyFont="1" applyFill="1" applyAlignment="1" applyProtection="1">
      <alignment horizontal="center"/>
    </xf>
    <xf numFmtId="164" fontId="20" fillId="21" borderId="0" xfId="193" applyNumberFormat="1" applyFont="1" applyFill="1" applyAlignment="1" applyProtection="1"/>
    <xf numFmtId="164" fontId="20" fillId="21" borderId="0" xfId="193" applyNumberFormat="1" applyFont="1" applyFill="1" applyBorder="1" applyAlignment="1" applyProtection="1"/>
    <xf numFmtId="164" fontId="69" fillId="21" borderId="0" xfId="193" applyNumberFormat="1" applyFont="1" applyFill="1" applyAlignment="1" applyProtection="1">
      <alignment horizontal="center"/>
    </xf>
    <xf numFmtId="164" fontId="69" fillId="21" borderId="0" xfId="193" applyNumberFormat="1" applyFont="1" applyFill="1" applyAlignment="1" applyProtection="1"/>
    <xf numFmtId="164" fontId="54" fillId="21" borderId="0" xfId="193" applyFont="1" applyFill="1"/>
    <xf numFmtId="164" fontId="55" fillId="21" borderId="0" xfId="193" applyFont="1" applyFill="1"/>
    <xf numFmtId="10" fontId="53" fillId="21" borderId="0" xfId="148" applyNumberFormat="1" applyFont="1" applyFill="1" applyBorder="1" applyAlignment="1">
      <alignment horizontal="center"/>
    </xf>
    <xf numFmtId="164" fontId="42" fillId="21" borderId="0" xfId="193" applyFont="1" applyFill="1"/>
    <xf numFmtId="164" fontId="20" fillId="21" borderId="0" xfId="0" applyNumberFormat="1" applyFont="1" applyFill="1" applyAlignment="1" applyProtection="1">
      <alignment horizontal="center"/>
    </xf>
    <xf numFmtId="164" fontId="23" fillId="0" borderId="0" xfId="0" applyNumberFormat="1" applyFont="1" applyBorder="1" applyAlignment="1" applyProtection="1">
      <alignment horizontal="center"/>
    </xf>
    <xf numFmtId="164" fontId="79" fillId="21" borderId="0" xfId="0" applyNumberFormat="1" applyFont="1" applyFill="1" applyProtection="1"/>
    <xf numFmtId="164" fontId="70" fillId="21" borderId="0" xfId="0" applyNumberFormat="1" applyFont="1" applyFill="1" applyProtection="1"/>
    <xf numFmtId="164" fontId="23" fillId="0" borderId="0" xfId="0" applyNumberFormat="1" applyFont="1" applyAlignment="1" applyProtection="1"/>
    <xf numFmtId="4" fontId="0" fillId="21" borderId="0" xfId="0" applyNumberFormat="1" applyFill="1"/>
    <xf numFmtId="167" fontId="55" fillId="21" borderId="0" xfId="5" applyNumberFormat="1" applyFont="1" applyFill="1"/>
    <xf numFmtId="165" fontId="65" fillId="21" borderId="0" xfId="0" applyNumberFormat="1" applyFont="1" applyFill="1" applyAlignment="1" applyProtection="1">
      <alignment horizontal="right"/>
    </xf>
    <xf numFmtId="164" fontId="81" fillId="0" borderId="0" xfId="0" applyFont="1"/>
    <xf numFmtId="164" fontId="82" fillId="21" borderId="0" xfId="0" applyNumberFormat="1" applyFont="1" applyFill="1" applyProtection="1"/>
    <xf numFmtId="164" fontId="65" fillId="21" borderId="0" xfId="0" applyNumberFormat="1" applyFont="1" applyFill="1" applyBorder="1" applyAlignment="1" applyProtection="1">
      <alignment horizontal="center"/>
    </xf>
    <xf numFmtId="0" fontId="75" fillId="0" borderId="0" xfId="8" applyFont="1"/>
    <xf numFmtId="0" fontId="75" fillId="0" borderId="16" xfId="8" applyFont="1" applyBorder="1"/>
    <xf numFmtId="0" fontId="60" fillId="0" borderId="0" xfId="8" applyFont="1"/>
    <xf numFmtId="164" fontId="83" fillId="21" borderId="0" xfId="0" applyNumberFormat="1" applyFont="1" applyFill="1" applyProtection="1"/>
    <xf numFmtId="164" fontId="83" fillId="21" borderId="0" xfId="0" applyNumberFormat="1" applyFont="1" applyFill="1" applyAlignment="1" applyProtection="1">
      <alignment horizontal="left"/>
    </xf>
    <xf numFmtId="164" fontId="82" fillId="21" borderId="0" xfId="0" applyNumberFormat="1" applyFont="1" applyFill="1" applyAlignment="1" applyProtection="1">
      <alignment horizontal="left"/>
    </xf>
    <xf numFmtId="164" fontId="65" fillId="21" borderId="0" xfId="0" applyNumberFormat="1" applyFont="1" applyFill="1" applyProtection="1"/>
    <xf numFmtId="164" fontId="84" fillId="21" borderId="0" xfId="0" applyNumberFormat="1" applyFont="1" applyFill="1" applyProtection="1"/>
    <xf numFmtId="4" fontId="26" fillId="21" borderId="0" xfId="0" applyNumberFormat="1" applyFont="1" applyFill="1"/>
    <xf numFmtId="4" fontId="19" fillId="21" borderId="0" xfId="0" applyNumberFormat="1" applyFont="1" applyFill="1" applyProtection="1"/>
    <xf numFmtId="4" fontId="20" fillId="21" borderId="0" xfId="0" applyNumberFormat="1" applyFont="1" applyFill="1" applyBorder="1" applyAlignment="1" applyProtection="1">
      <alignment horizontal="center"/>
    </xf>
    <xf numFmtId="4" fontId="53" fillId="0" borderId="0" xfId="72" applyNumberFormat="1" applyFont="1" applyAlignment="1">
      <alignment horizontal="center"/>
    </xf>
    <xf numFmtId="4" fontId="53" fillId="0" borderId="16" xfId="72" applyNumberFormat="1" applyFont="1" applyBorder="1" applyAlignment="1">
      <alignment horizontal="center"/>
    </xf>
    <xf numFmtId="4" fontId="54" fillId="0" borderId="0" xfId="8" applyNumberFormat="1" applyFont="1"/>
    <xf numFmtId="168" fontId="29" fillId="0" borderId="0" xfId="388" applyNumberFormat="1" applyFont="1" applyFill="1" applyBorder="1"/>
    <xf numFmtId="43" fontId="36" fillId="21" borderId="0" xfId="161" applyFont="1" applyFill="1"/>
    <xf numFmtId="164" fontId="20" fillId="21" borderId="0" xfId="0" applyNumberFormat="1" applyFont="1" applyFill="1" applyAlignment="1" applyProtection="1">
      <alignment horizontal="center"/>
    </xf>
    <xf numFmtId="174" fontId="36" fillId="0" borderId="0" xfId="326" applyNumberFormat="1" applyFont="1" applyFill="1" applyBorder="1">
      <alignment vertical="center"/>
    </xf>
    <xf numFmtId="175" fontId="86" fillId="0" borderId="0" xfId="389" applyFont="1" applyFill="1" applyBorder="1" applyAlignment="1"/>
    <xf numFmtId="175" fontId="86" fillId="0" borderId="0" xfId="389" applyFont="1" applyFill="1" applyBorder="1" applyAlignment="1">
      <alignment horizontal="right"/>
    </xf>
    <xf numFmtId="0" fontId="86" fillId="0" borderId="0" xfId="389" applyNumberFormat="1" applyFont="1" applyFill="1" applyBorder="1" applyAlignment="1" applyProtection="1">
      <alignment horizontal="center"/>
      <protection locked="0"/>
    </xf>
    <xf numFmtId="0" fontId="86" fillId="0" borderId="0" xfId="389" applyNumberFormat="1" applyFont="1" applyFill="1" applyBorder="1" applyAlignment="1" applyProtection="1">
      <protection locked="0"/>
    </xf>
    <xf numFmtId="0" fontId="86" fillId="0" borderId="0" xfId="389" applyNumberFormat="1" applyFont="1" applyFill="1" applyBorder="1"/>
    <xf numFmtId="0" fontId="87" fillId="0" borderId="0" xfId="389" applyNumberFormat="1" applyFont="1" applyFill="1" applyBorder="1"/>
    <xf numFmtId="0" fontId="86" fillId="0" borderId="0" xfId="389" applyNumberFormat="1" applyFont="1" applyFill="1" applyBorder="1" applyProtection="1">
      <protection locked="0"/>
    </xf>
    <xf numFmtId="0" fontId="87" fillId="0" borderId="0" xfId="389" applyNumberFormat="1" applyFont="1" applyFill="1" applyBorder="1" applyAlignment="1">
      <alignment horizontal="center"/>
    </xf>
    <xf numFmtId="49" fontId="86" fillId="0" borderId="0" xfId="389" applyNumberFormat="1" applyFont="1" applyFill="1" applyBorder="1"/>
    <xf numFmtId="175" fontId="85" fillId="0" borderId="0" xfId="389" applyFill="1" applyBorder="1" applyAlignment="1"/>
    <xf numFmtId="0" fontId="29" fillId="0" borderId="0" xfId="389" applyNumberFormat="1" applyFont="1" applyFill="1" applyBorder="1"/>
    <xf numFmtId="3" fontId="86" fillId="0" borderId="0" xfId="389" applyNumberFormat="1" applyFont="1" applyFill="1" applyBorder="1" applyAlignment="1"/>
    <xf numFmtId="0" fontId="86" fillId="0" borderId="0" xfId="389" applyNumberFormat="1" applyFont="1" applyFill="1" applyBorder="1" applyAlignment="1">
      <alignment horizontal="center"/>
    </xf>
    <xf numFmtId="175" fontId="86" fillId="0" borderId="0" xfId="389" applyFont="1" applyFill="1" applyBorder="1" applyAlignment="1">
      <alignment horizontal="center"/>
    </xf>
    <xf numFmtId="0" fontId="88" fillId="0" borderId="0" xfId="389" applyNumberFormat="1" applyFont="1" applyFill="1" applyBorder="1" applyAlignment="1"/>
    <xf numFmtId="175" fontId="89" fillId="0" borderId="0" xfId="389" applyFont="1" applyFill="1" applyBorder="1" applyAlignment="1"/>
    <xf numFmtId="3" fontId="89" fillId="0" borderId="0" xfId="389" applyNumberFormat="1" applyFont="1" applyFill="1" applyBorder="1" applyAlignment="1"/>
    <xf numFmtId="49" fontId="89" fillId="0" borderId="0" xfId="389" applyNumberFormat="1" applyFont="1" applyFill="1" applyBorder="1" applyAlignment="1">
      <alignment horizontal="center"/>
    </xf>
    <xf numFmtId="175" fontId="89" fillId="0" borderId="0" xfId="389" applyFont="1" applyFill="1" applyBorder="1" applyAlignment="1">
      <alignment horizontal="center"/>
    </xf>
    <xf numFmtId="175" fontId="89" fillId="0" borderId="0" xfId="389" applyFont="1" applyFill="1" applyBorder="1" applyAlignment="1">
      <alignment horizontal="left"/>
    </xf>
    <xf numFmtId="10" fontId="89" fillId="0" borderId="0" xfId="389" applyNumberFormat="1" applyFont="1" applyFill="1" applyBorder="1" applyAlignment="1"/>
    <xf numFmtId="0" fontId="89" fillId="0" borderId="0" xfId="389" applyNumberFormat="1" applyFont="1" applyFill="1" applyBorder="1" applyAlignment="1">
      <alignment horizontal="right"/>
    </xf>
    <xf numFmtId="49" fontId="89" fillId="0" borderId="0" xfId="389" applyNumberFormat="1" applyFont="1" applyFill="1" applyBorder="1" applyAlignment="1">
      <alignment horizontal="left"/>
    </xf>
    <xf numFmtId="175" fontId="86" fillId="0" borderId="0" xfId="393" applyFont="1" applyFill="1" applyBorder="1" applyAlignment="1"/>
    <xf numFmtId="168" fontId="90" fillId="0" borderId="0" xfId="9" applyNumberFormat="1" applyFont="1" applyAlignment="1"/>
    <xf numFmtId="175" fontId="90" fillId="0" borderId="0" xfId="389" applyFont="1" applyAlignment="1"/>
    <xf numFmtId="0" fontId="90" fillId="0" borderId="0" xfId="389" applyNumberFormat="1" applyFont="1" applyFill="1" applyBorder="1" applyAlignment="1" applyProtection="1">
      <protection locked="0"/>
    </xf>
    <xf numFmtId="0" fontId="90" fillId="0" borderId="0" xfId="389" applyNumberFormat="1" applyFont="1" applyFill="1" applyBorder="1" applyAlignment="1" applyProtection="1">
      <alignment horizontal="center"/>
      <protection locked="0"/>
    </xf>
    <xf numFmtId="0" fontId="90" fillId="0" borderId="0" xfId="389" applyNumberFormat="1" applyFont="1" applyFill="1" applyAlignment="1">
      <alignment horizontal="right"/>
    </xf>
    <xf numFmtId="175" fontId="85" fillId="0" borderId="0" xfId="389" applyAlignment="1"/>
    <xf numFmtId="175" fontId="90" fillId="0" borderId="0" xfId="389" applyFont="1" applyFill="1" applyAlignment="1"/>
    <xf numFmtId="167" fontId="90" fillId="0" borderId="0" xfId="389" applyNumberFormat="1" applyFont="1" applyAlignment="1"/>
    <xf numFmtId="168" fontId="90" fillId="0" borderId="0" xfId="9" applyNumberFormat="1" applyFont="1" applyAlignment="1">
      <alignment horizontal="center"/>
    </xf>
    <xf numFmtId="168" fontId="86" fillId="0" borderId="0" xfId="9" applyNumberFormat="1" applyFont="1" applyAlignment="1">
      <alignment horizontal="center"/>
    </xf>
    <xf numFmtId="175" fontId="86" fillId="0" borderId="0" xfId="389" applyFont="1"/>
    <xf numFmtId="175" fontId="85" fillId="0" borderId="0" xfId="389"/>
    <xf numFmtId="175" fontId="86" fillId="0" borderId="0" xfId="389" applyFont="1" applyAlignment="1"/>
    <xf numFmtId="175" fontId="29" fillId="0" borderId="0" xfId="389" applyFont="1" applyAlignment="1"/>
    <xf numFmtId="0" fontId="29" fillId="0" borderId="0" xfId="398" applyFont="1"/>
    <xf numFmtId="175" fontId="36" fillId="0" borderId="0" xfId="389" applyFont="1" applyFill="1" applyAlignment="1">
      <alignment vertical="top" wrapText="1"/>
    </xf>
    <xf numFmtId="0" fontId="91" fillId="0" borderId="0" xfId="389" applyNumberFormat="1" applyFont="1" applyFill="1" applyBorder="1" applyAlignment="1" applyProtection="1">
      <alignment horizontal="center"/>
      <protection locked="0"/>
    </xf>
    <xf numFmtId="175" fontId="91" fillId="0" borderId="0" xfId="389" applyFont="1" applyFill="1" applyBorder="1" applyAlignment="1"/>
    <xf numFmtId="0" fontId="91" fillId="0" borderId="0" xfId="389" applyNumberFormat="1" applyFont="1" applyFill="1" applyBorder="1"/>
    <xf numFmtId="49" fontId="91" fillId="0" borderId="0" xfId="389" applyNumberFormat="1" applyFont="1" applyFill="1" applyBorder="1"/>
    <xf numFmtId="175" fontId="90" fillId="0" borderId="0" xfId="389" applyFont="1" applyFill="1" applyBorder="1" applyAlignment="1"/>
    <xf numFmtId="0" fontId="90" fillId="0" borderId="0" xfId="389" applyNumberFormat="1" applyFont="1" applyFill="1" applyBorder="1"/>
    <xf numFmtId="0" fontId="29" fillId="0" borderId="0" xfId="399" applyNumberFormat="1" applyFont="1"/>
    <xf numFmtId="0" fontId="29" fillId="0" borderId="0" xfId="399" applyFont="1" applyAlignment="1"/>
    <xf numFmtId="3" fontId="29" fillId="0" borderId="0" xfId="399" applyNumberFormat="1" applyFont="1" applyAlignment="1"/>
    <xf numFmtId="164" fontId="23" fillId="21" borderId="0" xfId="0" applyNumberFormat="1" applyFont="1" applyFill="1" applyBorder="1" applyAlignment="1" applyProtection="1">
      <protection locked="0"/>
    </xf>
    <xf numFmtId="0" fontId="29" fillId="0" borderId="0" xfId="420" applyFont="1"/>
    <xf numFmtId="0" fontId="98" fillId="22" borderId="4" xfId="387" applyFont="1" applyFill="1" applyBorder="1"/>
    <xf numFmtId="0" fontId="29" fillId="22" borderId="32" xfId="420" applyFont="1" applyFill="1" applyBorder="1"/>
    <xf numFmtId="0" fontId="31" fillId="22" borderId="32" xfId="420" applyFont="1" applyFill="1" applyBorder="1"/>
    <xf numFmtId="0" fontId="29" fillId="22" borderId="4" xfId="420" applyFont="1" applyFill="1" applyBorder="1"/>
    <xf numFmtId="0" fontId="29" fillId="22" borderId="34" xfId="420" applyFont="1" applyFill="1" applyBorder="1"/>
    <xf numFmtId="0" fontId="31" fillId="22" borderId="33" xfId="420" applyFont="1" applyFill="1" applyBorder="1"/>
    <xf numFmtId="5" fontId="53" fillId="21" borderId="0" xfId="5" applyNumberFormat="1" applyFont="1" applyFill="1" applyBorder="1"/>
    <xf numFmtId="170" fontId="36" fillId="21" borderId="0" xfId="0" applyNumberFormat="1" applyFont="1" applyFill="1" applyAlignment="1">
      <alignment horizontal="left" indent="2"/>
    </xf>
    <xf numFmtId="170" fontId="0" fillId="21" borderId="0" xfId="0" applyNumberFormat="1" applyFill="1"/>
    <xf numFmtId="170" fontId="36" fillId="21" borderId="0" xfId="0" applyNumberFormat="1" applyFont="1" applyFill="1" applyAlignment="1">
      <alignment horizontal="left" indent="8"/>
    </xf>
    <xf numFmtId="170" fontId="36" fillId="21" borderId="0" xfId="0" applyNumberFormat="1" applyFont="1" applyFill="1"/>
    <xf numFmtId="170" fontId="36" fillId="21" borderId="0" xfId="0" applyNumberFormat="1" applyFont="1" applyFill="1" applyAlignment="1">
      <alignment horizontal="left" indent="4"/>
    </xf>
    <xf numFmtId="170" fontId="36" fillId="21" borderId="0" xfId="0" applyNumberFormat="1" applyFont="1" applyFill="1" applyAlignment="1">
      <alignment horizontal="left" indent="6"/>
    </xf>
    <xf numFmtId="170" fontId="0" fillId="21" borderId="0" xfId="0" applyNumberFormat="1" applyFill="1" applyAlignment="1">
      <alignment horizontal="left" indent="8"/>
    </xf>
    <xf numFmtId="164" fontId="32" fillId="21" borderId="0" xfId="0" applyFont="1" applyFill="1" applyAlignment="1">
      <alignment horizontal="left"/>
    </xf>
    <xf numFmtId="167" fontId="101" fillId="21" borderId="0" xfId="5" applyNumberFormat="1" applyFont="1" applyFill="1" applyBorder="1"/>
    <xf numFmtId="170" fontId="36" fillId="21" borderId="0" xfId="0" applyNumberFormat="1" applyFont="1" applyFill="1" applyAlignment="1">
      <alignment horizontal="left" indent="3"/>
    </xf>
    <xf numFmtId="44" fontId="36" fillId="21" borderId="0" xfId="0" applyNumberFormat="1" applyFont="1" applyFill="1" applyAlignment="1">
      <alignment horizontal="left"/>
    </xf>
    <xf numFmtId="170" fontId="32" fillId="21" borderId="0" xfId="0" applyNumberFormat="1" applyFont="1" applyFill="1" applyAlignment="1">
      <alignment horizontal="left"/>
    </xf>
    <xf numFmtId="0" fontId="31" fillId="21" borderId="0" xfId="5" applyFont="1" applyFill="1"/>
    <xf numFmtId="167" fontId="101" fillId="21" borderId="0" xfId="397" applyNumberFormat="1" applyFont="1" applyFill="1" applyBorder="1"/>
    <xf numFmtId="0" fontId="29" fillId="21" borderId="0" xfId="420" applyFont="1" applyFill="1"/>
    <xf numFmtId="0" fontId="97" fillId="21" borderId="0" xfId="387" applyFont="1" applyFill="1"/>
    <xf numFmtId="0" fontId="98" fillId="21" borderId="0" xfId="387" applyFont="1" applyFill="1"/>
    <xf numFmtId="0" fontId="29" fillId="21" borderId="0" xfId="420" applyFont="1" applyFill="1" applyBorder="1"/>
    <xf numFmtId="164" fontId="0" fillId="0" borderId="35" xfId="0" applyBorder="1"/>
    <xf numFmtId="0" fontId="36" fillId="21" borderId="31" xfId="401" quotePrefix="1" applyNumberFormat="1" applyFill="1" applyProtection="1">
      <alignment horizontal="left" vertical="center" indent="1"/>
      <protection locked="0"/>
    </xf>
    <xf numFmtId="0" fontId="36" fillId="21" borderId="31" xfId="401" quotePrefix="1" applyNumberFormat="1" applyFill="1" applyAlignment="1" applyProtection="1">
      <alignment horizontal="center" vertical="center"/>
      <protection locked="0"/>
    </xf>
    <xf numFmtId="168" fontId="36" fillId="21" borderId="40" xfId="161" quotePrefix="1" applyNumberFormat="1" applyFont="1" applyFill="1" applyBorder="1" applyAlignment="1" applyProtection="1">
      <alignment horizontal="center" vertical="center"/>
      <protection locked="0"/>
    </xf>
    <xf numFmtId="0" fontId="6" fillId="21" borderId="0" xfId="513" applyFill="1"/>
    <xf numFmtId="0" fontId="59" fillId="21" borderId="0" xfId="513" applyFont="1" applyFill="1"/>
    <xf numFmtId="183" fontId="6" fillId="21" borderId="0" xfId="513" applyNumberFormat="1" applyFill="1"/>
    <xf numFmtId="0" fontId="6" fillId="21" borderId="4" xfId="513" applyFill="1" applyBorder="1"/>
    <xf numFmtId="183" fontId="6" fillId="21" borderId="4" xfId="513" applyNumberFormat="1" applyFill="1" applyBorder="1"/>
    <xf numFmtId="0" fontId="12" fillId="21" borderId="0" xfId="386" applyFill="1"/>
    <xf numFmtId="168" fontId="12" fillId="21" borderId="0" xfId="161" applyNumberFormat="1" applyFont="1" applyFill="1"/>
    <xf numFmtId="0" fontId="102" fillId="21" borderId="0" xfId="142" quotePrefix="1" applyFont="1" applyFill="1"/>
    <xf numFmtId="0" fontId="40" fillId="21" borderId="0" xfId="142" applyFill="1"/>
    <xf numFmtId="168" fontId="9" fillId="21" borderId="0" xfId="161" applyNumberFormat="1" applyFont="1" applyFill="1"/>
    <xf numFmtId="0" fontId="9" fillId="21" borderId="0" xfId="400" applyFill="1"/>
    <xf numFmtId="0" fontId="12" fillId="21" borderId="0" xfId="386" applyFill="1" applyAlignment="1">
      <alignment horizontal="center"/>
    </xf>
    <xf numFmtId="168" fontId="36" fillId="21" borderId="31" xfId="161" quotePrefix="1" applyNumberFormat="1" applyFont="1" applyFill="1" applyBorder="1" applyAlignment="1" applyProtection="1">
      <alignment horizontal="left" vertical="center" indent="1"/>
      <protection locked="0"/>
    </xf>
    <xf numFmtId="168" fontId="36" fillId="21" borderId="31" xfId="161" applyNumberFormat="1" applyFont="1" applyFill="1" applyBorder="1" applyAlignment="1" applyProtection="1">
      <alignment horizontal="left" vertical="center" indent="1"/>
      <protection locked="0"/>
    </xf>
    <xf numFmtId="0" fontId="36" fillId="21" borderId="41" xfId="407" applyFill="1" applyBorder="1" applyAlignment="1">
      <alignment horizontal="left"/>
    </xf>
    <xf numFmtId="0" fontId="36" fillId="21" borderId="35" xfId="408" applyFill="1" applyBorder="1" applyAlignment="1">
      <alignment horizontal="left"/>
    </xf>
    <xf numFmtId="0" fontId="36" fillId="21" borderId="31" xfId="404" quotePrefix="1" applyNumberFormat="1" applyFill="1">
      <alignment horizontal="left" vertical="center" indent="1"/>
    </xf>
    <xf numFmtId="0" fontId="38" fillId="21" borderId="31" xfId="409" quotePrefix="1" applyNumberFormat="1" applyFill="1">
      <alignment horizontal="left" vertical="center" indent="1"/>
    </xf>
    <xf numFmtId="0" fontId="38" fillId="21" borderId="31" xfId="409" applyNumberFormat="1" applyFill="1">
      <alignment horizontal="left" vertical="center" indent="1"/>
    </xf>
    <xf numFmtId="168" fontId="12" fillId="21" borderId="30" xfId="386" applyNumberFormat="1" applyFill="1" applyBorder="1"/>
    <xf numFmtId="164" fontId="23" fillId="21" borderId="0" xfId="0" applyNumberFormat="1" applyFont="1" applyFill="1" applyAlignment="1" applyProtection="1">
      <alignment horizontal="centerContinuous"/>
    </xf>
    <xf numFmtId="164" fontId="0" fillId="21" borderId="0" xfId="0" applyFill="1" applyAlignment="1">
      <alignment horizontal="centerContinuous"/>
    </xf>
    <xf numFmtId="164" fontId="23" fillId="21" borderId="0" xfId="0" applyNumberFormat="1" applyFont="1" applyFill="1" applyBorder="1" applyAlignment="1" applyProtection="1">
      <alignment horizontal="centerContinuous"/>
    </xf>
    <xf numFmtId="164" fontId="23" fillId="21" borderId="0" xfId="0" applyNumberFormat="1" applyFont="1" applyFill="1" applyAlignment="1" applyProtection="1">
      <alignment horizontal="center"/>
    </xf>
    <xf numFmtId="164" fontId="0" fillId="0" borderId="0" xfId="0" applyFill="1"/>
    <xf numFmtId="175" fontId="86" fillId="0" borderId="0" xfId="0" applyNumberFormat="1" applyFont="1" applyFill="1" applyBorder="1" applyAlignment="1" applyProtection="1"/>
    <xf numFmtId="0" fontId="86" fillId="0" borderId="0" xfId="9" applyNumberFormat="1" applyFont="1" applyFill="1" applyAlignment="1">
      <alignment horizontal="center" vertical="top"/>
    </xf>
    <xf numFmtId="175" fontId="86" fillId="0" borderId="0" xfId="389" applyFont="1" applyFill="1" applyBorder="1" applyAlignment="1">
      <alignment horizontal="center" vertical="top"/>
    </xf>
    <xf numFmtId="0" fontId="86" fillId="0" borderId="0" xfId="9" applyNumberFormat="1" applyFont="1" applyFill="1" applyAlignment="1">
      <alignment horizontal="center"/>
    </xf>
    <xf numFmtId="0" fontId="86" fillId="0" borderId="0" xfId="0" applyNumberFormat="1" applyFont="1" applyAlignment="1">
      <alignment horizontal="center" vertical="top"/>
    </xf>
    <xf numFmtId="168" fontId="54" fillId="21" borderId="0" xfId="9" applyNumberFormat="1" applyFont="1" applyFill="1" applyAlignment="1">
      <alignment horizontal="center"/>
    </xf>
    <xf numFmtId="164" fontId="54" fillId="21" borderId="0" xfId="0" applyFont="1" applyFill="1" applyAlignment="1"/>
    <xf numFmtId="164" fontId="0" fillId="0" borderId="0" xfId="0" applyFill="1" applyBorder="1"/>
    <xf numFmtId="164" fontId="31" fillId="21" borderId="0" xfId="0" applyFont="1" applyFill="1"/>
    <xf numFmtId="0" fontId="34" fillId="21" borderId="29" xfId="386" applyFont="1" applyFill="1" applyBorder="1" applyAlignment="1">
      <alignment horizontal="center"/>
    </xf>
    <xf numFmtId="0" fontId="34" fillId="21" borderId="30" xfId="386" applyFont="1" applyFill="1" applyBorder="1" applyAlignment="1">
      <alignment horizontal="center"/>
    </xf>
    <xf numFmtId="164" fontId="0" fillId="21" borderId="42" xfId="0" applyFill="1" applyBorder="1"/>
    <xf numFmtId="0" fontId="32" fillId="21" borderId="43" xfId="408" applyFont="1" applyFill="1" applyBorder="1" applyAlignment="1">
      <alignment horizontal="left"/>
    </xf>
    <xf numFmtId="0" fontId="32" fillId="21" borderId="10" xfId="408" applyFont="1" applyFill="1" applyBorder="1" applyAlignment="1">
      <alignment horizontal="left"/>
    </xf>
    <xf numFmtId="0" fontId="32" fillId="21" borderId="35" xfId="408" applyFont="1" applyFill="1" applyBorder="1" applyAlignment="1">
      <alignment horizontal="left"/>
    </xf>
    <xf numFmtId="168" fontId="12" fillId="21" borderId="36" xfId="386" applyNumberFormat="1" applyFill="1" applyBorder="1"/>
    <xf numFmtId="0" fontId="32" fillId="21" borderId="44" xfId="408" applyFont="1" applyFill="1" applyBorder="1" applyAlignment="1">
      <alignment horizontal="left"/>
    </xf>
    <xf numFmtId="0" fontId="24" fillId="21" borderId="35" xfId="409" applyNumberFormat="1" applyFont="1" applyFill="1" applyBorder="1">
      <alignment horizontal="left" vertical="center" indent="1"/>
    </xf>
    <xf numFmtId="168" fontId="34" fillId="21" borderId="36" xfId="386" applyNumberFormat="1" applyFont="1" applyFill="1" applyBorder="1"/>
    <xf numFmtId="168" fontId="12" fillId="21" borderId="0" xfId="386" applyNumberFormat="1" applyFill="1" applyBorder="1"/>
    <xf numFmtId="168" fontId="34" fillId="21" borderId="0" xfId="386" applyNumberFormat="1" applyFont="1" applyFill="1" applyBorder="1"/>
    <xf numFmtId="43" fontId="55" fillId="21" borderId="27" xfId="161" quotePrefix="1" applyFont="1" applyFill="1" applyBorder="1" applyAlignment="1"/>
    <xf numFmtId="164" fontId="31" fillId="21" borderId="0" xfId="0" applyFont="1" applyFill="1" applyAlignment="1">
      <alignment horizontal="center"/>
    </xf>
    <xf numFmtId="164" fontId="57" fillId="21" borderId="0" xfId="0" applyFont="1" applyFill="1" applyAlignment="1">
      <alignment horizontal="center"/>
    </xf>
    <xf numFmtId="164" fontId="57" fillId="21" borderId="0" xfId="0" applyFont="1" applyFill="1" applyBorder="1" applyAlignment="1"/>
    <xf numFmtId="164" fontId="93" fillId="21" borderId="0" xfId="0" applyNumberFormat="1" applyFont="1" applyFill="1" applyAlignment="1" applyProtection="1">
      <alignment horizontal="center"/>
    </xf>
    <xf numFmtId="14" fontId="57" fillId="21" borderId="0" xfId="0" applyNumberFormat="1" applyFont="1" applyFill="1" applyAlignment="1" applyProtection="1">
      <alignment horizontal="right"/>
    </xf>
    <xf numFmtId="164" fontId="57" fillId="21" borderId="0" xfId="0" applyFont="1" applyFill="1" applyAlignment="1"/>
    <xf numFmtId="164" fontId="80" fillId="21" borderId="0" xfId="0" applyFont="1" applyFill="1" applyAlignment="1"/>
    <xf numFmtId="164" fontId="57" fillId="21" borderId="9" xfId="0" applyFont="1" applyFill="1" applyBorder="1" applyAlignment="1"/>
    <xf numFmtId="164" fontId="92" fillId="21" borderId="0" xfId="0" applyNumberFormat="1" applyFont="1" applyFill="1" applyAlignment="1" applyProtection="1"/>
    <xf numFmtId="164" fontId="93" fillId="21" borderId="0" xfId="0" applyNumberFormat="1" applyFont="1" applyFill="1" applyAlignment="1" applyProtection="1"/>
    <xf numFmtId="164" fontId="58" fillId="21" borderId="0" xfId="0" applyNumberFormat="1" applyFont="1" applyFill="1" applyAlignment="1" applyProtection="1"/>
    <xf numFmtId="164" fontId="29" fillId="21" borderId="0" xfId="0" applyFont="1" applyFill="1" applyAlignment="1"/>
    <xf numFmtId="165" fontId="93" fillId="21" borderId="0" xfId="0" applyNumberFormat="1" applyFont="1" applyFill="1" applyAlignment="1" applyProtection="1"/>
    <xf numFmtId="164" fontId="36" fillId="21" borderId="0" xfId="0" applyFont="1" applyFill="1" applyAlignment="1"/>
    <xf numFmtId="164" fontId="58" fillId="21" borderId="0" xfId="0" applyFont="1" applyFill="1" applyAlignment="1"/>
    <xf numFmtId="164" fontId="54" fillId="21" borderId="9" xfId="0" applyFont="1" applyFill="1" applyBorder="1" applyAlignment="1"/>
    <xf numFmtId="164" fontId="49" fillId="21" borderId="0" xfId="0" applyFont="1" applyFill="1" applyAlignment="1"/>
    <xf numFmtId="0" fontId="53" fillId="0" borderId="0" xfId="72" applyFont="1" applyAlignment="1">
      <alignment horizontal="center"/>
    </xf>
    <xf numFmtId="0" fontId="53" fillId="0" borderId="16" xfId="72" applyFont="1" applyBorder="1" applyAlignment="1">
      <alignment horizontal="center"/>
    </xf>
    <xf numFmtId="0" fontId="31" fillId="0" borderId="0" xfId="387" applyFont="1" applyFill="1" applyBorder="1"/>
    <xf numFmtId="0" fontId="29" fillId="0" borderId="0" xfId="420" applyFont="1" applyFill="1" applyBorder="1"/>
    <xf numFmtId="0" fontId="31" fillId="0" borderId="0" xfId="420" applyFont="1" applyFill="1" applyBorder="1"/>
    <xf numFmtId="0" fontId="29" fillId="0" borderId="4" xfId="420" applyFont="1" applyFill="1" applyBorder="1"/>
    <xf numFmtId="0" fontId="31" fillId="0" borderId="4" xfId="387" applyFont="1" applyFill="1" applyBorder="1"/>
    <xf numFmtId="168" fontId="29" fillId="0" borderId="4" xfId="410" applyNumberFormat="1" applyFont="1" applyFill="1" applyBorder="1"/>
    <xf numFmtId="168" fontId="29" fillId="0" borderId="0" xfId="410" applyNumberFormat="1" applyFont="1" applyFill="1" applyBorder="1"/>
    <xf numFmtId="0" fontId="31" fillId="0" borderId="33" xfId="387" applyFont="1" applyFill="1" applyBorder="1"/>
    <xf numFmtId="168" fontId="31" fillId="0" borderId="33" xfId="410" applyNumberFormat="1" applyFont="1" applyFill="1" applyBorder="1"/>
    <xf numFmtId="0" fontId="31" fillId="0" borderId="33" xfId="420" applyFont="1" applyFill="1" applyBorder="1"/>
    <xf numFmtId="0" fontId="31" fillId="0" borderId="0" xfId="8" applyFont="1" applyFill="1"/>
    <xf numFmtId="3" fontId="31" fillId="0" borderId="0" xfId="8" applyNumberFormat="1" applyFont="1" applyFill="1"/>
    <xf numFmtId="0" fontId="29" fillId="0" borderId="0" xfId="420" applyFont="1" applyFill="1"/>
    <xf numFmtId="164" fontId="22" fillId="0" borderId="0" xfId="0" applyNumberFormat="1" applyFont="1" applyFill="1" applyProtection="1"/>
    <xf numFmtId="164" fontId="26" fillId="0" borderId="0" xfId="0" applyFont="1" applyFill="1"/>
    <xf numFmtId="164" fontId="19" fillId="0" borderId="0" xfId="0" applyNumberFormat="1" applyFont="1" applyFill="1" applyProtection="1"/>
    <xf numFmtId="164" fontId="44" fillId="0" borderId="0" xfId="0" applyFont="1" applyFill="1"/>
    <xf numFmtId="49" fontId="50" fillId="0" borderId="0" xfId="0" applyNumberFormat="1" applyFont="1" applyFill="1" applyAlignment="1" applyProtection="1">
      <alignment horizontal="center"/>
    </xf>
    <xf numFmtId="164" fontId="20" fillId="0" borderId="0" xfId="0" applyNumberFormat="1" applyFont="1" applyFill="1" applyAlignment="1" applyProtection="1">
      <alignment horizontal="center"/>
    </xf>
    <xf numFmtId="0" fontId="29" fillId="0" borderId="0" xfId="387" applyFont="1" applyFill="1" applyAlignment="1">
      <alignment horizontal="center"/>
    </xf>
    <xf numFmtId="0" fontId="29" fillId="0" borderId="0" xfId="387" applyFont="1" applyFill="1"/>
    <xf numFmtId="0" fontId="31" fillId="0" borderId="0" xfId="387" applyFont="1" applyFill="1" applyAlignment="1">
      <alignment horizontal="center"/>
    </xf>
    <xf numFmtId="0" fontId="31" fillId="0" borderId="0" xfId="387" applyFont="1" applyFill="1"/>
    <xf numFmtId="0" fontId="100" fillId="0" borderId="4" xfId="387" applyFont="1" applyFill="1" applyBorder="1" applyAlignment="1">
      <alignment horizontal="left"/>
    </xf>
    <xf numFmtId="0" fontId="31" fillId="0" borderId="4" xfId="387" applyFont="1" applyFill="1" applyBorder="1" applyAlignment="1">
      <alignment horizontal="left"/>
    </xf>
    <xf numFmtId="0" fontId="100" fillId="0" borderId="0" xfId="387" applyFont="1" applyFill="1" applyAlignment="1">
      <alignment horizontal="left"/>
    </xf>
    <xf numFmtId="0" fontId="31" fillId="0" borderId="0" xfId="387" applyFont="1" applyFill="1" applyAlignment="1">
      <alignment horizontal="left"/>
    </xf>
    <xf numFmtId="0" fontId="31" fillId="0" borderId="0" xfId="420" applyFont="1" applyFill="1" applyBorder="1" applyAlignment="1">
      <alignment horizontal="center"/>
    </xf>
    <xf numFmtId="0" fontId="31" fillId="0" borderId="4" xfId="420" applyFont="1" applyFill="1" applyBorder="1" applyAlignment="1">
      <alignment horizontal="center"/>
    </xf>
    <xf numFmtId="0" fontId="31" fillId="0" borderId="4" xfId="420" applyFont="1" applyFill="1" applyBorder="1"/>
    <xf numFmtId="3" fontId="99" fillId="0" borderId="0" xfId="8" applyNumberFormat="1" applyFont="1" applyFill="1" applyBorder="1" applyAlignment="1">
      <alignment horizontal="left"/>
    </xf>
    <xf numFmtId="0" fontId="29" fillId="0" borderId="34" xfId="420" applyFont="1" applyFill="1" applyBorder="1"/>
    <xf numFmtId="3" fontId="99" fillId="0" borderId="34" xfId="8" applyNumberFormat="1" applyFont="1" applyFill="1" applyBorder="1" applyAlignment="1">
      <alignment horizontal="left"/>
    </xf>
    <xf numFmtId="0" fontId="31" fillId="0" borderId="34" xfId="387" applyFont="1" applyFill="1" applyBorder="1"/>
    <xf numFmtId="168" fontId="29" fillId="0" borderId="34" xfId="410" applyNumberFormat="1" applyFont="1" applyFill="1" applyBorder="1"/>
    <xf numFmtId="0" fontId="29" fillId="0" borderId="0" xfId="420" applyFont="1" applyFill="1" applyAlignment="1">
      <alignment horizontal="center"/>
    </xf>
    <xf numFmtId="0" fontId="29" fillId="0" borderId="0" xfId="387" applyFont="1" applyFill="1" applyBorder="1"/>
    <xf numFmtId="0" fontId="55" fillId="0" borderId="0" xfId="8" applyFont="1" applyFill="1"/>
    <xf numFmtId="0" fontId="55" fillId="0" borderId="0" xfId="8" applyFont="1" applyFill="1" applyAlignment="1">
      <alignment horizontal="right"/>
    </xf>
    <xf numFmtId="0" fontId="53" fillId="0" borderId="0" xfId="8" applyFont="1" applyFill="1" applyAlignment="1">
      <alignment horizontal="left"/>
    </xf>
    <xf numFmtId="164" fontId="20" fillId="0" borderId="0" xfId="0" applyNumberFormat="1" applyFont="1" applyFill="1" applyAlignment="1" applyProtection="1"/>
    <xf numFmtId="164" fontId="20" fillId="0" borderId="0" xfId="0" applyNumberFormat="1" applyFont="1" applyFill="1" applyBorder="1" applyAlignment="1" applyProtection="1"/>
    <xf numFmtId="0" fontId="55" fillId="0" borderId="0" xfId="8" applyFont="1" applyFill="1" applyAlignment="1">
      <alignment horizontal="left"/>
    </xf>
    <xf numFmtId="3" fontId="55" fillId="0" borderId="0" xfId="8" applyNumberFormat="1" applyFont="1" applyFill="1"/>
    <xf numFmtId="3" fontId="55" fillId="0" borderId="0" xfId="8" applyNumberFormat="1" applyFont="1" applyFill="1" applyAlignment="1">
      <alignment horizontal="center"/>
    </xf>
    <xf numFmtId="3" fontId="55" fillId="0" borderId="0" xfId="8" applyNumberFormat="1" applyFont="1" applyFill="1" applyAlignment="1">
      <alignment horizontal="right"/>
    </xf>
    <xf numFmtId="3" fontId="73" fillId="0" borderId="0" xfId="8" applyNumberFormat="1" applyFont="1" applyFill="1" applyBorder="1" applyAlignment="1">
      <alignment horizontal="left"/>
    </xf>
    <xf numFmtId="3" fontId="74" fillId="0" borderId="0" xfId="8" applyNumberFormat="1" applyFont="1" applyFill="1" applyBorder="1" applyAlignment="1">
      <alignment horizontal="right"/>
    </xf>
    <xf numFmtId="3" fontId="55" fillId="0" borderId="0" xfId="8" applyNumberFormat="1" applyFont="1" applyFill="1" applyAlignment="1">
      <alignment horizontal="left"/>
    </xf>
    <xf numFmtId="3" fontId="53" fillId="0" borderId="0" xfId="8" applyNumberFormat="1" applyFont="1" applyFill="1" applyBorder="1" applyAlignment="1">
      <alignment horizontal="left"/>
    </xf>
    <xf numFmtId="168" fontId="34" fillId="0" borderId="36" xfId="386" applyNumberFormat="1" applyFont="1" applyFill="1" applyBorder="1"/>
    <xf numFmtId="168" fontId="12" fillId="0" borderId="0" xfId="161" applyNumberFormat="1" applyFont="1" applyFill="1"/>
    <xf numFmtId="168" fontId="35" fillId="0" borderId="0" xfId="161" applyNumberFormat="1" applyFont="1" applyFill="1"/>
    <xf numFmtId="168" fontId="103" fillId="0" borderId="0" xfId="161" applyNumberFormat="1" applyFont="1" applyFill="1"/>
    <xf numFmtId="0" fontId="12" fillId="0" borderId="0" xfId="386" applyFill="1"/>
    <xf numFmtId="164" fontId="49" fillId="0" borderId="0" xfId="0" applyFont="1" applyFill="1" applyAlignment="1"/>
    <xf numFmtId="168" fontId="9" fillId="0" borderId="0" xfId="161" applyNumberFormat="1" applyFont="1" applyFill="1"/>
    <xf numFmtId="0" fontId="12" fillId="0" borderId="0" xfId="386" applyFill="1" applyAlignment="1">
      <alignment horizontal="center"/>
    </xf>
    <xf numFmtId="168" fontId="36" fillId="0" borderId="31" xfId="161" quotePrefix="1" applyNumberFormat="1" applyFont="1" applyFill="1" applyBorder="1" applyAlignment="1" applyProtection="1">
      <alignment horizontal="left" vertical="center" indent="1"/>
      <protection locked="0"/>
    </xf>
    <xf numFmtId="168" fontId="36" fillId="0" borderId="31" xfId="161" applyNumberFormat="1" applyFont="1" applyFill="1" applyBorder="1" applyAlignment="1">
      <alignment horizontal="left" vertical="center" indent="1"/>
    </xf>
    <xf numFmtId="168" fontId="36" fillId="0" borderId="31" xfId="161" quotePrefix="1" applyNumberFormat="1" applyFont="1" applyFill="1" applyBorder="1" applyAlignment="1">
      <alignment horizontal="left" vertical="center" indent="1"/>
    </xf>
    <xf numFmtId="168" fontId="24" fillId="0" borderId="31" xfId="161" quotePrefix="1" applyNumberFormat="1" applyFont="1" applyFill="1" applyBorder="1" applyAlignment="1">
      <alignment horizontal="left" vertical="center" indent="1"/>
    </xf>
    <xf numFmtId="168" fontId="36" fillId="0" borderId="31" xfId="161" quotePrefix="1" applyNumberFormat="1" applyFont="1" applyFill="1" applyBorder="1" applyAlignment="1" applyProtection="1">
      <alignment horizontal="center" vertical="center"/>
      <protection locked="0"/>
    </xf>
    <xf numFmtId="168" fontId="36" fillId="0" borderId="31" xfId="161" quotePrefix="1" applyNumberFormat="1" applyFont="1" applyFill="1" applyBorder="1" applyAlignment="1">
      <alignment horizontal="center" vertical="center"/>
    </xf>
    <xf numFmtId="168" fontId="38" fillId="0" borderId="31" xfId="161" applyNumberFormat="1" applyFont="1" applyFill="1" applyBorder="1" applyAlignment="1">
      <alignment horizontal="center" vertical="center"/>
    </xf>
    <xf numFmtId="168" fontId="36" fillId="0" borderId="40" xfId="161" quotePrefix="1" applyNumberFormat="1" applyFont="1" applyFill="1" applyBorder="1" applyAlignment="1" applyProtection="1">
      <alignment horizontal="center" vertical="center"/>
      <protection locked="0"/>
    </xf>
    <xf numFmtId="168" fontId="36" fillId="0" borderId="40" xfId="161" quotePrefix="1" applyNumberFormat="1" applyFont="1" applyFill="1" applyBorder="1" applyAlignment="1">
      <alignment horizontal="center" vertical="center"/>
    </xf>
    <xf numFmtId="168" fontId="38" fillId="0" borderId="40" xfId="161" applyNumberFormat="1" applyFont="1" applyFill="1" applyBorder="1" applyAlignment="1">
      <alignment horizontal="center" vertical="center"/>
    </xf>
    <xf numFmtId="168" fontId="12" fillId="0" borderId="0" xfId="386" applyNumberFormat="1" applyFill="1"/>
    <xf numFmtId="168" fontId="9" fillId="0" borderId="0" xfId="161" applyNumberFormat="1" applyFont="1" applyFill="1" applyBorder="1"/>
    <xf numFmtId="164" fontId="23" fillId="21" borderId="0" xfId="0" applyNumberFormat="1" applyFont="1" applyFill="1" applyBorder="1" applyAlignment="1" applyProtection="1">
      <alignment horizontal="center"/>
      <protection locked="0"/>
    </xf>
    <xf numFmtId="164" fontId="23" fillId="0" borderId="0" xfId="0" applyNumberFormat="1" applyFont="1" applyAlignment="1" applyProtection="1">
      <alignment horizontal="center"/>
    </xf>
    <xf numFmtId="164" fontId="20" fillId="21"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164" fontId="31" fillId="21" borderId="0" xfId="0" applyFont="1" applyFill="1" applyAlignment="1">
      <alignment horizontal="center"/>
    </xf>
    <xf numFmtId="164" fontId="20" fillId="21" borderId="0" xfId="193" applyNumberFormat="1" applyFont="1" applyFill="1" applyAlignment="1" applyProtection="1">
      <alignment horizontal="center"/>
    </xf>
    <xf numFmtId="168" fontId="38" fillId="0" borderId="7" xfId="138" applyNumberFormat="1" applyFill="1">
      <alignment horizontal="right" vertical="center"/>
    </xf>
    <xf numFmtId="168" fontId="38" fillId="0" borderId="7" xfId="106" applyNumberFormat="1" applyFill="1">
      <alignment vertical="center"/>
    </xf>
    <xf numFmtId="168" fontId="38" fillId="21" borderId="7" xfId="138" applyNumberFormat="1" applyFill="1">
      <alignment horizontal="right" vertical="center"/>
    </xf>
    <xf numFmtId="168" fontId="38" fillId="21" borderId="7" xfId="106" applyNumberFormat="1" applyFill="1">
      <alignment vertical="center"/>
    </xf>
    <xf numFmtId="0" fontId="32" fillId="21" borderId="0" xfId="8" applyFont="1" applyFill="1" applyBorder="1" applyAlignment="1">
      <alignment horizontal="center"/>
    </xf>
    <xf numFmtId="41" fontId="55" fillId="21" borderId="0" xfId="5" applyNumberFormat="1" applyFont="1" applyFill="1"/>
    <xf numFmtId="41" fontId="94" fillId="21" borderId="0" xfId="9" applyNumberFormat="1" applyFont="1" applyFill="1"/>
    <xf numFmtId="41" fontId="94" fillId="21" borderId="22" xfId="9" applyNumberFormat="1" applyFont="1" applyFill="1" applyBorder="1"/>
    <xf numFmtId="41" fontId="101" fillId="21" borderId="6" xfId="397" applyNumberFormat="1" applyFont="1" applyFill="1" applyBorder="1"/>
    <xf numFmtId="168" fontId="70" fillId="21" borderId="0" xfId="161" applyNumberFormat="1" applyFont="1" applyFill="1" applyProtection="1"/>
    <xf numFmtId="168" fontId="24" fillId="0" borderId="7" xfId="106" applyNumberFormat="1" applyFont="1" applyFill="1">
      <alignment vertical="center"/>
    </xf>
    <xf numFmtId="164" fontId="100" fillId="21" borderId="0" xfId="0" applyFont="1" applyFill="1"/>
    <xf numFmtId="164" fontId="106" fillId="21" borderId="0" xfId="0" applyFont="1" applyFill="1"/>
    <xf numFmtId="0" fontId="29" fillId="21" borderId="0" xfId="61" applyFont="1" applyFill="1"/>
    <xf numFmtId="0" fontId="31" fillId="21" borderId="0" xfId="61" applyFont="1" applyFill="1" applyAlignment="1">
      <alignment horizontal="center"/>
    </xf>
    <xf numFmtId="0" fontId="31" fillId="21" borderId="4" xfId="61" applyFont="1" applyFill="1" applyBorder="1" applyAlignment="1">
      <alignment horizontal="center"/>
    </xf>
    <xf numFmtId="0" fontId="31" fillId="21" borderId="4" xfId="8" applyFont="1" applyFill="1" applyBorder="1" applyAlignment="1">
      <alignment horizontal="center"/>
    </xf>
    <xf numFmtId="0" fontId="31" fillId="21" borderId="0" xfId="61" applyFont="1" applyFill="1"/>
    <xf numFmtId="3" fontId="29" fillId="21" borderId="0" xfId="61" applyNumberFormat="1" applyFont="1" applyFill="1"/>
    <xf numFmtId="168" fontId="29" fillId="21" borderId="0" xfId="9" applyNumberFormat="1" applyFont="1" applyFill="1"/>
    <xf numFmtId="41" fontId="31" fillId="21" borderId="4" xfId="147" applyNumberFormat="1" applyFont="1" applyFill="1" applyBorder="1"/>
    <xf numFmtId="41" fontId="29" fillId="21" borderId="0" xfId="61" applyNumberFormat="1" applyFont="1" applyFill="1"/>
    <xf numFmtId="41" fontId="31" fillId="21" borderId="0" xfId="147" applyNumberFormat="1" applyFont="1" applyFill="1"/>
    <xf numFmtId="41" fontId="29" fillId="21" borderId="0" xfId="8" applyNumberFormat="1" applyFont="1" applyFill="1"/>
    <xf numFmtId="170" fontId="31" fillId="21" borderId="0" xfId="147" applyNumberFormat="1" applyFont="1" applyFill="1" applyBorder="1"/>
    <xf numFmtId="170" fontId="31" fillId="21" borderId="0" xfId="147" applyNumberFormat="1" applyFont="1" applyFill="1"/>
    <xf numFmtId="3" fontId="31" fillId="21" borderId="0" xfId="61" applyNumberFormat="1" applyFont="1" applyFill="1"/>
    <xf numFmtId="41" fontId="31" fillId="21" borderId="0" xfId="61" applyNumberFormat="1" applyFont="1" applyFill="1"/>
    <xf numFmtId="0" fontId="36" fillId="21" borderId="0" xfId="61" applyFont="1" applyFill="1"/>
    <xf numFmtId="3" fontId="36" fillId="21" borderId="0" xfId="61" applyNumberFormat="1" applyFont="1" applyFill="1"/>
    <xf numFmtId="164" fontId="20" fillId="21" borderId="0" xfId="0" applyNumberFormat="1" applyFont="1" applyFill="1" applyAlignment="1" applyProtection="1">
      <alignment horizontal="centerContinuous"/>
    </xf>
    <xf numFmtId="164" fontId="36" fillId="21" borderId="0" xfId="0" applyFont="1" applyFill="1" applyAlignment="1">
      <alignment horizontal="centerContinuous"/>
    </xf>
    <xf numFmtId="164" fontId="19" fillId="21" borderId="0" xfId="0" applyNumberFormat="1" applyFont="1" applyFill="1" applyAlignment="1" applyProtection="1">
      <alignment horizontal="centerContinuous"/>
    </xf>
    <xf numFmtId="49" fontId="19" fillId="21" borderId="0" xfId="0" applyNumberFormat="1" applyFont="1" applyFill="1" applyAlignment="1" applyProtection="1">
      <alignment horizontal="centerContinuous"/>
    </xf>
    <xf numFmtId="0" fontId="36" fillId="21" borderId="0" xfId="8" applyFont="1" applyFill="1" applyAlignment="1">
      <alignment horizontal="centerContinuous"/>
    </xf>
    <xf numFmtId="164" fontId="23" fillId="21" borderId="0" xfId="0" applyNumberFormat="1" applyFont="1" applyFill="1" applyBorder="1" applyAlignment="1" applyProtection="1"/>
    <xf numFmtId="0" fontId="31" fillId="21" borderId="0" xfId="8" applyFont="1" applyFill="1" applyAlignment="1">
      <alignment horizontal="center"/>
    </xf>
    <xf numFmtId="0" fontId="29" fillId="21" borderId="4" xfId="192" applyFont="1" applyFill="1" applyBorder="1"/>
    <xf numFmtId="0" fontId="99" fillId="21" borderId="0" xfId="39" applyFont="1" applyFill="1"/>
    <xf numFmtId="1" fontId="29" fillId="21" borderId="0" xfId="192" applyNumberFormat="1" applyFont="1" applyFill="1"/>
    <xf numFmtId="168" fontId="29" fillId="21" borderId="0" xfId="161" applyNumberFormat="1" applyFont="1" applyFill="1"/>
    <xf numFmtId="0" fontId="29" fillId="21" borderId="0" xfId="192" applyFont="1" applyFill="1" applyAlignment="1">
      <alignment horizontal="left"/>
    </xf>
    <xf numFmtId="1" fontId="31" fillId="21" borderId="0" xfId="192" applyNumberFormat="1" applyFont="1" applyFill="1"/>
    <xf numFmtId="41" fontId="31" fillId="21" borderId="6" xfId="147" applyNumberFormat="1" applyFont="1" applyFill="1" applyBorder="1"/>
    <xf numFmtId="41" fontId="29" fillId="21" borderId="0" xfId="147" applyNumberFormat="1" applyFont="1" applyFill="1"/>
    <xf numFmtId="0" fontId="31" fillId="21" borderId="0" xfId="39" applyFont="1" applyFill="1"/>
    <xf numFmtId="0" fontId="36" fillId="21" borderId="0" xfId="192" applyFont="1" applyFill="1"/>
    <xf numFmtId="0" fontId="36" fillId="21" borderId="0" xfId="39" applyFont="1" applyFill="1"/>
    <xf numFmtId="164" fontId="29" fillId="21" borderId="0" xfId="0" applyFont="1" applyFill="1" applyAlignment="1">
      <alignment horizontal="center"/>
    </xf>
    <xf numFmtId="0" fontId="29" fillId="21" borderId="0" xfId="0" applyNumberFormat="1" applyFont="1" applyFill="1"/>
    <xf numFmtId="0" fontId="108" fillId="21" borderId="0" xfId="0" applyNumberFormat="1" applyFont="1" applyFill="1" applyBorder="1" applyAlignment="1">
      <alignment horizontal="center"/>
    </xf>
    <xf numFmtId="164" fontId="31" fillId="21" borderId="0" xfId="0" applyFont="1" applyFill="1" applyBorder="1" applyAlignment="1">
      <alignment horizontal="center"/>
    </xf>
    <xf numFmtId="164" fontId="36" fillId="21" borderId="0" xfId="0" applyFont="1" applyFill="1" applyBorder="1"/>
    <xf numFmtId="164" fontId="31" fillId="21" borderId="3" xfId="0" applyFont="1" applyFill="1" applyBorder="1" applyAlignment="1">
      <alignment horizontal="center"/>
    </xf>
    <xf numFmtId="164" fontId="36" fillId="21" borderId="3" xfId="0" applyFont="1" applyFill="1" applyBorder="1" applyAlignment="1">
      <alignment horizontal="center"/>
    </xf>
    <xf numFmtId="164" fontId="31" fillId="21" borderId="3" xfId="0" applyFont="1" applyFill="1" applyBorder="1" applyAlignment="1">
      <alignment horizontal="left"/>
    </xf>
    <xf numFmtId="14" fontId="108" fillId="21" borderId="20" xfId="0" applyNumberFormat="1" applyFont="1" applyFill="1" applyBorder="1" applyAlignment="1">
      <alignment horizontal="center"/>
    </xf>
    <xf numFmtId="0" fontId="109" fillId="21" borderId="22" xfId="0" applyNumberFormat="1" applyFont="1" applyFill="1" applyBorder="1" applyAlignment="1">
      <alignment horizontal="center"/>
    </xf>
    <xf numFmtId="0" fontId="110" fillId="21" borderId="0" xfId="0" applyNumberFormat="1" applyFont="1" applyFill="1" applyBorder="1"/>
    <xf numFmtId="168" fontId="110" fillId="21" borderId="0" xfId="161" applyNumberFormat="1" applyFont="1" applyFill="1" applyBorder="1"/>
    <xf numFmtId="171" fontId="110" fillId="21" borderId="0" xfId="148" applyNumberFormat="1" applyFont="1" applyFill="1" applyBorder="1"/>
    <xf numFmtId="168" fontId="110" fillId="21" borderId="0" xfId="0" applyNumberFormat="1" applyFont="1" applyFill="1" applyBorder="1"/>
    <xf numFmtId="170" fontId="108" fillId="21" borderId="6" xfId="147" applyNumberFormat="1" applyFont="1" applyFill="1" applyBorder="1"/>
    <xf numFmtId="41" fontId="108" fillId="21" borderId="6" xfId="147" applyNumberFormat="1" applyFont="1" applyFill="1" applyBorder="1"/>
    <xf numFmtId="168" fontId="36" fillId="21" borderId="0" xfId="161" applyNumberFormat="1" applyFont="1" applyFill="1"/>
    <xf numFmtId="0" fontId="97" fillId="21" borderId="0" xfId="17" applyFont="1" applyFill="1"/>
    <xf numFmtId="1" fontId="29" fillId="21" borderId="0" xfId="149" applyNumberFormat="1" applyFont="1" applyFill="1" applyAlignment="1">
      <alignment horizontal="center"/>
    </xf>
    <xf numFmtId="168" fontId="29" fillId="21" borderId="0" xfId="149" applyNumberFormat="1" applyFont="1" applyFill="1"/>
    <xf numFmtId="168" fontId="29" fillId="21" borderId="0" xfId="149" applyNumberFormat="1" applyFont="1" applyFill="1" applyAlignment="1">
      <alignment horizontal="right"/>
    </xf>
    <xf numFmtId="0" fontId="98" fillId="21" borderId="0" xfId="17" applyFont="1" applyFill="1" applyAlignment="1">
      <alignment horizontal="center"/>
    </xf>
    <xf numFmtId="1" fontId="31" fillId="21" borderId="0" xfId="149" applyNumberFormat="1" applyFont="1" applyFill="1" applyAlignment="1">
      <alignment horizontal="center"/>
    </xf>
    <xf numFmtId="168" fontId="31" fillId="21" borderId="0" xfId="149" applyNumberFormat="1" applyFont="1" applyFill="1" applyAlignment="1">
      <alignment horizontal="center"/>
    </xf>
    <xf numFmtId="1" fontId="112" fillId="21" borderId="0" xfId="149" applyNumberFormat="1" applyFont="1" applyFill="1" applyAlignment="1">
      <alignment horizontal="center"/>
    </xf>
    <xf numFmtId="168" fontId="112" fillId="21" borderId="0" xfId="149" applyNumberFormat="1" applyFont="1" applyFill="1" applyAlignment="1">
      <alignment horizontal="center"/>
    </xf>
    <xf numFmtId="0" fontId="112" fillId="21" borderId="0" xfId="17" applyFont="1" applyFill="1" applyAlignment="1">
      <alignment horizontal="center"/>
    </xf>
    <xf numFmtId="1" fontId="29" fillId="21" borderId="0" xfId="149" quotePrefix="1" applyNumberFormat="1" applyFont="1" applyFill="1" applyAlignment="1">
      <alignment horizontal="center"/>
    </xf>
    <xf numFmtId="0" fontId="29" fillId="21" borderId="0" xfId="17" applyFont="1" applyFill="1" applyAlignment="1">
      <alignment horizontal="right"/>
    </xf>
    <xf numFmtId="0" fontId="112" fillId="21" borderId="0" xfId="17" applyFont="1" applyFill="1" applyAlignment="1">
      <alignment horizontal="centerContinuous"/>
    </xf>
    <xf numFmtId="168" fontId="29" fillId="21" borderId="0" xfId="149" applyNumberFormat="1" applyFont="1" applyFill="1" applyAlignment="1">
      <alignment horizontal="centerContinuous"/>
    </xf>
    <xf numFmtId="168" fontId="31" fillId="21" borderId="0" xfId="149" applyNumberFormat="1" applyFont="1" applyFill="1" applyAlignment="1">
      <alignment horizontal="right"/>
    </xf>
    <xf numFmtId="1" fontId="29" fillId="21" borderId="0" xfId="149" applyNumberFormat="1" applyFont="1" applyFill="1" applyBorder="1" applyAlignment="1">
      <alignment horizontal="center"/>
    </xf>
    <xf numFmtId="1" fontId="31" fillId="21" borderId="5" xfId="149" applyNumberFormat="1" applyFont="1" applyFill="1" applyBorder="1" applyAlignment="1">
      <alignment horizontal="center"/>
    </xf>
    <xf numFmtId="0" fontId="114" fillId="21" borderId="0" xfId="17" applyFont="1" applyFill="1"/>
    <xf numFmtId="168" fontId="36" fillId="21" borderId="0" xfId="149" applyNumberFormat="1" applyFont="1" applyFill="1" applyAlignment="1">
      <alignment horizontal="right"/>
    </xf>
    <xf numFmtId="164" fontId="31" fillId="21" borderId="20" xfId="0" applyFont="1" applyFill="1" applyBorder="1" applyAlignment="1">
      <alignment horizontal="center"/>
    </xf>
    <xf numFmtId="164" fontId="100" fillId="21" borderId="0" xfId="0" applyFont="1" applyFill="1" applyAlignment="1">
      <alignment horizontal="center"/>
    </xf>
    <xf numFmtId="164" fontId="107" fillId="21" borderId="0" xfId="0" applyFont="1" applyFill="1"/>
    <xf numFmtId="164" fontId="29" fillId="21" borderId="0" xfId="0" quotePrefix="1" applyFont="1" applyFill="1" applyAlignment="1">
      <alignment horizontal="center"/>
    </xf>
    <xf numFmtId="170" fontId="29" fillId="21" borderId="0" xfId="147" applyNumberFormat="1" applyFont="1" applyFill="1"/>
    <xf numFmtId="0" fontId="97" fillId="21" borderId="0" xfId="233" applyFont="1" applyFill="1" applyAlignment="1">
      <alignment horizontal="left" wrapText="1"/>
    </xf>
    <xf numFmtId="5" fontId="31" fillId="21" borderId="0" xfId="147" applyNumberFormat="1" applyFont="1" applyFill="1"/>
    <xf numFmtId="164" fontId="22" fillId="0" borderId="0" xfId="0" applyNumberFormat="1" applyFont="1" applyBorder="1" applyProtection="1"/>
    <xf numFmtId="164" fontId="36" fillId="0" borderId="0" xfId="0" applyFont="1" applyBorder="1"/>
    <xf numFmtId="164" fontId="115" fillId="0" borderId="0" xfId="0" applyNumberFormat="1" applyFont="1" applyAlignment="1" applyProtection="1">
      <alignment horizontal="center"/>
    </xf>
    <xf numFmtId="164" fontId="22" fillId="0" borderId="0" xfId="0" applyNumberFormat="1" applyFont="1" applyAlignment="1" applyProtection="1">
      <alignment horizontal="center"/>
    </xf>
    <xf numFmtId="164" fontId="23" fillId="0" borderId="1" xfId="0" applyNumberFormat="1" applyFont="1" applyBorder="1" applyAlignment="1" applyProtection="1">
      <alignment horizontal="center"/>
    </xf>
    <xf numFmtId="37" fontId="23" fillId="0" borderId="0" xfId="0" applyNumberFormat="1" applyFont="1" applyAlignment="1" applyProtection="1">
      <alignment horizontal="center"/>
    </xf>
    <xf numFmtId="164" fontId="36" fillId="0" borderId="0" xfId="0" applyFont="1" applyAlignment="1">
      <alignment horizontal="center"/>
    </xf>
    <xf numFmtId="39" fontId="23" fillId="0" borderId="0" xfId="0" applyNumberFormat="1" applyFont="1" applyAlignment="1" applyProtection="1">
      <alignment horizontal="center"/>
    </xf>
    <xf numFmtId="10" fontId="23" fillId="0" borderId="0" xfId="148" applyNumberFormat="1" applyFont="1" applyBorder="1" applyAlignment="1" applyProtection="1">
      <alignment horizontal="center"/>
    </xf>
    <xf numFmtId="10" fontId="36" fillId="0" borderId="0" xfId="148" applyNumberFormat="1" applyFont="1"/>
    <xf numFmtId="5" fontId="23" fillId="0" borderId="0" xfId="0" applyNumberFormat="1" applyFont="1" applyAlignment="1" applyProtection="1">
      <alignment horizontal="center"/>
    </xf>
    <xf numFmtId="164" fontId="36" fillId="21" borderId="0" xfId="193" applyFont="1" applyFill="1"/>
    <xf numFmtId="164" fontId="31" fillId="21" borderId="0" xfId="193" applyFont="1" applyFill="1" applyAlignment="1">
      <alignment horizontal="center"/>
    </xf>
    <xf numFmtId="164" fontId="29" fillId="21" borderId="0" xfId="193" applyFont="1" applyFill="1"/>
    <xf numFmtId="164" fontId="31" fillId="21" borderId="0" xfId="193" applyFont="1" applyFill="1"/>
    <xf numFmtId="164" fontId="31" fillId="21" borderId="20" xfId="0" applyFont="1" applyFill="1" applyBorder="1"/>
    <xf numFmtId="164" fontId="100" fillId="21" borderId="0" xfId="193" applyFont="1" applyFill="1" applyAlignment="1">
      <alignment horizontal="center"/>
    </xf>
    <xf numFmtId="164" fontId="31" fillId="21" borderId="20" xfId="193" applyFont="1" applyFill="1" applyBorder="1"/>
    <xf numFmtId="164" fontId="31" fillId="21" borderId="20" xfId="193" applyFont="1" applyFill="1" applyBorder="1" applyAlignment="1">
      <alignment horizontal="center"/>
    </xf>
    <xf numFmtId="164" fontId="29" fillId="21" borderId="0" xfId="193" applyFont="1" applyFill="1" applyAlignment="1">
      <alignment horizontal="center"/>
    </xf>
    <xf numFmtId="164" fontId="100" fillId="21" borderId="0" xfId="193" applyFont="1" applyFill="1"/>
    <xf numFmtId="164" fontId="107" fillId="21" borderId="0" xfId="193" applyFont="1" applyFill="1"/>
    <xf numFmtId="164" fontId="29" fillId="21" borderId="0" xfId="0" quotePrefix="1" applyFont="1" applyFill="1" applyAlignment="1">
      <alignment horizontal="left"/>
    </xf>
    <xf numFmtId="168" fontId="29" fillId="21" borderId="0" xfId="194" applyNumberFormat="1" applyFont="1" applyFill="1"/>
    <xf numFmtId="168" fontId="29" fillId="21" borderId="0" xfId="161" applyNumberFormat="1" applyFont="1" applyFill="1" applyBorder="1"/>
    <xf numFmtId="168" fontId="31" fillId="21" borderId="0" xfId="161" applyNumberFormat="1" applyFont="1" applyFill="1"/>
    <xf numFmtId="10" fontId="29" fillId="21" borderId="0" xfId="148" applyNumberFormat="1" applyFont="1" applyFill="1" applyBorder="1" applyAlignment="1">
      <alignment horizontal="center"/>
    </xf>
    <xf numFmtId="168" fontId="31" fillId="21" borderId="20" xfId="161" applyNumberFormat="1" applyFont="1" applyFill="1" applyBorder="1"/>
    <xf numFmtId="167" fontId="31" fillId="21" borderId="0" xfId="193" applyNumberFormat="1" applyFont="1" applyFill="1"/>
    <xf numFmtId="164" fontId="22" fillId="21" borderId="0" xfId="193" applyNumberFormat="1" applyFont="1" applyFill="1" applyAlignment="1" applyProtection="1">
      <alignment horizontal="left" indent="1"/>
    </xf>
    <xf numFmtId="168" fontId="31" fillId="21" borderId="14" xfId="161" applyNumberFormat="1" applyFont="1" applyFill="1" applyBorder="1"/>
    <xf numFmtId="10" fontId="31" fillId="21" borderId="0" xfId="148" applyNumberFormat="1" applyFont="1" applyFill="1" applyBorder="1" applyAlignment="1">
      <alignment horizontal="center"/>
    </xf>
    <xf numFmtId="164" fontId="106" fillId="21" borderId="0" xfId="193" applyFont="1" applyFill="1"/>
    <xf numFmtId="164" fontId="107" fillId="21" borderId="0" xfId="0" applyFont="1" applyFill="1" applyAlignment="1">
      <alignment horizontal="center"/>
    </xf>
    <xf numFmtId="164" fontId="29" fillId="21" borderId="0" xfId="193" applyFont="1" applyFill="1" applyAlignment="1"/>
    <xf numFmtId="164" fontId="109" fillId="21" borderId="0" xfId="0" applyFont="1" applyFill="1" applyAlignment="1">
      <alignment vertical="center"/>
    </xf>
    <xf numFmtId="164" fontId="32" fillId="21" borderId="0" xfId="0" applyFont="1" applyFill="1" applyAlignment="1">
      <alignment horizontal="right"/>
    </xf>
    <xf numFmtId="164" fontId="111" fillId="21" borderId="0" xfId="0" applyFont="1" applyFill="1" applyAlignment="1">
      <alignment vertical="center"/>
    </xf>
    <xf numFmtId="168" fontId="109" fillId="21" borderId="0" xfId="161" applyNumberFormat="1" applyFont="1" applyFill="1" applyAlignment="1">
      <alignment horizontal="right" vertical="center"/>
    </xf>
    <xf numFmtId="164" fontId="31" fillId="21" borderId="22" xfId="193" applyFont="1" applyFill="1" applyBorder="1"/>
    <xf numFmtId="164" fontId="31" fillId="21" borderId="22" xfId="193" applyFont="1" applyFill="1" applyBorder="1" applyAlignment="1">
      <alignment horizontal="center"/>
    </xf>
    <xf numFmtId="164" fontId="29" fillId="21" borderId="0" xfId="0" applyFont="1" applyFill="1" applyBorder="1"/>
    <xf numFmtId="37" fontId="31" fillId="21" borderId="0" xfId="161" applyNumberFormat="1" applyFont="1" applyFill="1"/>
    <xf numFmtId="164" fontId="29" fillId="21" borderId="0" xfId="0" applyFont="1" applyFill="1" applyAlignment="1">
      <alignment wrapText="1"/>
    </xf>
    <xf numFmtId="164" fontId="29" fillId="21" borderId="0" xfId="0" applyFont="1" applyFill="1" applyAlignment="1">
      <alignment horizontal="left"/>
    </xf>
    <xf numFmtId="164" fontId="29" fillId="21" borderId="0" xfId="193" applyFont="1" applyFill="1" applyAlignment="1">
      <alignment horizontal="left"/>
    </xf>
    <xf numFmtId="49" fontId="22" fillId="21" borderId="0" xfId="0" applyNumberFormat="1" applyFont="1" applyFill="1" applyAlignment="1" applyProtection="1">
      <alignment horizontal="left"/>
    </xf>
    <xf numFmtId="164" fontId="29" fillId="21" borderId="0" xfId="0" applyFont="1" applyFill="1" applyBorder="1" applyAlignment="1">
      <alignment horizontal="center"/>
    </xf>
    <xf numFmtId="164" fontId="29" fillId="21" borderId="0" xfId="193" applyFont="1" applyFill="1" applyBorder="1" applyAlignment="1">
      <alignment horizontal="center"/>
    </xf>
    <xf numFmtId="164" fontId="31" fillId="21" borderId="3" xfId="0" applyFont="1" applyFill="1" applyBorder="1" applyAlignment="1">
      <alignment horizontal="center" wrapText="1"/>
    </xf>
    <xf numFmtId="164" fontId="31" fillId="21" borderId="0" xfId="0" applyFont="1" applyFill="1" applyBorder="1" applyAlignment="1">
      <alignment horizontal="center" wrapText="1"/>
    </xf>
    <xf numFmtId="164" fontId="31" fillId="21" borderId="0" xfId="193" applyFont="1" applyFill="1" applyBorder="1"/>
    <xf numFmtId="164" fontId="29" fillId="21" borderId="0" xfId="0" applyFont="1" applyFill="1" applyBorder="1" applyAlignment="1">
      <alignment wrapText="1"/>
    </xf>
    <xf numFmtId="168" fontId="29" fillId="21" borderId="0" xfId="161" applyNumberFormat="1" applyFont="1" applyFill="1" applyBorder="1" applyAlignment="1">
      <alignment wrapText="1"/>
    </xf>
    <xf numFmtId="168" fontId="31" fillId="21" borderId="0" xfId="161" applyNumberFormat="1" applyFont="1" applyFill="1" applyBorder="1"/>
    <xf numFmtId="5" fontId="29" fillId="21" borderId="0" xfId="147" applyNumberFormat="1" applyFont="1" applyFill="1" applyBorder="1"/>
    <xf numFmtId="0" fontId="114" fillId="21" borderId="0" xfId="151" applyFont="1" applyFill="1" applyBorder="1"/>
    <xf numFmtId="0" fontId="114" fillId="21" borderId="0" xfId="151" applyFont="1" applyFill="1"/>
    <xf numFmtId="0" fontId="36" fillId="21" borderId="0" xfId="8" applyFont="1" applyFill="1" applyBorder="1"/>
    <xf numFmtId="0" fontId="38" fillId="21" borderId="0" xfId="125" applyNumberFormat="1" applyFont="1" applyFill="1" applyBorder="1" applyProtection="1">
      <alignment horizontal="left" vertical="center" indent="1"/>
      <protection locked="0"/>
    </xf>
    <xf numFmtId="0" fontId="36" fillId="21" borderId="0" xfId="8" applyFont="1" applyFill="1" applyProtection="1">
      <protection locked="0"/>
    </xf>
    <xf numFmtId="0" fontId="36" fillId="21" borderId="0" xfId="196" applyFont="1" applyFill="1"/>
    <xf numFmtId="3" fontId="36" fillId="21" borderId="0" xfId="196" applyNumberFormat="1" applyFont="1" applyFill="1"/>
    <xf numFmtId="0" fontId="29" fillId="21" borderId="0" xfId="8" applyFont="1" applyFill="1" applyBorder="1"/>
    <xf numFmtId="0" fontId="97" fillId="21" borderId="0" xfId="151" applyFont="1" applyFill="1" applyBorder="1"/>
    <xf numFmtId="0" fontId="97" fillId="21" borderId="0" xfId="151" applyFont="1" applyFill="1"/>
    <xf numFmtId="0" fontId="98" fillId="21" borderId="0" xfId="151" applyFont="1" applyFill="1" applyAlignment="1">
      <alignment horizontal="center"/>
    </xf>
    <xf numFmtId="0" fontId="31" fillId="21" borderId="0" xfId="0" applyNumberFormat="1" applyFont="1" applyFill="1" applyBorder="1" applyAlignment="1">
      <alignment horizontal="center" wrapText="1"/>
    </xf>
    <xf numFmtId="10" fontId="31" fillId="21" borderId="0" xfId="0" applyNumberFormat="1" applyFont="1" applyFill="1" applyBorder="1" applyAlignment="1">
      <alignment horizontal="center"/>
    </xf>
    <xf numFmtId="3" fontId="97" fillId="21" borderId="0" xfId="195" applyNumberFormat="1" applyFont="1" applyFill="1"/>
    <xf numFmtId="0" fontId="31" fillId="21" borderId="4" xfId="0" applyNumberFormat="1" applyFont="1" applyFill="1" applyBorder="1" applyAlignment="1">
      <alignment horizontal="center" wrapText="1"/>
    </xf>
    <xf numFmtId="10" fontId="31" fillId="21" borderId="4" xfId="0" applyNumberFormat="1" applyFont="1" applyFill="1" applyBorder="1" applyAlignment="1">
      <alignment horizontal="center"/>
    </xf>
    <xf numFmtId="1" fontId="31" fillId="21" borderId="0" xfId="0" applyNumberFormat="1" applyFont="1" applyFill="1" applyAlignment="1">
      <alignment horizontal="center"/>
    </xf>
    <xf numFmtId="0" fontId="31" fillId="21" borderId="0" xfId="0" applyNumberFormat="1" applyFont="1" applyFill="1" applyAlignment="1">
      <alignment horizontal="left"/>
    </xf>
    <xf numFmtId="3" fontId="31" fillId="21" borderId="0" xfId="0" applyNumberFormat="1" applyFont="1" applyFill="1"/>
    <xf numFmtId="0" fontId="31" fillId="21" borderId="0" xfId="0" applyNumberFormat="1" applyFont="1" applyFill="1"/>
    <xf numFmtId="1" fontId="31" fillId="21" borderId="0" xfId="0" applyNumberFormat="1" applyFont="1" applyFill="1" applyAlignment="1">
      <alignment horizontal="left"/>
    </xf>
    <xf numFmtId="0" fontId="31" fillId="21" borderId="0" xfId="0" applyNumberFormat="1" applyFont="1" applyFill="1" applyAlignment="1">
      <alignment horizontal="right"/>
    </xf>
    <xf numFmtId="0" fontId="31" fillId="21" borderId="0" xfId="0" applyNumberFormat="1" applyFont="1" applyFill="1" applyAlignment="1">
      <alignment horizontal="center"/>
    </xf>
    <xf numFmtId="3" fontId="29" fillId="21" borderId="0" xfId="0" applyNumberFormat="1" applyFont="1" applyFill="1"/>
    <xf numFmtId="10" fontId="31" fillId="21" borderId="0" xfId="0" applyNumberFormat="1" applyFont="1" applyFill="1" applyBorder="1"/>
    <xf numFmtId="1" fontId="31" fillId="21" borderId="0" xfId="0" applyNumberFormat="1" applyFont="1" applyFill="1" applyBorder="1" applyAlignment="1">
      <alignment horizontal="center"/>
    </xf>
    <xf numFmtId="10" fontId="107" fillId="21" borderId="0" xfId="0" applyNumberFormat="1" applyFont="1" applyFill="1" applyBorder="1"/>
    <xf numFmtId="0" fontId="36" fillId="21" borderId="0" xfId="0" applyNumberFormat="1" applyFont="1" applyFill="1"/>
    <xf numFmtId="0" fontId="97" fillId="21" borderId="0" xfId="162" applyFont="1" applyFill="1"/>
    <xf numFmtId="0" fontId="98" fillId="21" borderId="0" xfId="162" applyFont="1" applyFill="1" applyAlignment="1">
      <alignment horizontal="center"/>
    </xf>
    <xf numFmtId="0" fontId="98" fillId="21" borderId="3" xfId="162" applyFont="1" applyFill="1" applyBorder="1" applyAlignment="1">
      <alignment horizontal="center"/>
    </xf>
    <xf numFmtId="0" fontId="97" fillId="21" borderId="0" xfId="162" applyFont="1" applyFill="1" applyBorder="1" applyAlignment="1">
      <alignment horizontal="center"/>
    </xf>
    <xf numFmtId="0" fontId="98" fillId="21" borderId="0" xfId="162" applyFont="1" applyFill="1" applyBorder="1" applyAlignment="1">
      <alignment horizontal="center"/>
    </xf>
    <xf numFmtId="0" fontId="98" fillId="21" borderId="0" xfId="162" applyFont="1" applyFill="1"/>
    <xf numFmtId="41" fontId="97" fillId="21" borderId="0" xfId="162" applyNumberFormat="1" applyFont="1" applyFill="1"/>
    <xf numFmtId="41" fontId="98" fillId="21" borderId="5" xfId="162" applyNumberFormat="1" applyFont="1" applyFill="1" applyBorder="1"/>
    <xf numFmtId="41" fontId="98" fillId="21" borderId="0" xfId="162" applyNumberFormat="1" applyFont="1" applyFill="1"/>
    <xf numFmtId="41" fontId="31" fillId="21" borderId="0" xfId="163" applyNumberFormat="1" applyFont="1" applyFill="1"/>
    <xf numFmtId="0" fontId="15" fillId="21" borderId="0" xfId="162" quotePrefix="1" applyFont="1" applyFill="1"/>
    <xf numFmtId="0" fontId="15" fillId="21" borderId="0" xfId="162" applyFont="1" applyFill="1"/>
    <xf numFmtId="0" fontId="29" fillId="21" borderId="0" xfId="144" applyFont="1" applyFill="1"/>
    <xf numFmtId="0" fontId="29" fillId="21" borderId="0" xfId="144" applyFont="1" applyFill="1" applyAlignment="1">
      <alignment horizontal="center"/>
    </xf>
    <xf numFmtId="0" fontId="31" fillId="21" borderId="3" xfId="144" applyFont="1" applyFill="1" applyBorder="1" applyAlignment="1">
      <alignment horizontal="center"/>
    </xf>
    <xf numFmtId="0" fontId="31" fillId="21" borderId="0" xfId="144" applyFont="1" applyFill="1" applyBorder="1" applyAlignment="1">
      <alignment horizontal="center"/>
    </xf>
    <xf numFmtId="5" fontId="29" fillId="21" borderId="0" xfId="147" applyNumberFormat="1" applyFont="1" applyFill="1"/>
    <xf numFmtId="164" fontId="29" fillId="21" borderId="0" xfId="0" applyFont="1" applyFill="1" applyBorder="1" applyAlignment="1">
      <alignment horizontal="center" wrapText="1"/>
    </xf>
    <xf numFmtId="0" fontId="36" fillId="21" borderId="0" xfId="8" applyFont="1" applyFill="1" applyAlignment="1">
      <alignment horizontal="center"/>
    </xf>
    <xf numFmtId="168" fontId="114" fillId="21" borderId="0" xfId="9" applyNumberFormat="1" applyFont="1" applyFill="1" applyBorder="1"/>
    <xf numFmtId="168" fontId="114" fillId="21" borderId="0" xfId="9" applyNumberFormat="1" applyFont="1" applyFill="1"/>
    <xf numFmtId="168" fontId="117" fillId="21" borderId="0" xfId="9" applyNumberFormat="1" applyFont="1" applyFill="1"/>
    <xf numFmtId="168" fontId="117" fillId="21" borderId="0" xfId="9" applyNumberFormat="1" applyFont="1" applyFill="1" applyBorder="1"/>
    <xf numFmtId="3" fontId="114" fillId="21" borderId="0" xfId="9" applyNumberFormat="1" applyFont="1" applyFill="1"/>
    <xf numFmtId="10" fontId="116" fillId="21" borderId="0" xfId="148" applyNumberFormat="1" applyFont="1" applyFill="1"/>
    <xf numFmtId="164" fontId="36" fillId="21" borderId="0" xfId="0" applyFont="1" applyFill="1" applyBorder="1" applyProtection="1">
      <protection locked="0"/>
    </xf>
    <xf numFmtId="164" fontId="32" fillId="21" borderId="0" xfId="0" applyFont="1" applyFill="1" applyBorder="1" applyProtection="1">
      <protection locked="0"/>
    </xf>
    <xf numFmtId="164" fontId="31" fillId="21" borderId="0" xfId="0" applyFont="1" applyFill="1" applyBorder="1" applyAlignment="1" applyProtection="1">
      <alignment horizontal="center"/>
      <protection locked="0"/>
    </xf>
    <xf numFmtId="164" fontId="31" fillId="21" borderId="5" xfId="0" applyFont="1" applyFill="1" applyBorder="1" applyAlignment="1" applyProtection="1">
      <alignment horizontal="left"/>
      <protection locked="0"/>
    </xf>
    <xf numFmtId="164" fontId="31" fillId="21" borderId="5" xfId="0" applyFont="1" applyFill="1" applyBorder="1" applyAlignment="1" applyProtection="1">
      <alignment horizontal="center"/>
      <protection locked="0"/>
    </xf>
    <xf numFmtId="164" fontId="31" fillId="21" borderId="5" xfId="0" applyFont="1" applyFill="1" applyBorder="1" applyAlignment="1" applyProtection="1">
      <protection locked="0"/>
    </xf>
    <xf numFmtId="164" fontId="29" fillId="21" borderId="0" xfId="0" applyFont="1" applyFill="1" applyBorder="1" applyProtection="1">
      <protection locked="0"/>
    </xf>
    <xf numFmtId="164" fontId="118" fillId="21" borderId="0" xfId="197" applyNumberFormat="1" applyFont="1" applyFill="1" applyBorder="1" applyAlignment="1" applyProtection="1">
      <protection locked="0"/>
    </xf>
    <xf numFmtId="164" fontId="29" fillId="21" borderId="0" xfId="0" applyFont="1" applyFill="1" applyBorder="1" applyAlignment="1" applyProtection="1">
      <alignment vertical="center"/>
      <protection locked="0"/>
    </xf>
    <xf numFmtId="0" fontId="29" fillId="21" borderId="0" xfId="389" applyNumberFormat="1" applyFont="1" applyFill="1" applyBorder="1" applyAlignment="1"/>
    <xf numFmtId="0" fontId="29" fillId="0" borderId="0" xfId="389" applyNumberFormat="1" applyFont="1" applyFill="1" applyBorder="1" applyAlignment="1"/>
    <xf numFmtId="164" fontId="119" fillId="21" borderId="0" xfId="0" applyNumberFormat="1" applyFont="1" applyFill="1" applyAlignment="1" applyProtection="1"/>
    <xf numFmtId="164" fontId="120" fillId="0" borderId="0" xfId="0" applyNumberFormat="1" applyFont="1" applyProtection="1"/>
    <xf numFmtId="164" fontId="120" fillId="21" borderId="0" xfId="0" applyNumberFormat="1" applyFont="1" applyFill="1" applyProtection="1"/>
    <xf numFmtId="164" fontId="20" fillId="21" borderId="0" xfId="0" applyNumberFormat="1" applyFont="1" applyFill="1" applyAlignment="1" applyProtection="1">
      <alignment horizontal="center"/>
    </xf>
    <xf numFmtId="164" fontId="20" fillId="0" borderId="0" xfId="0" applyNumberFormat="1" applyFont="1" applyFill="1" applyAlignment="1" applyProtection="1">
      <alignment horizontal="center"/>
    </xf>
    <xf numFmtId="164" fontId="49" fillId="21" borderId="0" xfId="0" applyNumberFormat="1" applyFont="1" applyFill="1" applyAlignment="1" applyProtection="1">
      <alignment horizontal="center"/>
    </xf>
    <xf numFmtId="164" fontId="22" fillId="0" borderId="36" xfId="0" applyNumberFormat="1" applyFont="1" applyFill="1" applyBorder="1" applyProtection="1"/>
    <xf numFmtId="164" fontId="22" fillId="39" borderId="36" xfId="0" applyNumberFormat="1" applyFont="1" applyFill="1" applyBorder="1" applyProtection="1"/>
    <xf numFmtId="43" fontId="26" fillId="0" borderId="0" xfId="410" applyFont="1" applyFill="1"/>
    <xf numFmtId="43" fontId="0" fillId="0" borderId="0" xfId="410" applyFont="1" applyFill="1"/>
    <xf numFmtId="43" fontId="29" fillId="0" borderId="0" xfId="410" applyFont="1" applyFill="1"/>
    <xf numFmtId="43" fontId="31" fillId="0" borderId="0" xfId="410" applyFont="1" applyFill="1" applyBorder="1" applyAlignment="1">
      <alignment horizontal="center" wrapText="1"/>
    </xf>
    <xf numFmtId="43" fontId="31" fillId="0" borderId="4" xfId="410" applyFont="1" applyFill="1" applyBorder="1" applyAlignment="1">
      <alignment horizontal="center" wrapText="1"/>
    </xf>
    <xf numFmtId="0" fontId="31" fillId="0" borderId="34" xfId="420" applyFont="1" applyFill="1" applyBorder="1"/>
    <xf numFmtId="0" fontId="29" fillId="39" borderId="0" xfId="420" applyFont="1" applyFill="1" applyBorder="1"/>
    <xf numFmtId="0" fontId="31" fillId="39" borderId="0" xfId="420" applyFont="1" applyFill="1" applyBorder="1" applyAlignment="1">
      <alignment horizontal="center"/>
    </xf>
    <xf numFmtId="3" fontId="99" fillId="39" borderId="0" xfId="8" applyNumberFormat="1" applyFont="1" applyFill="1" applyAlignment="1">
      <alignment horizontal="center"/>
    </xf>
    <xf numFmtId="3" fontId="31" fillId="39" borderId="0" xfId="8" applyNumberFormat="1" applyFont="1" applyFill="1"/>
    <xf numFmtId="0" fontId="31" fillId="0" borderId="34" xfId="387" applyFont="1" applyFill="1" applyBorder="1" applyAlignment="1">
      <alignment wrapText="1"/>
    </xf>
    <xf numFmtId="3" fontId="31" fillId="39" borderId="0" xfId="8" applyNumberFormat="1" applyFont="1" applyFill="1" applyAlignment="1">
      <alignment wrapText="1"/>
    </xf>
    <xf numFmtId="43" fontId="55" fillId="0" borderId="0" xfId="410" applyFont="1" applyFill="1"/>
    <xf numFmtId="43" fontId="97" fillId="0" borderId="0" xfId="410" applyFont="1" applyFill="1"/>
    <xf numFmtId="43" fontId="55" fillId="0" borderId="0" xfId="410" applyFont="1" applyFill="1" applyBorder="1"/>
    <xf numFmtId="49" fontId="53" fillId="39" borderId="22" xfId="5" applyNumberFormat="1" applyFont="1" applyFill="1" applyBorder="1" applyAlignment="1">
      <alignment horizontal="center"/>
    </xf>
    <xf numFmtId="0" fontId="53" fillId="21" borderId="22" xfId="5" applyFont="1" applyFill="1" applyBorder="1" applyAlignment="1">
      <alignment horizontal="center"/>
    </xf>
    <xf numFmtId="49" fontId="53" fillId="21" borderId="22" xfId="5" applyNumberFormat="1" applyFont="1" applyFill="1" applyBorder="1" applyAlignment="1" applyProtection="1">
      <alignment horizontal="center"/>
    </xf>
    <xf numFmtId="43" fontId="26" fillId="21" borderId="0" xfId="410" applyFont="1" applyFill="1"/>
    <xf numFmtId="43" fontId="0" fillId="21" borderId="0" xfId="410" applyFont="1" applyFill="1"/>
    <xf numFmtId="43" fontId="59" fillId="21" borderId="0" xfId="410" applyFont="1" applyFill="1"/>
    <xf numFmtId="43" fontId="5" fillId="21" borderId="4" xfId="410" applyFont="1" applyFill="1" applyBorder="1"/>
    <xf numFmtId="43" fontId="5" fillId="21" borderId="0" xfId="410" applyFont="1" applyFill="1"/>
    <xf numFmtId="168" fontId="12" fillId="39" borderId="30" xfId="386" applyNumberFormat="1" applyFill="1" applyBorder="1"/>
    <xf numFmtId="168" fontId="12" fillId="39" borderId="36" xfId="386" applyNumberFormat="1" applyFill="1" applyBorder="1"/>
    <xf numFmtId="0" fontId="12" fillId="0" borderId="36" xfId="386" applyFill="1" applyBorder="1"/>
    <xf numFmtId="0" fontId="34" fillId="0" borderId="46" xfId="386" applyFont="1" applyFill="1" applyBorder="1" applyAlignment="1">
      <alignment horizontal="center"/>
    </xf>
    <xf numFmtId="0" fontId="34" fillId="0" borderId="36" xfId="386" applyFont="1" applyFill="1" applyBorder="1" applyAlignment="1">
      <alignment horizontal="center"/>
    </xf>
    <xf numFmtId="0" fontId="36" fillId="21" borderId="48" xfId="401" quotePrefix="1" applyNumberFormat="1" applyFill="1" applyBorder="1" applyProtection="1">
      <alignment horizontal="left" vertical="center" indent="1"/>
      <protection locked="0"/>
    </xf>
    <xf numFmtId="0" fontId="12" fillId="0" borderId="49" xfId="386" applyFill="1" applyBorder="1"/>
    <xf numFmtId="164" fontId="0" fillId="21" borderId="49" xfId="0" applyFill="1" applyBorder="1"/>
    <xf numFmtId="168" fontId="38" fillId="39" borderId="21" xfId="354" applyNumberFormat="1" applyFill="1">
      <alignment horizontal="right" vertical="center"/>
    </xf>
    <xf numFmtId="168" fontId="31" fillId="39" borderId="0" xfId="410" applyNumberFormat="1" applyFont="1" applyFill="1"/>
    <xf numFmtId="168" fontId="31" fillId="39" borderId="0" xfId="410" applyNumberFormat="1" applyFont="1" applyFill="1" applyBorder="1"/>
    <xf numFmtId="41" fontId="29" fillId="39" borderId="0" xfId="364" applyNumberFormat="1" applyFont="1" applyFill="1"/>
    <xf numFmtId="41" fontId="29" fillId="21" borderId="0" xfId="363" applyNumberFormat="1" applyFont="1" applyFill="1"/>
    <xf numFmtId="41" fontId="31" fillId="21" borderId="0" xfId="363" applyNumberFormat="1" applyFont="1" applyFill="1"/>
    <xf numFmtId="164" fontId="29" fillId="39" borderId="0" xfId="0" applyFont="1" applyFill="1" applyBorder="1" applyAlignment="1">
      <alignment wrapText="1"/>
    </xf>
    <xf numFmtId="164" fontId="29" fillId="39" borderId="0" xfId="0" applyFont="1" applyFill="1" applyBorder="1" applyAlignment="1">
      <alignment horizontal="center" wrapText="1"/>
    </xf>
    <xf numFmtId="168" fontId="29" fillId="39" borderId="0" xfId="161" applyNumberFormat="1" applyFont="1" applyFill="1" applyBorder="1" applyAlignment="1">
      <alignment wrapText="1"/>
    </xf>
    <xf numFmtId="164" fontId="20" fillId="39" borderId="0" xfId="0" applyNumberFormat="1" applyFont="1" applyFill="1" applyAlignment="1" applyProtection="1">
      <alignment horizontal="centerContinuous"/>
    </xf>
    <xf numFmtId="0" fontId="31" fillId="39" borderId="0" xfId="61" applyFont="1" applyFill="1"/>
    <xf numFmtId="0" fontId="29" fillId="39" borderId="0" xfId="61" applyFont="1" applyFill="1"/>
    <xf numFmtId="0" fontId="31" fillId="39" borderId="0" xfId="61" applyFont="1" applyFill="1" applyBorder="1" applyAlignment="1">
      <alignment horizontal="center"/>
    </xf>
    <xf numFmtId="173" fontId="29" fillId="39" borderId="0" xfId="61" applyNumberFormat="1" applyFont="1" applyFill="1"/>
    <xf numFmtId="43" fontId="29" fillId="39" borderId="0" xfId="61" applyNumberFormat="1" applyFont="1" applyFill="1"/>
    <xf numFmtId="173" fontId="31" fillId="39" borderId="0" xfId="61" applyNumberFormat="1" applyFont="1" applyFill="1"/>
    <xf numFmtId="3" fontId="29" fillId="39" borderId="0" xfId="61" applyNumberFormat="1" applyFont="1" applyFill="1"/>
    <xf numFmtId="168" fontId="29" fillId="39" borderId="0" xfId="9" applyNumberFormat="1" applyFont="1" applyFill="1"/>
    <xf numFmtId="0" fontId="29" fillId="39" borderId="0" xfId="8" applyFont="1" applyFill="1"/>
    <xf numFmtId="168" fontId="36" fillId="39" borderId="0" xfId="9" applyNumberFormat="1" applyFont="1" applyFill="1"/>
    <xf numFmtId="0" fontId="29" fillId="39" borderId="0" xfId="61" applyFont="1" applyFill="1" applyAlignment="1">
      <alignment horizontal="center"/>
    </xf>
    <xf numFmtId="14" fontId="29" fillId="39" borderId="0" xfId="192" applyNumberFormat="1" applyFont="1" applyFill="1"/>
    <xf numFmtId="168" fontId="29" fillId="39" borderId="0" xfId="161" applyNumberFormat="1" applyFont="1" applyFill="1"/>
    <xf numFmtId="0" fontId="110" fillId="39" borderId="0" xfId="0" applyNumberFormat="1" applyFont="1" applyFill="1" applyBorder="1"/>
    <xf numFmtId="14" fontId="108" fillId="39" borderId="20" xfId="0" applyNumberFormat="1" applyFont="1" applyFill="1" applyBorder="1" applyAlignment="1">
      <alignment horizontal="center"/>
    </xf>
    <xf numFmtId="14" fontId="36" fillId="39" borderId="0" xfId="8" applyNumberFormat="1" applyFont="1" applyFill="1"/>
    <xf numFmtId="0" fontId="36" fillId="39" borderId="0" xfId="8" applyFont="1" applyFill="1"/>
    <xf numFmtId="168" fontId="114" fillId="39" borderId="0" xfId="9" applyNumberFormat="1" applyFont="1" applyFill="1" applyBorder="1"/>
    <xf numFmtId="168" fontId="114" fillId="39" borderId="0" xfId="9" applyNumberFormat="1" applyFont="1" applyFill="1"/>
    <xf numFmtId="168" fontId="114" fillId="39" borderId="3" xfId="9" applyNumberFormat="1" applyFont="1" applyFill="1" applyBorder="1"/>
    <xf numFmtId="164" fontId="115" fillId="39" borderId="0" xfId="0" applyNumberFormat="1" applyFont="1" applyFill="1" applyAlignment="1" applyProtection="1">
      <alignment horizontal="center"/>
    </xf>
    <xf numFmtId="164" fontId="29" fillId="39" borderId="0" xfId="193" applyFont="1" applyFill="1"/>
    <xf numFmtId="164" fontId="22" fillId="39" borderId="0" xfId="193" applyNumberFormat="1" applyFont="1" applyFill="1" applyAlignment="1" applyProtection="1">
      <alignment horizontal="left" indent="1"/>
    </xf>
    <xf numFmtId="168" fontId="29" fillId="39" borderId="0" xfId="194" applyNumberFormat="1" applyFont="1" applyFill="1"/>
    <xf numFmtId="164" fontId="32" fillId="39" borderId="0" xfId="0" applyFont="1" applyFill="1"/>
    <xf numFmtId="164" fontId="36" fillId="39" borderId="0" xfId="0" applyFont="1" applyFill="1"/>
    <xf numFmtId="168" fontId="111" fillId="39" borderId="0" xfId="161" applyNumberFormat="1" applyFont="1" applyFill="1" applyAlignment="1">
      <alignment horizontal="right" vertical="center"/>
    </xf>
    <xf numFmtId="168" fontId="111" fillId="39" borderId="22" xfId="161" applyNumberFormat="1" applyFont="1" applyFill="1" applyBorder="1" applyAlignment="1">
      <alignment horizontal="right" vertical="center"/>
    </xf>
    <xf numFmtId="168" fontId="29" fillId="39" borderId="0" xfId="410" applyNumberFormat="1" applyFont="1" applyFill="1" applyBorder="1"/>
    <xf numFmtId="168" fontId="31" fillId="0" borderId="34" xfId="410" applyNumberFormat="1" applyFont="1" applyFill="1" applyBorder="1"/>
    <xf numFmtId="168" fontId="31" fillId="0" borderId="4" xfId="410" applyNumberFormat="1" applyFont="1" applyFill="1" applyBorder="1" applyAlignment="1">
      <alignment horizontal="center" wrapText="1"/>
    </xf>
    <xf numFmtId="0" fontId="29" fillId="21" borderId="0" xfId="144" applyFont="1" applyFill="1" applyAlignment="1">
      <alignment horizontal="left"/>
    </xf>
    <xf numFmtId="164" fontId="20" fillId="39" borderId="0" xfId="0" applyNumberFormat="1" applyFont="1" applyFill="1" applyAlignment="1" applyProtection="1">
      <alignment horizontal="center"/>
    </xf>
    <xf numFmtId="164" fontId="20" fillId="0" borderId="0" xfId="0" applyNumberFormat="1" applyFont="1" applyFill="1" applyAlignment="1" applyProtection="1">
      <alignment horizontal="center"/>
    </xf>
    <xf numFmtId="164" fontId="20" fillId="0" borderId="0" xfId="0" applyNumberFormat="1" applyFont="1" applyFill="1" applyBorder="1" applyAlignment="1" applyProtection="1">
      <alignment horizontal="center"/>
    </xf>
    <xf numFmtId="41" fontId="61" fillId="21" borderId="0" xfId="147" applyNumberFormat="1" applyFont="1" applyFill="1" applyBorder="1" applyAlignment="1"/>
    <xf numFmtId="168" fontId="0" fillId="21" borderId="0" xfId="161" applyNumberFormat="1" applyFont="1" applyFill="1"/>
    <xf numFmtId="169" fontId="55" fillId="21" borderId="0" xfId="0" applyNumberFormat="1" applyFont="1" applyFill="1"/>
    <xf numFmtId="169" fontId="55" fillId="21" borderId="0" xfId="410" applyNumberFormat="1" applyFont="1" applyFill="1"/>
    <xf numFmtId="169" fontId="55" fillId="21" borderId="0" xfId="0" applyNumberFormat="1" applyFont="1" applyFill="1" applyBorder="1"/>
    <xf numFmtId="169" fontId="54" fillId="21" borderId="0" xfId="0" applyNumberFormat="1" applyFont="1" applyFill="1"/>
    <xf numFmtId="169" fontId="62" fillId="21" borderId="0" xfId="0" applyNumberFormat="1" applyFont="1" applyFill="1" applyProtection="1"/>
    <xf numFmtId="169" fontId="105" fillId="21" borderId="0" xfId="0" applyNumberFormat="1" applyFont="1" applyFill="1"/>
    <xf numFmtId="169" fontId="54" fillId="21" borderId="0" xfId="410" applyNumberFormat="1" applyFont="1" applyFill="1"/>
    <xf numFmtId="169" fontId="54" fillId="21" borderId="0" xfId="0" applyNumberFormat="1" applyFont="1" applyFill="1" applyBorder="1"/>
    <xf numFmtId="169" fontId="69" fillId="21" borderId="0" xfId="0" applyNumberFormat="1" applyFont="1" applyFill="1" applyAlignment="1" applyProtection="1"/>
    <xf numFmtId="169" fontId="121" fillId="21" borderId="0" xfId="0" applyNumberFormat="1" applyFont="1" applyFill="1" applyAlignment="1" applyProtection="1">
      <alignment horizontal="center"/>
    </xf>
    <xf numFmtId="169" fontId="54" fillId="21" borderId="0" xfId="0" applyNumberFormat="1" applyFont="1" applyFill="1" applyAlignment="1">
      <alignment horizontal="center"/>
    </xf>
    <xf numFmtId="168" fontId="0" fillId="21" borderId="0" xfId="161" applyNumberFormat="1" applyFont="1" applyFill="1" applyBorder="1"/>
    <xf numFmtId="168" fontId="0" fillId="0" borderId="0" xfId="161" applyNumberFormat="1" applyFont="1" applyFill="1" applyBorder="1"/>
    <xf numFmtId="169" fontId="69" fillId="21" borderId="0" xfId="0" applyNumberFormat="1" applyFont="1" applyFill="1" applyAlignment="1" applyProtection="1">
      <alignment horizontal="center"/>
    </xf>
    <xf numFmtId="164" fontId="20" fillId="21"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3" fontId="0" fillId="21" borderId="0" xfId="0" applyNumberFormat="1" applyFill="1"/>
    <xf numFmtId="169" fontId="71" fillId="21" borderId="0" xfId="0" applyNumberFormat="1" applyFont="1" applyFill="1" applyAlignment="1" applyProtection="1">
      <alignment horizontal="center"/>
    </xf>
    <xf numFmtId="169" fontId="62" fillId="21" borderId="0" xfId="0" applyNumberFormat="1" applyFont="1" applyFill="1" applyAlignment="1" applyProtection="1">
      <alignment horizontal="center"/>
    </xf>
    <xf numFmtId="169" fontId="68" fillId="21" borderId="0" xfId="0" applyNumberFormat="1" applyFont="1" applyFill="1" applyAlignment="1">
      <alignment horizontal="center"/>
    </xf>
    <xf numFmtId="0" fontId="53" fillId="21" borderId="0" xfId="8" quotePrefix="1" applyFont="1" applyFill="1" applyBorder="1" applyAlignment="1">
      <alignment horizontal="center"/>
    </xf>
    <xf numFmtId="168" fontId="29" fillId="39" borderId="0" xfId="410" applyNumberFormat="1" applyFont="1" applyFill="1"/>
    <xf numFmtId="41" fontId="31" fillId="21" borderId="14" xfId="192" applyNumberFormat="1" applyFont="1" applyFill="1" applyBorder="1"/>
    <xf numFmtId="164" fontId="32" fillId="21" borderId="0" xfId="0" quotePrefix="1" applyFont="1" applyFill="1" applyAlignment="1">
      <alignment horizontal="center"/>
    </xf>
    <xf numFmtId="0" fontId="36" fillId="0" borderId="0" xfId="389" applyNumberFormat="1" applyFont="1" applyFill="1" applyBorder="1" applyAlignment="1" applyProtection="1">
      <protection locked="0"/>
    </xf>
    <xf numFmtId="0" fontId="98" fillId="0" borderId="0" xfId="363" applyNumberFormat="1" applyFont="1" applyFill="1" applyAlignment="1">
      <alignment horizontal="center"/>
    </xf>
    <xf numFmtId="0" fontId="31" fillId="0" borderId="0" xfId="389" applyNumberFormat="1" applyFont="1" applyFill="1" applyBorder="1" applyAlignment="1" applyProtection="1">
      <alignment horizontal="center"/>
      <protection locked="0"/>
    </xf>
    <xf numFmtId="0" fontId="31" fillId="0" borderId="0" xfId="396" applyNumberFormat="1" applyFont="1" applyFill="1" applyBorder="1" applyAlignment="1" applyProtection="1">
      <alignment horizontal="center"/>
      <protection locked="0"/>
    </xf>
    <xf numFmtId="175" fontId="29" fillId="0" borderId="0" xfId="389" applyFont="1" applyFill="1" applyBorder="1" applyAlignment="1"/>
    <xf numFmtId="164" fontId="23" fillId="0" borderId="0" xfId="0" applyNumberFormat="1" applyFont="1" applyAlignment="1" applyProtection="1">
      <alignment horizontal="center"/>
    </xf>
    <xf numFmtId="164" fontId="20" fillId="21" borderId="0" xfId="0" applyNumberFormat="1" applyFont="1" applyFill="1" applyAlignment="1" applyProtection="1">
      <alignment horizontal="center"/>
    </xf>
    <xf numFmtId="164" fontId="23" fillId="21" borderId="0" xfId="0" applyNumberFormat="1" applyFont="1" applyFill="1" applyAlignment="1" applyProtection="1">
      <alignment horizontal="center"/>
    </xf>
    <xf numFmtId="0" fontId="31" fillId="0" borderId="0" xfId="389" applyNumberFormat="1" applyFont="1" applyFill="1" applyBorder="1" applyAlignment="1" applyProtection="1">
      <alignment horizontal="center"/>
      <protection locked="0"/>
    </xf>
    <xf numFmtId="3" fontId="31" fillId="0" borderId="0" xfId="389" applyNumberFormat="1" applyFont="1" applyFill="1" applyBorder="1" applyAlignment="1">
      <alignment horizontal="center"/>
    </xf>
    <xf numFmtId="164" fontId="122" fillId="21" borderId="0" xfId="0" applyFont="1" applyFill="1"/>
    <xf numFmtId="0" fontId="50" fillId="21" borderId="0" xfId="39" applyFont="1" applyFill="1"/>
    <xf numFmtId="0" fontId="50" fillId="21" borderId="0" xfId="192" applyFont="1" applyFill="1"/>
    <xf numFmtId="0" fontId="50" fillId="21" borderId="0" xfId="8" applyFont="1" applyFill="1"/>
    <xf numFmtId="175" fontId="55" fillId="0" borderId="0" xfId="389" applyFont="1" applyFill="1" applyBorder="1" applyAlignment="1"/>
    <xf numFmtId="175" fontId="54" fillId="0" borderId="0" xfId="389" applyFont="1" applyFill="1" applyBorder="1" applyAlignment="1"/>
    <xf numFmtId="175" fontId="55" fillId="0" borderId="0" xfId="389" applyFont="1" applyFill="1" applyBorder="1" applyAlignment="1">
      <alignment horizontal="right"/>
    </xf>
    <xf numFmtId="164" fontId="119" fillId="21" borderId="0" xfId="0" applyNumberFormat="1" applyFont="1" applyFill="1" applyProtection="1"/>
    <xf numFmtId="0" fontId="31" fillId="0" borderId="0" xfId="8" applyFont="1"/>
    <xf numFmtId="0" fontId="123" fillId="0" borderId="0" xfId="8" applyFont="1"/>
    <xf numFmtId="0" fontId="36" fillId="0" borderId="0" xfId="8" applyFont="1"/>
    <xf numFmtId="0" fontId="36" fillId="0" borderId="0" xfId="8" applyFont="1" applyAlignment="1">
      <alignment horizontal="center"/>
    </xf>
    <xf numFmtId="4" fontId="36" fillId="0" borderId="0" xfId="8" applyNumberFormat="1" applyFont="1"/>
    <xf numFmtId="0" fontId="124" fillId="39" borderId="0" xfId="8" applyFont="1" applyFill="1" applyBorder="1" applyAlignment="1">
      <alignment horizontal="left"/>
    </xf>
    <xf numFmtId="0" fontId="124" fillId="0" borderId="0" xfId="8" applyFont="1" applyBorder="1" applyAlignment="1">
      <alignment horizontal="left"/>
    </xf>
    <xf numFmtId="0" fontId="36" fillId="0" borderId="0" xfId="72" applyFont="1" applyAlignment="1">
      <alignment horizontal="center"/>
    </xf>
    <xf numFmtId="0" fontId="36" fillId="39" borderId="0" xfId="72" applyFont="1" applyFill="1"/>
    <xf numFmtId="0" fontId="36" fillId="0" borderId="0" xfId="72" applyFont="1"/>
    <xf numFmtId="0" fontId="36" fillId="0" borderId="0" xfId="72" applyFont="1" applyBorder="1"/>
    <xf numFmtId="0" fontId="36" fillId="0" borderId="0" xfId="61" applyFont="1"/>
    <xf numFmtId="0" fontId="32" fillId="0" borderId="0" xfId="72" applyFont="1"/>
    <xf numFmtId="168" fontId="32" fillId="0" borderId="0" xfId="410" applyNumberFormat="1" applyFont="1" applyBorder="1"/>
    <xf numFmtId="168" fontId="36" fillId="0" borderId="0" xfId="410" applyNumberFormat="1" applyFont="1" applyBorder="1"/>
    <xf numFmtId="0" fontId="36" fillId="39" borderId="0" xfId="72" applyFont="1" applyFill="1" applyBorder="1"/>
    <xf numFmtId="0" fontId="126" fillId="0" borderId="0" xfId="8" applyFont="1" applyBorder="1" applyAlignment="1">
      <alignment horizontal="left"/>
    </xf>
    <xf numFmtId="0" fontId="36" fillId="0" borderId="0" xfId="72" applyFont="1" applyFill="1" applyBorder="1"/>
    <xf numFmtId="0" fontId="36" fillId="0" borderId="0" xfId="61" applyFont="1" applyFill="1"/>
    <xf numFmtId="3" fontId="29" fillId="0" borderId="0" xfId="8" applyNumberFormat="1" applyFont="1" applyFill="1"/>
    <xf numFmtId="3" fontId="29" fillId="0" borderId="0" xfId="8" applyNumberFormat="1" applyFont="1" applyFill="1" applyAlignment="1">
      <alignment horizontal="center"/>
    </xf>
    <xf numFmtId="3" fontId="99" fillId="0" borderId="0" xfId="8" applyNumberFormat="1" applyFont="1" applyFill="1" applyBorder="1" applyAlignment="1">
      <alignment horizontal="right"/>
    </xf>
    <xf numFmtId="3" fontId="29" fillId="0" borderId="0" xfId="8" applyNumberFormat="1" applyFont="1" applyFill="1" applyAlignment="1">
      <alignment horizontal="left"/>
    </xf>
    <xf numFmtId="3" fontId="29" fillId="21" borderId="0" xfId="9" applyNumberFormat="1" applyFont="1" applyFill="1" applyBorder="1"/>
    <xf numFmtId="3" fontId="29" fillId="21" borderId="0" xfId="8" applyNumberFormat="1" applyFont="1" applyFill="1" applyBorder="1"/>
    <xf numFmtId="3" fontId="29" fillId="21" borderId="0" xfId="8" applyNumberFormat="1" applyFont="1" applyFill="1"/>
    <xf numFmtId="3" fontId="29" fillId="21" borderId="3" xfId="9" applyNumberFormat="1" applyFont="1" applyFill="1" applyBorder="1"/>
    <xf numFmtId="3" fontId="29" fillId="21" borderId="3" xfId="8" applyNumberFormat="1" applyFont="1" applyFill="1" applyBorder="1"/>
    <xf numFmtId="3" fontId="29" fillId="0" borderId="0" xfId="8" applyNumberFormat="1" applyFont="1" applyFill="1" applyAlignment="1">
      <alignment horizontal="right"/>
    </xf>
    <xf numFmtId="3" fontId="31" fillId="0" borderId="0" xfId="8" applyNumberFormat="1" applyFont="1" applyFill="1" applyBorder="1" applyAlignment="1">
      <alignment horizontal="left"/>
    </xf>
    <xf numFmtId="3" fontId="31" fillId="21" borderId="0" xfId="8" applyNumberFormat="1" applyFont="1" applyFill="1"/>
    <xf numFmtId="3" fontId="49" fillId="0" borderId="0" xfId="8" applyNumberFormat="1" applyFont="1" applyFill="1" applyBorder="1" applyAlignment="1">
      <alignment horizontal="left"/>
    </xf>
    <xf numFmtId="3" fontId="31" fillId="0" borderId="0" xfId="8" applyNumberFormat="1" applyFont="1" applyFill="1" applyAlignment="1">
      <alignment horizontal="center"/>
    </xf>
    <xf numFmtId="3" fontId="31" fillId="21" borderId="0" xfId="9" applyNumberFormat="1" applyFont="1" applyFill="1" applyBorder="1"/>
    <xf numFmtId="3" fontId="49" fillId="0" borderId="0" xfId="8" applyNumberFormat="1" applyFont="1" applyFill="1"/>
    <xf numFmtId="0" fontId="29" fillId="0" borderId="0" xfId="8" applyFont="1" applyFill="1"/>
    <xf numFmtId="0" fontId="29" fillId="0" borderId="0" xfId="8" applyFont="1" applyFill="1" applyAlignment="1">
      <alignment horizontal="right"/>
    </xf>
    <xf numFmtId="0" fontId="29" fillId="0" borderId="0" xfId="8" applyFont="1" applyFill="1" applyAlignment="1">
      <alignment horizontal="left"/>
    </xf>
    <xf numFmtId="43" fontId="31" fillId="0" borderId="0" xfId="410" applyFont="1" applyFill="1" applyAlignment="1">
      <alignment horizontal="center"/>
    </xf>
    <xf numFmtId="0" fontId="31" fillId="0" borderId="0" xfId="8" applyFont="1" applyAlignment="1">
      <alignment horizontal="center"/>
    </xf>
    <xf numFmtId="0" fontId="29" fillId="0" borderId="0" xfId="8" applyFont="1"/>
    <xf numFmtId="0" fontId="99" fillId="0" borderId="0" xfId="8" applyFont="1" applyFill="1" applyAlignment="1">
      <alignment horizontal="center"/>
    </xf>
    <xf numFmtId="43" fontId="31" fillId="0" borderId="4" xfId="410" applyFont="1" applyFill="1" applyBorder="1" applyAlignment="1">
      <alignment horizontal="center"/>
    </xf>
    <xf numFmtId="0" fontId="31" fillId="0" borderId="4" xfId="8" applyFont="1" applyBorder="1" applyAlignment="1">
      <alignment horizontal="center"/>
    </xf>
    <xf numFmtId="164" fontId="23" fillId="0" borderId="0" xfId="0" applyNumberFormat="1" applyFont="1" applyFill="1" applyAlignment="1" applyProtection="1">
      <alignment vertical="top"/>
    </xf>
    <xf numFmtId="0" fontId="31" fillId="21" borderId="0" xfId="8" applyFont="1" applyFill="1"/>
    <xf numFmtId="164" fontId="32" fillId="21" borderId="0" xfId="0" applyFont="1" applyFill="1"/>
    <xf numFmtId="169" fontId="23" fillId="21" borderId="0" xfId="0" applyNumberFormat="1" applyFont="1" applyFill="1" applyAlignment="1" applyProtection="1">
      <alignment horizontal="left"/>
    </xf>
    <xf numFmtId="41" fontId="32" fillId="21" borderId="0" xfId="147" applyNumberFormat="1" applyFont="1" applyFill="1"/>
    <xf numFmtId="41" fontId="36" fillId="21" borderId="0" xfId="0" applyNumberFormat="1" applyFont="1" applyFill="1"/>
    <xf numFmtId="41" fontId="36" fillId="21" borderId="0" xfId="410" applyNumberFormat="1" applyFont="1" applyFill="1"/>
    <xf numFmtId="41" fontId="32" fillId="21" borderId="5" xfId="147" applyNumberFormat="1" applyFont="1" applyFill="1" applyBorder="1"/>
    <xf numFmtId="41" fontId="36" fillId="21" borderId="0" xfId="147" applyNumberFormat="1" applyFont="1" applyFill="1"/>
    <xf numFmtId="41" fontId="36" fillId="39" borderId="22" xfId="147" applyNumberFormat="1" applyFont="1" applyFill="1" applyBorder="1"/>
    <xf numFmtId="41" fontId="36" fillId="21" borderId="4" xfId="147" applyNumberFormat="1" applyFont="1" applyFill="1" applyBorder="1"/>
    <xf numFmtId="49" fontId="31" fillId="39" borderId="22" xfId="5" applyNumberFormat="1" applyFont="1" applyFill="1" applyBorder="1" applyAlignment="1">
      <alignment horizontal="center"/>
    </xf>
    <xf numFmtId="0" fontId="98" fillId="21" borderId="0" xfId="513" applyFont="1" applyFill="1"/>
    <xf numFmtId="0" fontId="97" fillId="21" borderId="0" xfId="513" applyFont="1" applyFill="1"/>
    <xf numFmtId="43" fontId="97" fillId="21" borderId="0" xfId="410" applyFont="1" applyFill="1"/>
    <xf numFmtId="0" fontId="114" fillId="21" borderId="0" xfId="513" applyFont="1" applyFill="1"/>
    <xf numFmtId="14" fontId="98" fillId="39" borderId="0" xfId="410" applyNumberFormat="1" applyFont="1" applyFill="1" applyAlignment="1">
      <alignment horizontal="center"/>
    </xf>
    <xf numFmtId="14" fontId="97" fillId="21" borderId="0" xfId="410" applyNumberFormat="1" applyFont="1" applyFill="1" applyAlignment="1">
      <alignment horizontal="center"/>
    </xf>
    <xf numFmtId="14" fontId="31" fillId="39" borderId="0" xfId="410" applyNumberFormat="1" applyFont="1" applyFill="1" applyAlignment="1">
      <alignment horizontal="center"/>
    </xf>
    <xf numFmtId="182" fontId="22" fillId="21" borderId="0" xfId="513" applyNumberFormat="1" applyFont="1" applyFill="1"/>
    <xf numFmtId="43" fontId="23" fillId="21" borderId="0" xfId="410" applyFont="1" applyFill="1" applyBorder="1" applyAlignment="1">
      <alignment horizontal="center"/>
    </xf>
    <xf numFmtId="43" fontId="22" fillId="21" borderId="0" xfId="410" applyFont="1" applyFill="1"/>
    <xf numFmtId="182" fontId="22" fillId="21" borderId="0" xfId="513" applyNumberFormat="1" applyFont="1" applyFill="1" applyAlignment="1">
      <alignment horizontal="center"/>
    </xf>
    <xf numFmtId="43" fontId="23" fillId="21" borderId="22" xfId="410" applyFont="1" applyFill="1" applyBorder="1" applyAlignment="1">
      <alignment horizontal="center"/>
    </xf>
    <xf numFmtId="43" fontId="22" fillId="21" borderId="0" xfId="410" applyFont="1" applyFill="1" applyAlignment="1">
      <alignment horizontal="centerContinuous"/>
    </xf>
    <xf numFmtId="168" fontId="29" fillId="21" borderId="0" xfId="410" applyNumberFormat="1" applyFont="1" applyFill="1"/>
    <xf numFmtId="0" fontId="128" fillId="21" borderId="0" xfId="513" applyFont="1" applyFill="1"/>
    <xf numFmtId="168" fontId="29" fillId="39" borderId="22" xfId="410" applyNumberFormat="1" applyFont="1" applyFill="1" applyBorder="1"/>
    <xf numFmtId="168" fontId="29" fillId="21" borderId="22" xfId="410" applyNumberFormat="1" applyFont="1" applyFill="1" applyBorder="1"/>
    <xf numFmtId="168" fontId="29" fillId="21" borderId="0" xfId="410" applyNumberFormat="1" applyFont="1" applyFill="1" applyBorder="1"/>
    <xf numFmtId="183" fontId="97" fillId="21" borderId="0" xfId="513" applyNumberFormat="1" applyFont="1" applyFill="1"/>
    <xf numFmtId="183" fontId="114" fillId="21" borderId="0" xfId="513" applyNumberFormat="1" applyFont="1" applyFill="1"/>
    <xf numFmtId="182" fontId="23" fillId="21" borderId="0" xfId="513" applyNumberFormat="1" applyFont="1" applyFill="1" applyAlignment="1">
      <alignment horizontal="center" vertical="center" textRotation="90"/>
    </xf>
    <xf numFmtId="168" fontId="31" fillId="21" borderId="0" xfId="410" applyNumberFormat="1" applyFont="1" applyFill="1" applyAlignment="1">
      <alignment horizontal="center" vertical="center" textRotation="90"/>
    </xf>
    <xf numFmtId="168" fontId="29" fillId="21" borderId="5" xfId="410" applyNumberFormat="1" applyFont="1" applyFill="1" applyBorder="1"/>
    <xf numFmtId="164" fontId="24" fillId="21" borderId="0" xfId="0" applyNumberFormat="1" applyFont="1" applyFill="1" applyAlignment="1" applyProtection="1">
      <alignment horizontal="center"/>
    </xf>
    <xf numFmtId="169" fontId="36" fillId="21" borderId="0" xfId="0" applyNumberFormat="1" applyFont="1" applyFill="1" applyAlignment="1">
      <alignment horizontal="center"/>
    </xf>
    <xf numFmtId="169" fontId="36" fillId="21" borderId="0" xfId="0" applyNumberFormat="1" applyFont="1" applyFill="1"/>
    <xf numFmtId="169" fontId="36" fillId="21" borderId="0" xfId="0" applyNumberFormat="1" applyFont="1" applyFill="1" applyBorder="1"/>
    <xf numFmtId="164" fontId="129" fillId="21" borderId="0" xfId="0" applyNumberFormat="1" applyFont="1" applyFill="1" applyAlignment="1" applyProtection="1">
      <alignment horizontal="center"/>
    </xf>
    <xf numFmtId="169" fontId="36" fillId="21" borderId="0" xfId="0" applyNumberFormat="1" applyFont="1" applyFill="1" applyAlignment="1"/>
    <xf numFmtId="169" fontId="46" fillId="21" borderId="0" xfId="0" applyNumberFormat="1" applyFont="1" applyFill="1" applyAlignment="1"/>
    <xf numFmtId="169" fontId="32" fillId="21" borderId="0" xfId="0" applyNumberFormat="1" applyFont="1" applyFill="1" applyBorder="1" applyAlignment="1"/>
    <xf numFmtId="169" fontId="36" fillId="21" borderId="0" xfId="0" applyNumberFormat="1" applyFont="1" applyFill="1" applyBorder="1" applyAlignment="1"/>
    <xf numFmtId="169" fontId="32" fillId="21" borderId="0" xfId="0" applyNumberFormat="1" applyFont="1" applyFill="1" applyAlignment="1">
      <alignment horizontal="center"/>
    </xf>
    <xf numFmtId="169" fontId="106" fillId="21" borderId="0" xfId="0" applyNumberFormat="1" applyFont="1" applyFill="1" applyAlignment="1"/>
    <xf numFmtId="169" fontId="32" fillId="21" borderId="0" xfId="0" applyNumberFormat="1" applyFont="1" applyFill="1" applyBorder="1" applyAlignment="1">
      <alignment horizontal="center"/>
    </xf>
    <xf numFmtId="169" fontId="36" fillId="21" borderId="0" xfId="0" applyNumberFormat="1" applyFont="1" applyFill="1" applyAlignment="1">
      <alignment horizontal="left"/>
    </xf>
    <xf numFmtId="169" fontId="36" fillId="21" borderId="0" xfId="0" applyNumberFormat="1" applyFont="1" applyFill="1" applyAlignment="1">
      <alignment horizontal="left" indent="1"/>
    </xf>
    <xf numFmtId="168" fontId="36" fillId="21" borderId="0" xfId="161" applyNumberFormat="1" applyFont="1" applyFill="1" applyAlignment="1"/>
    <xf numFmtId="169" fontId="124" fillId="21" borderId="0" xfId="0" applyNumberFormat="1" applyFont="1" applyFill="1" applyAlignment="1">
      <alignment horizontal="center"/>
    </xf>
    <xf numFmtId="169" fontId="124" fillId="21" borderId="0" xfId="0" applyNumberFormat="1" applyFont="1" applyFill="1" applyAlignment="1">
      <alignment horizontal="left" indent="1"/>
    </xf>
    <xf numFmtId="169" fontId="124" fillId="21" borderId="0" xfId="0" applyNumberFormat="1" applyFont="1" applyFill="1" applyAlignment="1"/>
    <xf numFmtId="164" fontId="130" fillId="21" borderId="0" xfId="0" applyNumberFormat="1" applyFont="1" applyFill="1" applyProtection="1"/>
    <xf numFmtId="169" fontId="131" fillId="21" borderId="0" xfId="0" applyNumberFormat="1" applyFont="1" applyFill="1" applyBorder="1" applyAlignment="1"/>
    <xf numFmtId="169" fontId="124" fillId="21" borderId="0" xfId="0" applyNumberFormat="1" applyFont="1" applyFill="1" applyBorder="1" applyAlignment="1"/>
    <xf numFmtId="169" fontId="131" fillId="21" borderId="0" xfId="0" applyNumberFormat="1" applyFont="1" applyFill="1" applyBorder="1" applyAlignment="1">
      <alignment horizontal="center"/>
    </xf>
    <xf numFmtId="169" fontId="36" fillId="21" borderId="0" xfId="0" applyNumberFormat="1" applyFont="1" applyFill="1" applyBorder="1" applyAlignment="1">
      <alignment horizontal="center"/>
    </xf>
    <xf numFmtId="169" fontId="46" fillId="21" borderId="0" xfId="0" applyNumberFormat="1" applyFont="1" applyFill="1" applyBorder="1" applyAlignment="1"/>
    <xf numFmtId="169" fontId="106" fillId="21" borderId="0" xfId="0" applyNumberFormat="1" applyFont="1" applyFill="1" applyAlignment="1">
      <alignment horizontal="left"/>
    </xf>
    <xf numFmtId="169" fontId="24" fillId="21" borderId="0" xfId="0" applyNumberFormat="1" applyFont="1" applyFill="1" applyAlignment="1" applyProtection="1">
      <alignment horizontal="center"/>
    </xf>
    <xf numFmtId="169" fontId="129" fillId="21" borderId="0" xfId="0" applyNumberFormat="1" applyFont="1" applyFill="1" applyAlignment="1" applyProtection="1">
      <alignment horizontal="center"/>
    </xf>
    <xf numFmtId="169" fontId="106" fillId="21" borderId="0" xfId="0" applyNumberFormat="1" applyFont="1" applyFill="1" applyAlignment="1">
      <alignment horizontal="center"/>
    </xf>
    <xf numFmtId="169" fontId="106" fillId="21" borderId="0" xfId="0" applyNumberFormat="1" applyFont="1" applyFill="1" applyBorder="1" applyAlignment="1"/>
    <xf numFmtId="169" fontId="106" fillId="21" borderId="0" xfId="0" applyNumberFormat="1" applyFont="1" applyFill="1" applyBorder="1" applyAlignment="1">
      <alignment horizontal="center"/>
    </xf>
    <xf numFmtId="169" fontId="106" fillId="21" borderId="0" xfId="0" applyNumberFormat="1" applyFont="1" applyFill="1" applyBorder="1"/>
    <xf numFmtId="169" fontId="46" fillId="21" borderId="0" xfId="0" applyNumberFormat="1" applyFont="1" applyFill="1"/>
    <xf numFmtId="169" fontId="36" fillId="21" borderId="0" xfId="147" applyNumberFormat="1" applyFont="1" applyFill="1" applyBorder="1" applyAlignment="1"/>
    <xf numFmtId="169" fontId="36" fillId="21" borderId="22" xfId="147" applyNumberFormat="1" applyFont="1" applyFill="1" applyBorder="1" applyAlignment="1"/>
    <xf numFmtId="169" fontId="36" fillId="21" borderId="0" xfId="0" applyNumberFormat="1" applyFont="1" applyFill="1" applyAlignment="1">
      <alignment horizontal="left" indent="2"/>
    </xf>
    <xf numFmtId="169" fontId="36" fillId="21" borderId="5" xfId="147" applyNumberFormat="1" applyFont="1" applyFill="1" applyBorder="1" applyAlignment="1"/>
    <xf numFmtId="169" fontId="36" fillId="21" borderId="6" xfId="147" applyNumberFormat="1" applyFont="1" applyFill="1" applyBorder="1" applyAlignment="1"/>
    <xf numFmtId="169" fontId="124" fillId="21" borderId="0" xfId="0" applyNumberFormat="1" applyFont="1" applyFill="1"/>
    <xf numFmtId="169" fontId="124" fillId="21" borderId="0" xfId="147" applyNumberFormat="1" applyFont="1" applyFill="1" applyBorder="1" applyAlignment="1"/>
    <xf numFmtId="169" fontId="125" fillId="21" borderId="0" xfId="0" applyNumberFormat="1" applyFont="1" applyFill="1" applyAlignment="1">
      <alignment horizontal="center"/>
    </xf>
    <xf numFmtId="169" fontId="124" fillId="21" borderId="0" xfId="0" applyNumberFormat="1" applyFont="1" applyFill="1" applyBorder="1"/>
    <xf numFmtId="169" fontId="36" fillId="39" borderId="0" xfId="0" applyNumberFormat="1" applyFont="1" applyFill="1"/>
    <xf numFmtId="164" fontId="117" fillId="0" borderId="0" xfId="0" applyFont="1"/>
    <xf numFmtId="186" fontId="117" fillId="0" borderId="0" xfId="0" applyNumberFormat="1" applyFont="1"/>
    <xf numFmtId="164" fontId="115" fillId="21" borderId="0" xfId="0" applyNumberFormat="1" applyFont="1" applyFill="1" applyAlignment="1" applyProtection="1">
      <alignment horizontal="center"/>
    </xf>
    <xf numFmtId="164" fontId="115" fillId="21" borderId="0" xfId="0" applyNumberFormat="1" applyFont="1" applyFill="1" applyProtection="1"/>
    <xf numFmtId="49" fontId="23" fillId="21" borderId="0" xfId="0" applyNumberFormat="1" applyFont="1" applyFill="1" applyAlignment="1" applyProtection="1">
      <alignment horizontal="center"/>
    </xf>
    <xf numFmtId="5" fontId="22" fillId="21" borderId="0" xfId="0" applyNumberFormat="1" applyFont="1" applyFill="1" applyProtection="1"/>
    <xf numFmtId="3" fontId="22" fillId="21" borderId="0" xfId="0" applyNumberFormat="1" applyFont="1" applyFill="1" applyProtection="1"/>
    <xf numFmtId="5" fontId="23" fillId="21" borderId="0" xfId="0" applyNumberFormat="1" applyFont="1" applyFill="1" applyProtection="1"/>
    <xf numFmtId="168" fontId="23" fillId="21" borderId="0" xfId="161" applyNumberFormat="1" applyFont="1" applyFill="1" applyProtection="1"/>
    <xf numFmtId="5" fontId="23" fillId="21" borderId="0" xfId="0" applyNumberFormat="1" applyFont="1" applyFill="1" applyAlignment="1" applyProtection="1">
      <alignment horizontal="center"/>
    </xf>
    <xf numFmtId="168" fontId="23" fillId="21" borderId="17" xfId="161" applyNumberFormat="1" applyFont="1" applyFill="1" applyBorder="1" applyProtection="1"/>
    <xf numFmtId="5" fontId="23" fillId="21" borderId="0" xfId="0" applyNumberFormat="1" applyFont="1" applyFill="1" applyBorder="1" applyProtection="1"/>
    <xf numFmtId="164" fontId="22" fillId="21" borderId="0" xfId="0" applyNumberFormat="1" applyFont="1" applyFill="1" applyAlignment="1" applyProtection="1">
      <alignment horizontal="left"/>
    </xf>
    <xf numFmtId="164" fontId="23" fillId="0" borderId="0" xfId="0" applyNumberFormat="1" applyFont="1" applyFill="1" applyAlignment="1" applyProtection="1">
      <alignment horizontal="center"/>
    </xf>
    <xf numFmtId="164" fontId="22" fillId="0" borderId="0" xfId="0" applyNumberFormat="1" applyFont="1" applyFill="1" applyAlignment="1" applyProtection="1">
      <alignment horizontal="center"/>
    </xf>
    <xf numFmtId="164" fontId="29" fillId="0" borderId="0" xfId="0" applyFont="1" applyFill="1"/>
    <xf numFmtId="164" fontId="22" fillId="0" borderId="0" xfId="0" applyNumberFormat="1" applyFont="1" applyFill="1" applyAlignment="1" applyProtection="1">
      <alignment horizontal="left"/>
    </xf>
    <xf numFmtId="164" fontId="22" fillId="4" borderId="0" xfId="0" applyNumberFormat="1" applyFont="1" applyFill="1" applyProtection="1"/>
    <xf numFmtId="164" fontId="29" fillId="4" borderId="0" xfId="0" applyFont="1" applyFill="1"/>
    <xf numFmtId="164" fontId="116" fillId="21" borderId="0" xfId="0" applyNumberFormat="1" applyFont="1" applyFill="1" applyProtection="1"/>
    <xf numFmtId="41" fontId="22" fillId="21" borderId="0" xfId="0" applyNumberFormat="1" applyFont="1" applyFill="1" applyProtection="1"/>
    <xf numFmtId="164" fontId="31" fillId="21" borderId="0" xfId="0" applyNumberFormat="1" applyFont="1" applyFill="1" applyAlignment="1" applyProtection="1">
      <alignment horizontal="center"/>
    </xf>
    <xf numFmtId="164" fontId="29" fillId="21" borderId="0" xfId="0" applyNumberFormat="1" applyFont="1" applyFill="1" applyAlignment="1" applyProtection="1">
      <alignment horizontal="center"/>
    </xf>
    <xf numFmtId="164" fontId="29" fillId="21" borderId="0" xfId="0" applyNumberFormat="1" applyFont="1" applyFill="1" applyProtection="1"/>
    <xf numFmtId="5" fontId="31" fillId="21" borderId="0" xfId="0" applyNumberFormat="1" applyFont="1" applyFill="1" applyProtection="1"/>
    <xf numFmtId="168" fontId="31" fillId="21" borderId="2" xfId="161" applyNumberFormat="1" applyFont="1" applyFill="1" applyBorder="1" applyProtection="1"/>
    <xf numFmtId="0" fontId="29" fillId="21" borderId="0" xfId="0" applyNumberFormat="1" applyFont="1" applyFill="1" applyProtection="1"/>
    <xf numFmtId="49" fontId="22" fillId="21" borderId="0" xfId="0" applyNumberFormat="1" applyFont="1" applyFill="1" applyAlignment="1" applyProtection="1">
      <alignment horizontal="center"/>
    </xf>
    <xf numFmtId="49" fontId="115" fillId="21" borderId="0" xfId="0" applyNumberFormat="1" applyFont="1" applyFill="1" applyAlignment="1" applyProtection="1">
      <alignment horizontal="center"/>
    </xf>
    <xf numFmtId="49" fontId="115" fillId="21" borderId="0" xfId="0" applyNumberFormat="1" applyFont="1" applyFill="1" applyAlignment="1" applyProtection="1">
      <alignment horizontal="left"/>
    </xf>
    <xf numFmtId="164" fontId="132" fillId="21" borderId="0" xfId="0" applyNumberFormat="1" applyFont="1" applyFill="1" applyProtection="1"/>
    <xf numFmtId="168" fontId="29" fillId="21" borderId="0" xfId="161" applyNumberFormat="1" applyFont="1" applyFill="1" applyProtection="1"/>
    <xf numFmtId="164" fontId="29" fillId="0" borderId="0" xfId="0" applyFont="1" applyFill="1" applyBorder="1"/>
    <xf numFmtId="49" fontId="29" fillId="21" borderId="0" xfId="0" applyNumberFormat="1" applyFont="1" applyFill="1" applyAlignment="1" applyProtection="1">
      <alignment horizontal="left"/>
    </xf>
    <xf numFmtId="164" fontId="23" fillId="21" borderId="0" xfId="0" applyNumberFormat="1" applyFont="1" applyFill="1" applyAlignment="1" applyProtection="1">
      <alignment horizontal="left" indent="1"/>
    </xf>
    <xf numFmtId="164" fontId="23" fillId="21" borderId="0" xfId="0" applyNumberFormat="1" applyFont="1" applyFill="1" applyAlignment="1" applyProtection="1">
      <alignment horizontal="left"/>
    </xf>
    <xf numFmtId="0" fontId="29" fillId="0" borderId="0" xfId="72" applyFont="1"/>
    <xf numFmtId="169" fontId="22" fillId="21" borderId="0" xfId="0" applyNumberFormat="1" applyFont="1" applyFill="1" applyProtection="1"/>
    <xf numFmtId="169" fontId="29" fillId="21" borderId="0" xfId="0" applyNumberFormat="1" applyFont="1" applyFill="1"/>
    <xf numFmtId="168" fontId="22" fillId="21" borderId="0" xfId="161" applyNumberFormat="1" applyFont="1" applyFill="1" applyProtection="1"/>
    <xf numFmtId="168" fontId="23" fillId="21" borderId="2" xfId="161" applyNumberFormat="1" applyFont="1" applyFill="1" applyBorder="1" applyProtection="1"/>
    <xf numFmtId="164" fontId="46" fillId="21" borderId="0" xfId="0" applyFont="1" applyFill="1" applyAlignment="1"/>
    <xf numFmtId="164" fontId="36" fillId="21" borderId="0" xfId="0" applyFont="1" applyFill="1" applyAlignment="1">
      <alignment horizontal="center"/>
    </xf>
    <xf numFmtId="164" fontId="32" fillId="21" borderId="0" xfId="0" applyFont="1" applyFill="1" applyAlignment="1">
      <alignment horizontal="center"/>
    </xf>
    <xf numFmtId="164" fontId="32" fillId="21" borderId="0" xfId="0" applyFont="1" applyFill="1" applyAlignment="1"/>
    <xf numFmtId="164" fontId="106" fillId="21" borderId="0" xfId="0" applyFont="1" applyFill="1" applyAlignment="1">
      <alignment horizontal="center"/>
    </xf>
    <xf numFmtId="164" fontId="106" fillId="21" borderId="0" xfId="0" applyFont="1" applyFill="1" applyAlignment="1"/>
    <xf numFmtId="164" fontId="133" fillId="21" borderId="0" xfId="0" applyNumberFormat="1" applyFont="1" applyFill="1" applyAlignment="1" applyProtection="1">
      <alignment horizontal="center"/>
    </xf>
    <xf numFmtId="164" fontId="36" fillId="21" borderId="0" xfId="0" quotePrefix="1" applyFont="1" applyFill="1" applyAlignment="1">
      <alignment horizontal="center"/>
    </xf>
    <xf numFmtId="164" fontId="36" fillId="21" borderId="0" xfId="0" applyFont="1" applyFill="1" applyBorder="1" applyAlignment="1"/>
    <xf numFmtId="164" fontId="36" fillId="21" borderId="37" xfId="0" applyFont="1" applyFill="1" applyBorder="1" applyAlignment="1"/>
    <xf numFmtId="164" fontId="46" fillId="21" borderId="38" xfId="0" applyFont="1" applyFill="1" applyBorder="1" applyAlignment="1"/>
    <xf numFmtId="164" fontId="36" fillId="21" borderId="38" xfId="0" applyFont="1" applyFill="1" applyBorder="1" applyAlignment="1">
      <alignment horizontal="center"/>
    </xf>
    <xf numFmtId="164" fontId="36" fillId="21" borderId="38" xfId="0" applyFont="1" applyFill="1" applyBorder="1" applyAlignment="1"/>
    <xf numFmtId="41" fontId="36" fillId="21" borderId="37" xfId="147" applyNumberFormat="1" applyFont="1" applyFill="1" applyBorder="1" applyAlignment="1"/>
    <xf numFmtId="41" fontId="36" fillId="21" borderId="38" xfId="147" applyNumberFormat="1" applyFont="1" applyFill="1" applyBorder="1" applyAlignment="1"/>
    <xf numFmtId="41" fontId="36" fillId="21" borderId="39" xfId="147" applyNumberFormat="1" applyFont="1" applyFill="1" applyBorder="1" applyAlignment="1"/>
    <xf numFmtId="164" fontId="36" fillId="21" borderId="12" xfId="0" applyFont="1" applyFill="1" applyBorder="1" applyAlignment="1"/>
    <xf numFmtId="164" fontId="46" fillId="21" borderId="0" xfId="0" applyFont="1" applyFill="1" applyBorder="1" applyAlignment="1"/>
    <xf numFmtId="164" fontId="36" fillId="21" borderId="0" xfId="0" applyFont="1" applyFill="1" applyBorder="1" applyAlignment="1">
      <alignment horizontal="center"/>
    </xf>
    <xf numFmtId="41" fontId="36" fillId="21" borderId="12" xfId="147" applyNumberFormat="1" applyFont="1" applyFill="1" applyBorder="1" applyAlignment="1"/>
    <xf numFmtId="41" fontId="36" fillId="21" borderId="0" xfId="147" applyNumberFormat="1" applyFont="1" applyFill="1" applyBorder="1" applyAlignment="1"/>
    <xf numFmtId="41" fontId="36" fillId="21" borderId="13" xfId="147" applyNumberFormat="1" applyFont="1" applyFill="1" applyBorder="1" applyAlignment="1"/>
    <xf numFmtId="164" fontId="125" fillId="21" borderId="0" xfId="0" applyFont="1" applyFill="1" applyAlignment="1"/>
    <xf numFmtId="164" fontId="134" fillId="21" borderId="0" xfId="0" applyFont="1" applyFill="1" applyBorder="1" applyAlignment="1"/>
    <xf numFmtId="41" fontId="125" fillId="21" borderId="12" xfId="147" applyNumberFormat="1" applyFont="1" applyFill="1" applyBorder="1" applyAlignment="1"/>
    <xf numFmtId="41" fontId="125" fillId="21" borderId="0" xfId="147" applyNumberFormat="1" applyFont="1" applyFill="1" applyBorder="1" applyAlignment="1"/>
    <xf numFmtId="41" fontId="125" fillId="21" borderId="13" xfId="147" applyNumberFormat="1" applyFont="1" applyFill="1" applyBorder="1" applyAlignment="1"/>
    <xf numFmtId="164" fontId="36" fillId="21" borderId="10" xfId="0" applyFont="1" applyFill="1" applyBorder="1" applyAlignment="1"/>
    <xf numFmtId="164" fontId="46" fillId="21" borderId="22" xfId="0" applyFont="1" applyFill="1" applyBorder="1" applyAlignment="1"/>
    <xf numFmtId="164" fontId="36" fillId="21" borderId="22" xfId="0" applyFont="1" applyFill="1" applyBorder="1" applyAlignment="1">
      <alignment horizontal="center"/>
    </xf>
    <xf numFmtId="164" fontId="36" fillId="21" borderId="22" xfId="0" applyFont="1" applyFill="1" applyBorder="1" applyAlignment="1"/>
    <xf numFmtId="41" fontId="36" fillId="21" borderId="10" xfId="147" applyNumberFormat="1" applyFont="1" applyFill="1" applyBorder="1" applyAlignment="1"/>
    <xf numFmtId="41" fontId="36" fillId="21" borderId="22" xfId="147" applyNumberFormat="1" applyFont="1" applyFill="1" applyBorder="1" applyAlignment="1"/>
    <xf numFmtId="41" fontId="36" fillId="21" borderId="11" xfId="147" applyNumberFormat="1" applyFont="1" applyFill="1" applyBorder="1" applyAlignment="1"/>
    <xf numFmtId="41" fontId="36" fillId="21" borderId="0" xfId="0" applyNumberFormat="1" applyFont="1" applyFill="1" applyAlignment="1"/>
    <xf numFmtId="41" fontId="36" fillId="21" borderId="0" xfId="147" applyNumberFormat="1" applyFont="1" applyFill="1" applyAlignment="1"/>
    <xf numFmtId="164" fontId="36" fillId="21" borderId="51" xfId="0" applyFont="1" applyFill="1" applyBorder="1" applyAlignment="1"/>
    <xf numFmtId="164" fontId="46" fillId="21" borderId="52" xfId="0" applyFont="1" applyFill="1" applyBorder="1" applyAlignment="1"/>
    <xf numFmtId="164" fontId="36" fillId="21" borderId="52" xfId="0" applyFont="1" applyFill="1" applyBorder="1" applyAlignment="1">
      <alignment horizontal="center"/>
    </xf>
    <xf numFmtId="41" fontId="36" fillId="21" borderId="51" xfId="147" applyNumberFormat="1" applyFont="1" applyFill="1" applyBorder="1" applyAlignment="1"/>
    <xf numFmtId="41" fontId="36" fillId="21" borderId="52" xfId="147" applyNumberFormat="1" applyFont="1" applyFill="1" applyBorder="1" applyAlignment="1"/>
    <xf numFmtId="41" fontId="36" fillId="21" borderId="53" xfId="147" applyNumberFormat="1" applyFont="1" applyFill="1" applyBorder="1" applyAlignment="1"/>
    <xf numFmtId="41" fontId="135" fillId="21" borderId="12" xfId="147" applyNumberFormat="1" applyFont="1" applyFill="1" applyBorder="1" applyAlignment="1"/>
    <xf numFmtId="41" fontId="135" fillId="21" borderId="0" xfId="147" applyNumberFormat="1" applyFont="1" applyFill="1" applyBorder="1" applyAlignment="1"/>
    <xf numFmtId="41" fontId="135" fillId="21" borderId="13" xfId="147" applyNumberFormat="1" applyFont="1" applyFill="1" applyBorder="1" applyAlignment="1"/>
    <xf numFmtId="164" fontId="136" fillId="21" borderId="0" xfId="0" applyFont="1" applyFill="1" applyBorder="1" applyAlignment="1">
      <alignment horizontal="center"/>
    </xf>
    <xf numFmtId="164" fontId="36" fillId="0" borderId="12" xfId="0" applyFont="1" applyFill="1" applyBorder="1" applyAlignment="1"/>
    <xf numFmtId="164" fontId="125" fillId="21" borderId="12" xfId="0" applyFont="1" applyFill="1" applyBorder="1" applyAlignment="1"/>
    <xf numFmtId="41" fontId="36" fillId="21" borderId="12" xfId="0" applyNumberFormat="1" applyFont="1" applyFill="1" applyBorder="1" applyAlignment="1"/>
    <xf numFmtId="41" fontId="36" fillId="21" borderId="0" xfId="0" applyNumberFormat="1" applyFont="1" applyFill="1" applyBorder="1" applyAlignment="1"/>
    <xf numFmtId="164" fontId="32" fillId="21" borderId="0" xfId="0" applyFont="1" applyFill="1" applyBorder="1" applyAlignment="1"/>
    <xf numFmtId="164" fontId="32" fillId="21" borderId="0" xfId="0" applyFont="1" applyFill="1" applyBorder="1" applyAlignment="1">
      <alignment horizontal="center"/>
    </xf>
    <xf numFmtId="164" fontId="32" fillId="21" borderId="10" xfId="0" applyFont="1" applyFill="1" applyBorder="1" applyAlignment="1"/>
    <xf numFmtId="164" fontId="136" fillId="21" borderId="22" xfId="0" applyFont="1" applyFill="1" applyBorder="1" applyAlignment="1"/>
    <xf numFmtId="164" fontId="32" fillId="21" borderId="22" xfId="0" applyFont="1" applyFill="1" applyBorder="1" applyAlignment="1">
      <alignment horizontal="center"/>
    </xf>
    <xf numFmtId="164" fontId="32" fillId="21" borderId="22" xfId="0" applyFont="1" applyFill="1" applyBorder="1" applyAlignment="1"/>
    <xf numFmtId="41" fontId="36" fillId="21" borderId="13" xfId="0" applyNumberFormat="1" applyFont="1" applyFill="1" applyBorder="1" applyAlignment="1"/>
    <xf numFmtId="41" fontId="32" fillId="21" borderId="10" xfId="147" applyNumberFormat="1" applyFont="1" applyFill="1" applyBorder="1" applyAlignment="1"/>
    <xf numFmtId="41" fontId="32" fillId="21" borderId="22" xfId="147" applyNumberFormat="1" applyFont="1" applyFill="1" applyBorder="1" applyAlignment="1"/>
    <xf numFmtId="41" fontId="32" fillId="21" borderId="11" xfId="147" applyNumberFormat="1" applyFont="1" applyFill="1" applyBorder="1" applyAlignment="1"/>
    <xf numFmtId="170" fontId="36" fillId="21" borderId="0" xfId="147" applyNumberFormat="1" applyFont="1" applyFill="1" applyBorder="1" applyAlignment="1"/>
    <xf numFmtId="170" fontId="36" fillId="21" borderId="0" xfId="147" applyNumberFormat="1" applyFont="1" applyFill="1" applyAlignment="1"/>
    <xf numFmtId="164" fontId="46" fillId="21" borderId="0" xfId="0" applyFont="1" applyFill="1"/>
    <xf numFmtId="168" fontId="36" fillId="21" borderId="0" xfId="9" applyNumberFormat="1" applyFont="1" applyFill="1" applyAlignment="1">
      <alignment horizontal="center"/>
    </xf>
    <xf numFmtId="168" fontId="36" fillId="21" borderId="22" xfId="9" applyNumberFormat="1" applyFont="1" applyFill="1" applyBorder="1" applyAlignment="1">
      <alignment horizontal="center"/>
    </xf>
    <xf numFmtId="164" fontId="36" fillId="21" borderId="22" xfId="0" applyFont="1" applyFill="1" applyBorder="1"/>
    <xf numFmtId="43" fontId="32" fillId="21" borderId="0" xfId="9" applyFont="1" applyFill="1"/>
    <xf numFmtId="49" fontId="36" fillId="21" borderId="0" xfId="9" applyNumberFormat="1" applyFont="1" applyFill="1"/>
    <xf numFmtId="10" fontId="36" fillId="21" borderId="0" xfId="148" applyNumberFormat="1" applyFont="1" applyFill="1" applyAlignment="1">
      <alignment horizontal="right"/>
    </xf>
    <xf numFmtId="10" fontId="36" fillId="21" borderId="0" xfId="148" applyNumberFormat="1" applyFont="1" applyFill="1"/>
    <xf numFmtId="43" fontId="36" fillId="21" borderId="0" xfId="9" applyFont="1" applyFill="1" applyAlignment="1">
      <alignment horizontal="right"/>
    </xf>
    <xf numFmtId="49" fontId="36" fillId="21" borderId="0" xfId="0" applyNumberFormat="1" applyFont="1" applyFill="1"/>
    <xf numFmtId="2" fontId="36" fillId="21" borderId="0" xfId="0" applyNumberFormat="1" applyFont="1" applyFill="1"/>
    <xf numFmtId="1" fontId="36" fillId="21" borderId="0" xfId="0" applyNumberFormat="1" applyFont="1" applyFill="1" applyAlignment="1">
      <alignment horizontal="center"/>
    </xf>
    <xf numFmtId="164" fontId="115" fillId="0" borderId="0" xfId="0" applyNumberFormat="1" applyFont="1" applyProtection="1"/>
    <xf numFmtId="41" fontId="29" fillId="0" borderId="0" xfId="147" applyNumberFormat="1" applyFont="1" applyFill="1" applyProtection="1"/>
    <xf numFmtId="41" fontId="29" fillId="0" borderId="0" xfId="147" applyNumberFormat="1" applyFont="1" applyProtection="1"/>
    <xf numFmtId="41" fontId="22" fillId="0" borderId="0" xfId="147" applyNumberFormat="1" applyFont="1" applyProtection="1"/>
    <xf numFmtId="41" fontId="22" fillId="0" borderId="0" xfId="0" applyNumberFormat="1" applyFont="1" applyProtection="1"/>
    <xf numFmtId="168" fontId="29" fillId="0" borderId="0" xfId="161" applyNumberFormat="1" applyFont="1" applyProtection="1"/>
    <xf numFmtId="168" fontId="22" fillId="0" borderId="0" xfId="161" applyNumberFormat="1" applyFont="1" applyProtection="1"/>
    <xf numFmtId="168" fontId="29" fillId="0" borderId="0" xfId="161" applyNumberFormat="1" applyFont="1" applyFill="1" applyProtection="1"/>
    <xf numFmtId="164" fontId="31" fillId="0" borderId="0" xfId="0" applyNumberFormat="1" applyFont="1" applyProtection="1"/>
    <xf numFmtId="164" fontId="29" fillId="0" borderId="0" xfId="0" applyNumberFormat="1" applyFont="1" applyProtection="1"/>
    <xf numFmtId="37" fontId="22" fillId="21" borderId="0" xfId="0" applyNumberFormat="1" applyFont="1" applyFill="1" applyProtection="1"/>
    <xf numFmtId="5" fontId="22" fillId="0" borderId="0" xfId="0" applyNumberFormat="1" applyFont="1" applyProtection="1"/>
    <xf numFmtId="164" fontId="23" fillId="0" borderId="0" xfId="0" applyNumberFormat="1" applyFont="1" applyAlignment="1" applyProtection="1">
      <alignment horizontal="left"/>
    </xf>
    <xf numFmtId="41" fontId="23" fillId="0" borderId="0" xfId="0" applyNumberFormat="1" applyFont="1" applyProtection="1"/>
    <xf numFmtId="5" fontId="23" fillId="0" borderId="0" xfId="0" applyNumberFormat="1" applyFont="1" applyProtection="1"/>
    <xf numFmtId="41" fontId="23" fillId="0" borderId="1" xfId="0" applyNumberFormat="1" applyFont="1" applyBorder="1" applyProtection="1"/>
    <xf numFmtId="164" fontId="31" fillId="21" borderId="0" xfId="0" applyNumberFormat="1" applyFont="1" applyFill="1" applyProtection="1"/>
    <xf numFmtId="164" fontId="23" fillId="21" borderId="0" xfId="0" applyNumberFormat="1" applyFont="1" applyFill="1" applyAlignment="1" applyProtection="1">
      <alignment horizontal="center" wrapText="1"/>
    </xf>
    <xf numFmtId="164" fontId="115" fillId="21" borderId="0" xfId="0" applyNumberFormat="1" applyFont="1" applyFill="1" applyAlignment="1" applyProtection="1">
      <alignment horizontal="center" wrapText="1"/>
    </xf>
    <xf numFmtId="164" fontId="23" fillId="21" borderId="0" xfId="0" quotePrefix="1" applyNumberFormat="1" applyFont="1" applyFill="1" applyAlignment="1" applyProtection="1">
      <alignment horizontal="center"/>
    </xf>
    <xf numFmtId="10" fontId="23" fillId="21" borderId="0" xfId="0" applyNumberFormat="1" applyFont="1" applyFill="1" applyAlignment="1" applyProtection="1">
      <alignment horizontal="center"/>
    </xf>
    <xf numFmtId="10" fontId="23" fillId="21" borderId="0" xfId="148" applyNumberFormat="1" applyFont="1" applyFill="1" applyAlignment="1" applyProtection="1">
      <alignment horizontal="center"/>
    </xf>
    <xf numFmtId="10" fontId="22" fillId="21" borderId="0" xfId="0" applyNumberFormat="1" applyFont="1" applyFill="1" applyProtection="1"/>
    <xf numFmtId="10" fontId="22" fillId="21" borderId="0" xfId="148" applyNumberFormat="1" applyFont="1" applyFill="1" applyProtection="1"/>
    <xf numFmtId="10" fontId="115" fillId="21" borderId="0" xfId="0" applyNumberFormat="1" applyFont="1" applyFill="1" applyAlignment="1" applyProtection="1">
      <alignment horizontal="center"/>
    </xf>
    <xf numFmtId="10" fontId="31" fillId="21" borderId="0" xfId="148" applyNumberFormat="1" applyFont="1" applyFill="1" applyAlignment="1" applyProtection="1">
      <alignment horizontal="center"/>
    </xf>
    <xf numFmtId="0" fontId="29" fillId="0" borderId="0" xfId="389" applyNumberFormat="1" applyFont="1" applyFill="1" applyBorder="1" applyAlignment="1" applyProtection="1">
      <alignment horizontal="center"/>
      <protection locked="0"/>
    </xf>
    <xf numFmtId="49" fontId="29" fillId="0" borderId="0" xfId="389" applyNumberFormat="1" applyFont="1" applyFill="1" applyBorder="1"/>
    <xf numFmtId="0" fontId="36" fillId="0" borderId="0" xfId="389" applyNumberFormat="1" applyFont="1" applyFill="1" applyBorder="1"/>
    <xf numFmtId="175" fontId="36" fillId="0" borderId="0" xfId="389" applyFont="1" applyFill="1" applyBorder="1" applyAlignment="1"/>
    <xf numFmtId="3" fontId="29" fillId="0" borderId="0" xfId="389" applyNumberFormat="1" applyFont="1" applyFill="1" applyBorder="1"/>
    <xf numFmtId="3" fontId="29" fillId="0" borderId="0" xfId="389" applyNumberFormat="1" applyFont="1" applyFill="1" applyBorder="1" applyAlignment="1"/>
    <xf numFmtId="3" fontId="36" fillId="0" borderId="0" xfId="389" applyNumberFormat="1" applyFont="1" applyFill="1" applyBorder="1" applyAlignment="1"/>
    <xf numFmtId="0" fontId="36" fillId="0" borderId="0" xfId="389" applyNumberFormat="1" applyFont="1" applyFill="1" applyBorder="1" applyAlignment="1">
      <alignment horizontal="center"/>
    </xf>
    <xf numFmtId="0" fontId="36" fillId="0" borderId="0" xfId="389" applyNumberFormat="1" applyFont="1" applyFill="1" applyBorder="1" applyAlignment="1"/>
    <xf numFmtId="175" fontId="100" fillId="0" borderId="0" xfId="389" applyFont="1" applyFill="1" applyBorder="1" applyAlignment="1">
      <alignment horizontal="center"/>
    </xf>
    <xf numFmtId="175" fontId="107" fillId="0" borderId="0" xfId="389" applyFont="1" applyFill="1" applyBorder="1" applyAlignment="1"/>
    <xf numFmtId="0" fontId="107" fillId="0" borderId="0" xfId="389" applyNumberFormat="1" applyFont="1" applyFill="1" applyBorder="1" applyAlignment="1"/>
    <xf numFmtId="0" fontId="100" fillId="0" borderId="0" xfId="389" applyNumberFormat="1" applyFont="1" applyFill="1" applyBorder="1" applyAlignment="1" applyProtection="1">
      <alignment horizontal="center"/>
      <protection locked="0"/>
    </xf>
    <xf numFmtId="0" fontId="32" fillId="0" borderId="0" xfId="389" applyNumberFormat="1" applyFont="1" applyFill="1" applyBorder="1" applyAlignment="1">
      <alignment horizontal="center"/>
    </xf>
    <xf numFmtId="0" fontId="29" fillId="0" borderId="0" xfId="389" applyNumberFormat="1" applyFont="1" applyFill="1" applyBorder="1" applyAlignment="1">
      <alignment horizontal="center"/>
    </xf>
    <xf numFmtId="49" fontId="29" fillId="0" borderId="0" xfId="389" applyNumberFormat="1" applyFont="1" applyFill="1" applyBorder="1" applyAlignment="1">
      <alignment horizontal="center"/>
    </xf>
    <xf numFmtId="49" fontId="36" fillId="0" borderId="0" xfId="389" applyNumberFormat="1" applyFont="1" applyFill="1" applyBorder="1" applyAlignment="1">
      <alignment horizontal="center"/>
    </xf>
    <xf numFmtId="0" fontId="31" fillId="0" borderId="0" xfId="389" applyNumberFormat="1" applyFont="1" applyFill="1" applyBorder="1" applyAlignment="1"/>
    <xf numFmtId="3" fontId="29" fillId="0" borderId="0" xfId="389" applyNumberFormat="1" applyFont="1" applyFill="1" applyBorder="1" applyAlignment="1">
      <alignment horizontal="center"/>
    </xf>
    <xf numFmtId="3" fontId="29" fillId="0" borderId="0" xfId="389" applyNumberFormat="1" applyFont="1" applyFill="1" applyBorder="1" applyAlignment="1">
      <alignment horizontal="left"/>
    </xf>
    <xf numFmtId="168" fontId="29" fillId="0" borderId="0" xfId="391" applyNumberFormat="1" applyFont="1" applyFill="1" applyBorder="1" applyAlignment="1"/>
    <xf numFmtId="168" fontId="29" fillId="0" borderId="0" xfId="9" applyNumberFormat="1" applyFont="1" applyFill="1" applyBorder="1" applyAlignment="1"/>
    <xf numFmtId="168" fontId="29" fillId="0" borderId="22" xfId="9" applyNumberFormat="1" applyFont="1" applyFill="1" applyBorder="1" applyAlignment="1"/>
    <xf numFmtId="179" fontId="29" fillId="0" borderId="0" xfId="161" applyNumberFormat="1" applyFont="1" applyFill="1" applyBorder="1" applyAlignment="1"/>
    <xf numFmtId="10" fontId="22" fillId="0" borderId="0" xfId="392" applyNumberFormat="1" applyFont="1" applyFill="1" applyBorder="1" applyAlignment="1"/>
    <xf numFmtId="10" fontId="32" fillId="0" borderId="0" xfId="389" applyNumberFormat="1" applyFont="1" applyFill="1" applyBorder="1" applyAlignment="1"/>
    <xf numFmtId="3" fontId="32" fillId="0" borderId="0" xfId="389" applyNumberFormat="1" applyFont="1" applyFill="1" applyBorder="1" applyAlignment="1"/>
    <xf numFmtId="176" fontId="32" fillId="0" borderId="0" xfId="389" applyNumberFormat="1" applyFont="1" applyFill="1" applyBorder="1" applyAlignment="1"/>
    <xf numFmtId="43" fontId="29" fillId="0" borderId="0" xfId="9" applyFont="1" applyFill="1" applyBorder="1" applyAlignment="1"/>
    <xf numFmtId="3" fontId="36" fillId="0" borderId="0" xfId="389" applyNumberFormat="1" applyFont="1" applyFill="1" applyBorder="1" applyAlignment="1">
      <alignment horizontal="center"/>
    </xf>
    <xf numFmtId="175" fontId="29" fillId="0" borderId="0" xfId="389" applyFont="1" applyFill="1" applyBorder="1" applyAlignment="1">
      <alignment horizontal="left"/>
    </xf>
    <xf numFmtId="175" fontId="29" fillId="0" borderId="0" xfId="389" applyFont="1" applyFill="1" applyBorder="1" applyAlignment="1">
      <alignment horizontal="center"/>
    </xf>
    <xf numFmtId="10" fontId="31" fillId="0" borderId="0" xfId="392" applyNumberFormat="1" applyFont="1" applyFill="1" applyBorder="1" applyAlignment="1"/>
    <xf numFmtId="0" fontId="36" fillId="0" borderId="0" xfId="389" applyNumberFormat="1" applyFont="1" applyFill="1" applyBorder="1" applyAlignment="1">
      <alignment horizontal="fill"/>
    </xf>
    <xf numFmtId="3" fontId="29" fillId="0" borderId="0" xfId="389" applyNumberFormat="1" applyFont="1" applyFill="1" applyBorder="1" applyAlignment="1">
      <alignment horizontal="right"/>
    </xf>
    <xf numFmtId="177" fontId="31" fillId="0" borderId="0" xfId="9" applyNumberFormat="1" applyFont="1" applyFill="1" applyBorder="1" applyAlignment="1"/>
    <xf numFmtId="43" fontId="31" fillId="0" borderId="0" xfId="9" applyFont="1" applyFill="1" applyBorder="1" applyAlignment="1"/>
    <xf numFmtId="179" fontId="98" fillId="0" borderId="0" xfId="161" applyNumberFormat="1" applyFont="1" applyFill="1" applyBorder="1" applyAlignment="1"/>
    <xf numFmtId="3" fontId="137" fillId="0" borderId="0" xfId="389" applyNumberFormat="1" applyFont="1" applyFill="1" applyBorder="1" applyAlignment="1"/>
    <xf numFmtId="175" fontId="41" fillId="0" borderId="0" xfId="389" applyFont="1" applyFill="1" applyBorder="1" applyAlignment="1"/>
    <xf numFmtId="166" fontId="36" fillId="0" borderId="0" xfId="389" applyNumberFormat="1" applyFont="1" applyFill="1" applyBorder="1" applyAlignment="1">
      <alignment horizontal="center"/>
    </xf>
    <xf numFmtId="166" fontId="29" fillId="0" borderId="0" xfId="389" applyNumberFormat="1" applyFont="1" applyFill="1" applyBorder="1" applyAlignment="1">
      <alignment horizontal="left"/>
    </xf>
    <xf numFmtId="166" fontId="29" fillId="0" borderId="0" xfId="389" applyNumberFormat="1" applyFont="1" applyFill="1" applyBorder="1" applyAlignment="1">
      <alignment horizontal="center"/>
    </xf>
    <xf numFmtId="0" fontId="137" fillId="0" borderId="0" xfId="389" applyNumberFormat="1" applyFont="1" applyFill="1" applyBorder="1"/>
    <xf numFmtId="0" fontId="41" fillId="0" borderId="0" xfId="389" applyNumberFormat="1" applyFont="1" applyFill="1" applyBorder="1"/>
    <xf numFmtId="175" fontId="137" fillId="0" borderId="0" xfId="389" applyFont="1" applyFill="1" applyBorder="1" applyAlignment="1"/>
    <xf numFmtId="3" fontId="31" fillId="0" borderId="0" xfId="389" applyNumberFormat="1" applyFont="1" applyFill="1" applyBorder="1" applyAlignment="1"/>
    <xf numFmtId="179" fontId="31" fillId="0" borderId="0" xfId="9" applyNumberFormat="1" applyFont="1" applyFill="1" applyBorder="1" applyAlignment="1"/>
    <xf numFmtId="175" fontId="29" fillId="0" borderId="0" xfId="389" applyFont="1" applyFill="1" applyBorder="1" applyAlignment="1">
      <alignment horizontal="right"/>
    </xf>
    <xf numFmtId="0" fontId="36" fillId="0" borderId="0" xfId="389" applyNumberFormat="1" applyFont="1" applyFill="1" applyBorder="1" applyAlignment="1" applyProtection="1">
      <alignment horizontal="center"/>
      <protection locked="0"/>
    </xf>
    <xf numFmtId="0" fontId="32" fillId="0" borderId="0" xfId="389" applyNumberFormat="1" applyFont="1" applyFill="1" applyBorder="1" applyAlignment="1"/>
    <xf numFmtId="173" fontId="32" fillId="0" borderId="0" xfId="389" applyNumberFormat="1" applyFont="1" applyFill="1" applyBorder="1" applyAlignment="1">
      <alignment horizontal="center"/>
    </xf>
    <xf numFmtId="173" fontId="32" fillId="0" borderId="0" xfId="389" quotePrefix="1" applyNumberFormat="1" applyFont="1" applyFill="1" applyBorder="1" applyAlignment="1">
      <alignment horizontal="center"/>
    </xf>
    <xf numFmtId="175" fontId="32" fillId="0" borderId="24" xfId="389" applyFont="1" applyFill="1" applyBorder="1" applyAlignment="1">
      <alignment horizontal="center" wrapText="1"/>
    </xf>
    <xf numFmtId="175" fontId="32" fillId="0" borderId="23" xfId="389" applyFont="1" applyFill="1" applyBorder="1" applyAlignment="1"/>
    <xf numFmtId="175" fontId="32" fillId="0" borderId="23" xfId="389" applyFont="1" applyFill="1" applyBorder="1" applyAlignment="1">
      <alignment horizontal="center" wrapText="1"/>
    </xf>
    <xf numFmtId="0" fontId="32" fillId="0" borderId="23" xfId="389" applyNumberFormat="1" applyFont="1" applyFill="1" applyBorder="1" applyAlignment="1">
      <alignment horizontal="center" wrapText="1"/>
    </xf>
    <xf numFmtId="0" fontId="32" fillId="0" borderId="26" xfId="389" applyNumberFormat="1" applyFont="1" applyFill="1" applyBorder="1" applyAlignment="1">
      <alignment horizontal="center" wrapText="1"/>
    </xf>
    <xf numFmtId="175" fontId="32" fillId="0" borderId="15" xfId="389" applyFont="1" applyFill="1" applyBorder="1" applyAlignment="1">
      <alignment horizontal="center" wrapText="1"/>
    </xf>
    <xf numFmtId="3" fontId="32" fillId="0" borderId="15" xfId="389" applyNumberFormat="1" applyFont="1" applyFill="1" applyBorder="1" applyAlignment="1">
      <alignment horizontal="center" wrapText="1"/>
    </xf>
    <xf numFmtId="0" fontId="36" fillId="0" borderId="25" xfId="389" applyNumberFormat="1" applyFont="1" applyFill="1" applyBorder="1"/>
    <xf numFmtId="0" fontId="36" fillId="0" borderId="26" xfId="389" applyNumberFormat="1" applyFont="1" applyFill="1" applyBorder="1"/>
    <xf numFmtId="0" fontId="36" fillId="0" borderId="26" xfId="389" applyNumberFormat="1" applyFont="1" applyFill="1" applyBorder="1" applyAlignment="1">
      <alignment wrapText="1"/>
    </xf>
    <xf numFmtId="0" fontId="36" fillId="0" borderId="26" xfId="389" applyNumberFormat="1" applyFont="1" applyFill="1" applyBorder="1" applyAlignment="1">
      <alignment horizontal="center" wrapText="1"/>
    </xf>
    <xf numFmtId="175" fontId="36" fillId="0" borderId="26" xfId="389" applyFont="1" applyFill="1" applyBorder="1" applyAlignment="1">
      <alignment wrapText="1"/>
    </xf>
    <xf numFmtId="0" fontId="36" fillId="0" borderId="15" xfId="389" applyNumberFormat="1" applyFont="1" applyFill="1" applyBorder="1" applyAlignment="1">
      <alignment horizontal="center" wrapText="1"/>
    </xf>
    <xf numFmtId="3" fontId="36" fillId="0" borderId="15" xfId="389" applyNumberFormat="1" applyFont="1" applyFill="1" applyBorder="1" applyAlignment="1">
      <alignment horizontal="center" wrapText="1"/>
    </xf>
    <xf numFmtId="3" fontId="36" fillId="0" borderId="26" xfId="389" applyNumberFormat="1" applyFont="1" applyFill="1" applyBorder="1" applyAlignment="1">
      <alignment horizontal="center" wrapText="1"/>
    </xf>
    <xf numFmtId="0" fontId="36" fillId="0" borderId="24" xfId="389" applyNumberFormat="1" applyFont="1" applyFill="1" applyBorder="1"/>
    <xf numFmtId="0" fontId="36" fillId="0" borderId="23" xfId="389" applyNumberFormat="1" applyFont="1" applyFill="1" applyBorder="1"/>
    <xf numFmtId="175" fontId="36" fillId="0" borderId="23" xfId="389" applyFont="1" applyFill="1" applyBorder="1" applyAlignment="1"/>
    <xf numFmtId="0" fontId="36" fillId="0" borderId="28" xfId="389" applyNumberFormat="1" applyFont="1" applyFill="1" applyBorder="1"/>
    <xf numFmtId="3" fontId="36" fillId="0" borderId="23" xfId="389" applyNumberFormat="1" applyFont="1" applyFill="1" applyBorder="1" applyAlignment="1"/>
    <xf numFmtId="3" fontId="36" fillId="0" borderId="28" xfId="389" applyNumberFormat="1" applyFont="1" applyFill="1" applyBorder="1" applyAlignment="1"/>
    <xf numFmtId="175" fontId="36" fillId="0" borderId="12" xfId="393" applyFont="1" applyFill="1" applyBorder="1" applyAlignment="1"/>
    <xf numFmtId="175" fontId="36" fillId="0" borderId="0" xfId="393" applyFont="1" applyFill="1" applyBorder="1" applyAlignment="1"/>
    <xf numFmtId="43" fontId="36" fillId="0" borderId="0" xfId="9" applyFont="1" applyFill="1" applyBorder="1" applyAlignment="1"/>
    <xf numFmtId="43" fontId="36" fillId="5" borderId="0" xfId="9" applyFont="1" applyFill="1" applyBorder="1" applyAlignment="1"/>
    <xf numFmtId="168" fontId="36" fillId="39" borderId="0" xfId="9" applyNumberFormat="1" applyFont="1" applyFill="1" applyBorder="1" applyAlignment="1"/>
    <xf numFmtId="179" fontId="36" fillId="0" borderId="0" xfId="9" applyNumberFormat="1" applyFont="1" applyFill="1" applyBorder="1" applyAlignment="1"/>
    <xf numFmtId="168" fontId="36" fillId="0" borderId="0" xfId="9" applyNumberFormat="1" applyFont="1" applyFill="1" applyBorder="1" applyAlignment="1"/>
    <xf numFmtId="168" fontId="36" fillId="0" borderId="29" xfId="9" applyNumberFormat="1" applyFont="1" applyFill="1" applyBorder="1" applyAlignment="1"/>
    <xf numFmtId="180" fontId="36" fillId="5" borderId="0" xfId="9" applyNumberFormat="1" applyFont="1" applyFill="1" applyBorder="1" applyAlignment="1"/>
    <xf numFmtId="43" fontId="36" fillId="0" borderId="0" xfId="9" applyNumberFormat="1" applyFont="1" applyFill="1" applyBorder="1" applyAlignment="1"/>
    <xf numFmtId="168" fontId="36" fillId="5" borderId="0" xfId="9" applyNumberFormat="1" applyFont="1" applyFill="1" applyBorder="1" applyAlignment="1"/>
    <xf numFmtId="168" fontId="36" fillId="5" borderId="29" xfId="9" applyNumberFormat="1" applyFont="1" applyFill="1" applyBorder="1" applyAlignment="1"/>
    <xf numFmtId="43" fontId="36" fillId="0" borderId="29" xfId="9" applyFont="1" applyFill="1" applyBorder="1" applyAlignment="1"/>
    <xf numFmtId="175" fontId="36" fillId="0" borderId="12" xfId="389" applyFont="1" applyFill="1" applyBorder="1" applyAlignment="1"/>
    <xf numFmtId="175" fontId="36" fillId="0" borderId="10" xfId="389" applyFont="1" applyFill="1" applyBorder="1" applyAlignment="1"/>
    <xf numFmtId="175" fontId="36" fillId="0" borderId="22" xfId="389" applyFont="1" applyFill="1" applyBorder="1" applyAlignment="1"/>
    <xf numFmtId="10" fontId="36" fillId="0" borderId="22" xfId="9" applyNumberFormat="1" applyFont="1" applyFill="1" applyBorder="1" applyAlignment="1"/>
    <xf numFmtId="168" fontId="36" fillId="0" borderId="22" xfId="9" applyNumberFormat="1" applyFont="1" applyFill="1" applyBorder="1" applyAlignment="1"/>
    <xf numFmtId="175" fontId="36" fillId="0" borderId="30" xfId="389" applyFont="1" applyFill="1" applyBorder="1" applyAlignment="1"/>
    <xf numFmtId="43" fontId="36" fillId="0" borderId="30" xfId="9" applyFont="1" applyFill="1" applyBorder="1" applyAlignment="1"/>
    <xf numFmtId="175" fontId="138" fillId="0" borderId="30" xfId="389" applyFont="1" applyFill="1" applyBorder="1" applyAlignment="1"/>
    <xf numFmtId="175" fontId="138" fillId="0" borderId="22" xfId="389" applyFont="1" applyFill="1" applyBorder="1" applyAlignment="1"/>
    <xf numFmtId="168" fontId="36" fillId="0" borderId="30" xfId="9" applyNumberFormat="1" applyFont="1" applyFill="1" applyBorder="1" applyAlignment="1"/>
    <xf numFmtId="168" fontId="36" fillId="0" borderId="0" xfId="9" applyNumberFormat="1" applyFont="1" applyFill="1" applyBorder="1" applyAlignment="1">
      <alignment horizontal="center"/>
    </xf>
    <xf numFmtId="167" fontId="36" fillId="0" borderId="0" xfId="389" applyNumberFormat="1" applyFont="1" applyFill="1" applyBorder="1" applyAlignment="1"/>
    <xf numFmtId="1" fontId="36" fillId="0" borderId="0" xfId="9" applyNumberFormat="1" applyFont="1" applyFill="1" applyBorder="1" applyAlignment="1">
      <alignment horizontal="center"/>
    </xf>
    <xf numFmtId="168" fontId="36" fillId="0" borderId="0" xfId="161" applyNumberFormat="1" applyFont="1" applyFill="1" applyBorder="1" applyAlignment="1"/>
    <xf numFmtId="175" fontId="36" fillId="0" borderId="4" xfId="389" applyFont="1" applyFill="1" applyBorder="1" applyAlignment="1"/>
    <xf numFmtId="175" fontId="36" fillId="0" borderId="0" xfId="389" applyFont="1" applyFill="1" applyBorder="1" applyAlignment="1">
      <alignment horizontal="center" vertical="top"/>
    </xf>
    <xf numFmtId="175" fontId="36" fillId="0" borderId="0" xfId="389" applyFont="1" applyFill="1" applyBorder="1" applyAlignment="1">
      <alignment horizontal="center"/>
    </xf>
    <xf numFmtId="175" fontId="36" fillId="0" borderId="0" xfId="389" applyFont="1" applyFill="1" applyBorder="1" applyAlignment="1">
      <alignment horizontal="left"/>
    </xf>
    <xf numFmtId="175" fontId="36" fillId="0" borderId="0" xfId="393" applyFont="1" applyFill="1" applyBorder="1" applyAlignment="1">
      <alignment vertical="top" wrapText="1"/>
    </xf>
    <xf numFmtId="175" fontId="29" fillId="0" borderId="0" xfId="389" applyFont="1" applyFill="1" applyAlignment="1"/>
    <xf numFmtId="167" fontId="29" fillId="0" borderId="0" xfId="389" applyNumberFormat="1" applyFont="1" applyAlignment="1"/>
    <xf numFmtId="3" fontId="29" fillId="0" borderId="4" xfId="394" applyNumberFormat="1" applyFont="1" applyBorder="1" applyAlignment="1">
      <alignment horizontal="center"/>
    </xf>
    <xf numFmtId="168" fontId="29" fillId="0" borderId="0" xfId="9" applyNumberFormat="1" applyFont="1" applyAlignment="1"/>
    <xf numFmtId="168" fontId="29" fillId="0" borderId="0" xfId="9" applyNumberFormat="1" applyFont="1" applyAlignment="1" applyProtection="1">
      <alignment horizontal="center"/>
      <protection locked="0"/>
    </xf>
    <xf numFmtId="0" fontId="29" fillId="0" borderId="0" xfId="394" applyNumberFormat="1" applyFont="1" applyFill="1" applyAlignment="1" applyProtection="1">
      <protection locked="0"/>
    </xf>
    <xf numFmtId="3" fontId="29" fillId="0" borderId="0" xfId="394" applyNumberFormat="1" applyFont="1" applyFill="1" applyAlignment="1"/>
    <xf numFmtId="3" fontId="29" fillId="0" borderId="0" xfId="394" applyNumberFormat="1" applyFont="1" applyAlignment="1"/>
    <xf numFmtId="0" fontId="29" fillId="0" borderId="0" xfId="394" applyNumberFormat="1" applyFont="1" applyFill="1" applyAlignment="1"/>
    <xf numFmtId="3" fontId="29" fillId="0" borderId="0" xfId="394" applyNumberFormat="1" applyFont="1" applyAlignment="1">
      <alignment horizontal="center"/>
    </xf>
    <xf numFmtId="3" fontId="31" fillId="0" borderId="0" xfId="394" applyNumberFormat="1" applyFont="1" applyAlignment="1">
      <alignment horizontal="center"/>
    </xf>
    <xf numFmtId="0" fontId="31" fillId="0" borderId="4" xfId="394" applyNumberFormat="1" applyFont="1" applyBorder="1" applyAlignment="1" applyProtection="1">
      <alignment horizontal="center"/>
      <protection locked="0"/>
    </xf>
    <xf numFmtId="175" fontId="29" fillId="0" borderId="0" xfId="394" applyFont="1" applyFill="1" applyAlignment="1"/>
    <xf numFmtId="43" fontId="29" fillId="0" borderId="0" xfId="9" applyFont="1" applyFill="1" applyAlignment="1"/>
    <xf numFmtId="175" fontId="29" fillId="0" borderId="0" xfId="394" applyFont="1" applyFill="1" applyAlignment="1">
      <alignment wrapText="1"/>
    </xf>
    <xf numFmtId="175" fontId="29" fillId="0" borderId="0" xfId="394" applyFont="1" applyAlignment="1"/>
    <xf numFmtId="178" fontId="29" fillId="0" borderId="0" xfId="394" applyNumberFormat="1" applyFont="1" applyAlignment="1"/>
    <xf numFmtId="168" fontId="29" fillId="0" borderId="0" xfId="391" applyNumberFormat="1" applyFont="1" applyAlignment="1"/>
    <xf numFmtId="168" fontId="29" fillId="0" borderId="0" xfId="391" applyNumberFormat="1" applyFont="1" applyAlignment="1">
      <alignment horizontal="left" indent="2"/>
    </xf>
    <xf numFmtId="168" fontId="29" fillId="0" borderId="0" xfId="9" applyNumberFormat="1" applyFont="1" applyAlignment="1">
      <alignment horizontal="center"/>
    </xf>
    <xf numFmtId="175" fontId="36" fillId="0" borderId="50" xfId="389" quotePrefix="1" applyFont="1" applyBorder="1" applyAlignment="1">
      <alignment horizontal="center"/>
    </xf>
    <xf numFmtId="175" fontId="29" fillId="0" borderId="0" xfId="389" applyFont="1" applyBorder="1" applyAlignment="1">
      <alignment horizontal="center"/>
    </xf>
    <xf numFmtId="175" fontId="36" fillId="0" borderId="12" xfId="389" applyFont="1" applyBorder="1"/>
    <xf numFmtId="175" fontId="36" fillId="0" borderId="0" xfId="389" applyFont="1" applyBorder="1"/>
    <xf numFmtId="175" fontId="36" fillId="0" borderId="0" xfId="389" applyFont="1" applyBorder="1" applyAlignment="1">
      <alignment horizontal="center"/>
    </xf>
    <xf numFmtId="175" fontId="36" fillId="0" borderId="13" xfId="389" applyFont="1" applyBorder="1"/>
    <xf numFmtId="175" fontId="36" fillId="0" borderId="13" xfId="389" applyFont="1" applyBorder="1" applyAlignment="1">
      <alignment horizontal="center"/>
    </xf>
    <xf numFmtId="175" fontId="36" fillId="0" borderId="12" xfId="389" applyFont="1" applyBorder="1" applyAlignment="1">
      <alignment horizontal="center"/>
    </xf>
    <xf numFmtId="175" fontId="36" fillId="0" borderId="0" xfId="389" applyFont="1" applyBorder="1" applyAlignment="1">
      <alignment horizontal="center" wrapText="1"/>
    </xf>
    <xf numFmtId="175" fontId="36" fillId="0" borderId="10" xfId="389" applyFont="1" applyBorder="1" applyAlignment="1">
      <alignment horizontal="center"/>
    </xf>
    <xf numFmtId="175" fontId="36" fillId="0" borderId="22" xfId="389" applyFont="1" applyBorder="1" applyAlignment="1">
      <alignment horizontal="center"/>
    </xf>
    <xf numFmtId="175" fontId="36" fillId="0" borderId="11" xfId="389" applyFont="1" applyBorder="1" applyAlignment="1">
      <alignment horizontal="center"/>
    </xf>
    <xf numFmtId="175" fontId="36" fillId="0" borderId="10" xfId="389" applyFont="1" applyBorder="1"/>
    <xf numFmtId="175" fontId="36" fillId="0" borderId="22" xfId="389" applyFont="1" applyBorder="1"/>
    <xf numFmtId="175" fontId="36" fillId="0" borderId="22" xfId="389" applyFont="1" applyFill="1" applyBorder="1" applyAlignment="1">
      <alignment wrapText="1"/>
    </xf>
    <xf numFmtId="175" fontId="36" fillId="0" borderId="22" xfId="389" applyFont="1" applyFill="1" applyBorder="1" applyAlignment="1">
      <alignment horizontal="center" wrapText="1"/>
    </xf>
    <xf numFmtId="175" fontId="36" fillId="0" borderId="22" xfId="389" applyFont="1" applyFill="1" applyBorder="1" applyAlignment="1">
      <alignment horizontal="center"/>
    </xf>
    <xf numFmtId="175" fontId="36" fillId="0" borderId="11" xfId="389" applyFont="1" applyFill="1" applyBorder="1" applyAlignment="1">
      <alignment horizontal="center"/>
    </xf>
    <xf numFmtId="175" fontId="36" fillId="0" borderId="51" xfId="389" applyFont="1" applyBorder="1"/>
    <xf numFmtId="175" fontId="36" fillId="0" borderId="52" xfId="389" applyFont="1" applyBorder="1"/>
    <xf numFmtId="175" fontId="36" fillId="0" borderId="53" xfId="389" applyFont="1" applyBorder="1"/>
    <xf numFmtId="168" fontId="36" fillId="0" borderId="12" xfId="9" applyNumberFormat="1" applyFont="1" applyBorder="1" applyAlignment="1">
      <alignment horizontal="right"/>
    </xf>
    <xf numFmtId="168" fontId="36" fillId="39" borderId="0" xfId="9" applyNumberFormat="1" applyFont="1" applyFill="1" applyBorder="1"/>
    <xf numFmtId="168" fontId="36" fillId="0" borderId="0" xfId="9" applyNumberFormat="1" applyFont="1" applyFill="1" applyBorder="1"/>
    <xf numFmtId="168" fontId="36" fillId="0" borderId="13" xfId="9" applyNumberFormat="1" applyFont="1" applyFill="1" applyBorder="1"/>
    <xf numFmtId="175" fontId="36" fillId="0" borderId="12" xfId="389" applyFont="1" applyBorder="1" applyAlignment="1">
      <alignment horizontal="right"/>
    </xf>
    <xf numFmtId="43" fontId="36" fillId="39" borderId="0" xfId="9" applyFont="1" applyFill="1" applyBorder="1"/>
    <xf numFmtId="168" fontId="127" fillId="39" borderId="0" xfId="9" applyNumberFormat="1" applyFont="1" applyFill="1" applyBorder="1"/>
    <xf numFmtId="175" fontId="36" fillId="39" borderId="0" xfId="389" applyFont="1" applyFill="1" applyBorder="1"/>
    <xf numFmtId="175" fontId="36" fillId="0" borderId="11" xfId="389" applyFont="1" applyBorder="1"/>
    <xf numFmtId="168" fontId="36" fillId="0" borderId="0" xfId="9" applyNumberFormat="1" applyFont="1" applyAlignment="1">
      <alignment horizontal="center"/>
    </xf>
    <xf numFmtId="175" fontId="36" fillId="0" borderId="0" xfId="389" applyFont="1"/>
    <xf numFmtId="170" fontId="36" fillId="0" borderId="0" xfId="397" applyNumberFormat="1" applyFont="1"/>
    <xf numFmtId="168" fontId="36" fillId="0" borderId="0" xfId="9" applyNumberFormat="1" applyFont="1"/>
    <xf numFmtId="43" fontId="36" fillId="0" borderId="0" xfId="391" applyFont="1"/>
    <xf numFmtId="175" fontId="29" fillId="0" borderId="0" xfId="389" applyFont="1"/>
    <xf numFmtId="43" fontId="36" fillId="0" borderId="0" xfId="9" applyFont="1"/>
    <xf numFmtId="175" fontId="32" fillId="0" borderId="0" xfId="389" applyFont="1" applyFill="1" applyBorder="1" applyAlignment="1"/>
    <xf numFmtId="1" fontId="36" fillId="0" borderId="0" xfId="389" applyNumberFormat="1" applyFont="1" applyAlignment="1">
      <alignment horizontal="left"/>
    </xf>
    <xf numFmtId="175" fontId="36" fillId="0" borderId="0" xfId="389" quotePrefix="1" applyFont="1" applyAlignment="1">
      <alignment horizontal="left"/>
    </xf>
    <xf numFmtId="175" fontId="36" fillId="0" borderId="0" xfId="389" applyFont="1" applyAlignment="1">
      <alignment horizontal="center"/>
    </xf>
    <xf numFmtId="175" fontId="36" fillId="0" borderId="0" xfId="389" applyFont="1" applyAlignment="1">
      <alignment horizontal="center" wrapText="1"/>
    </xf>
    <xf numFmtId="175" fontId="36" fillId="0" borderId="0" xfId="389" applyFont="1" applyAlignment="1"/>
    <xf numFmtId="175" fontId="36" fillId="0" borderId="0" xfId="389" quotePrefix="1" applyFont="1" applyFill="1" applyAlignment="1">
      <alignment horizontal="left"/>
    </xf>
    <xf numFmtId="43" fontId="36" fillId="0" borderId="0" xfId="9" applyFont="1" applyAlignment="1"/>
    <xf numFmtId="175" fontId="36" fillId="0" borderId="0" xfId="389" quotePrefix="1" applyFont="1" applyBorder="1" applyAlignment="1">
      <alignment horizontal="left"/>
    </xf>
    <xf numFmtId="175" fontId="36" fillId="0" borderId="0" xfId="389" applyFont="1" applyFill="1" applyAlignment="1">
      <alignment horizontal="left"/>
    </xf>
    <xf numFmtId="175" fontId="36" fillId="0" borderId="0" xfId="389" applyFont="1" applyBorder="1" applyAlignment="1"/>
    <xf numFmtId="43" fontId="36" fillId="0" borderId="0" xfId="9" applyFont="1" applyBorder="1" applyAlignment="1"/>
    <xf numFmtId="175" fontId="32" fillId="0" borderId="0" xfId="389" applyFont="1" applyAlignment="1"/>
    <xf numFmtId="168" fontId="36" fillId="0" borderId="46" xfId="9" applyNumberFormat="1" applyFont="1" applyBorder="1" applyAlignment="1">
      <alignment horizontal="center"/>
    </xf>
    <xf numFmtId="175" fontId="36" fillId="0" borderId="46" xfId="389" applyFont="1" applyBorder="1" applyAlignment="1">
      <alignment horizontal="center"/>
    </xf>
    <xf numFmtId="168" fontId="36" fillId="0" borderId="29" xfId="9" applyNumberFormat="1" applyFont="1" applyFill="1" applyBorder="1" applyAlignment="1">
      <alignment horizontal="center"/>
    </xf>
    <xf numFmtId="175" fontId="36" fillId="0" borderId="29" xfId="389" applyFont="1" applyBorder="1" applyAlignment="1">
      <alignment horizontal="center"/>
    </xf>
    <xf numFmtId="175" fontId="36" fillId="0" borderId="29" xfId="389" applyFont="1" applyFill="1" applyBorder="1" applyAlignment="1">
      <alignment horizontal="center"/>
    </xf>
    <xf numFmtId="43" fontId="36" fillId="39" borderId="29" xfId="9" applyFont="1" applyFill="1" applyBorder="1" applyAlignment="1"/>
    <xf numFmtId="168" fontId="36" fillId="0" borderId="29" xfId="9" applyNumberFormat="1" applyFont="1" applyBorder="1" applyAlignment="1"/>
    <xf numFmtId="168" fontId="36" fillId="39" borderId="29" xfId="9" applyNumberFormat="1" applyFont="1" applyFill="1" applyBorder="1" applyAlignment="1"/>
    <xf numFmtId="175" fontId="36" fillId="39" borderId="29" xfId="389" applyFont="1" applyFill="1" applyBorder="1" applyAlignment="1"/>
    <xf numFmtId="175" fontId="36" fillId="39" borderId="29" xfId="389" applyFont="1" applyFill="1" applyBorder="1" applyAlignment="1">
      <alignment horizontal="right"/>
    </xf>
    <xf numFmtId="175" fontId="36" fillId="39" borderId="30" xfId="389" applyFont="1" applyFill="1" applyBorder="1" applyAlignment="1">
      <alignment horizontal="right"/>
    </xf>
    <xf numFmtId="175" fontId="36" fillId="39" borderId="30" xfId="389" applyFont="1" applyFill="1" applyBorder="1" applyAlignment="1"/>
    <xf numFmtId="168" fontId="36" fillId="0" borderId="30" xfId="9" applyNumberFormat="1" applyFont="1" applyBorder="1" applyAlignment="1"/>
    <xf numFmtId="1" fontId="36" fillId="0" borderId="0" xfId="389" quotePrefix="1" applyNumberFormat="1" applyFont="1" applyFill="1" applyAlignment="1">
      <alignment horizontal="left"/>
    </xf>
    <xf numFmtId="168" fontId="36" fillId="0" borderId="0" xfId="9" applyNumberFormat="1" applyFont="1" applyAlignment="1"/>
    <xf numFmtId="0" fontId="36" fillId="0" borderId="0" xfId="398" applyFont="1"/>
    <xf numFmtId="0" fontId="36" fillId="0" borderId="0" xfId="389" applyNumberFormat="1" applyFont="1" applyFill="1" applyAlignment="1">
      <alignment horizontal="center" vertical="top"/>
    </xf>
    <xf numFmtId="164" fontId="132" fillId="0" borderId="0" xfId="0" applyNumberFormat="1" applyFont="1" applyAlignment="1" applyProtection="1">
      <alignment horizontal="left"/>
    </xf>
    <xf numFmtId="164" fontId="115" fillId="0" borderId="0" xfId="0" applyNumberFormat="1" applyFont="1" applyAlignment="1" applyProtection="1">
      <alignment horizontal="left"/>
    </xf>
    <xf numFmtId="164" fontId="22" fillId="0" borderId="0" xfId="0" applyNumberFormat="1" applyFont="1" applyAlignment="1" applyProtection="1">
      <alignment horizontal="left"/>
    </xf>
    <xf numFmtId="168" fontId="29" fillId="0" borderId="0" xfId="161" applyNumberFormat="1" applyFont="1"/>
    <xf numFmtId="164" fontId="107" fillId="0" borderId="0" xfId="0" applyFont="1"/>
    <xf numFmtId="168" fontId="36" fillId="0" borderId="0" xfId="161" applyNumberFormat="1" applyFont="1"/>
    <xf numFmtId="0" fontId="29" fillId="0" borderId="0" xfId="399" applyNumberFormat="1" applyFont="1" applyAlignment="1"/>
    <xf numFmtId="0" fontId="29" fillId="0" borderId="0" xfId="399" applyNumberFormat="1" applyFont="1" applyBorder="1" applyAlignment="1"/>
    <xf numFmtId="0" fontId="29" fillId="0" borderId="0" xfId="399" applyNumberFormat="1" applyFont="1" applyAlignment="1" applyProtection="1">
      <alignment horizontal="center"/>
      <protection locked="0"/>
    </xf>
    <xf numFmtId="0" fontId="31" fillId="0" borderId="0" xfId="399" applyNumberFormat="1" applyFont="1" applyAlignment="1"/>
    <xf numFmtId="0" fontId="31" fillId="21" borderId="0" xfId="8" quotePrefix="1" applyFont="1" applyFill="1" applyBorder="1" applyAlignment="1">
      <alignment horizontal="center"/>
    </xf>
    <xf numFmtId="3" fontId="36" fillId="39" borderId="0" xfId="8" applyNumberFormat="1" applyFont="1" applyFill="1"/>
    <xf numFmtId="41" fontId="32" fillId="21" borderId="0" xfId="8" applyNumberFormat="1" applyFont="1" applyFill="1"/>
    <xf numFmtId="41" fontId="32" fillId="21" borderId="6" xfId="147" applyNumberFormat="1" applyFont="1" applyFill="1" applyBorder="1"/>
    <xf numFmtId="41" fontId="36" fillId="21" borderId="0" xfId="8" applyNumberFormat="1" applyFont="1" applyFill="1"/>
    <xf numFmtId="168" fontId="36" fillId="21" borderId="0" xfId="9" applyNumberFormat="1" applyFont="1" applyFill="1"/>
    <xf numFmtId="3" fontId="36" fillId="39" borderId="0" xfId="9" applyNumberFormat="1" applyFont="1" applyFill="1"/>
    <xf numFmtId="170" fontId="36" fillId="21" borderId="0" xfId="147" applyNumberFormat="1" applyFont="1" applyFill="1"/>
    <xf numFmtId="41" fontId="31" fillId="21" borderId="0" xfId="147" applyNumberFormat="1" applyFont="1" applyFill="1" applyBorder="1"/>
    <xf numFmtId="168" fontId="29" fillId="21" borderId="0" xfId="8" applyNumberFormat="1" applyFont="1" applyFill="1"/>
    <xf numFmtId="164" fontId="31" fillId="21" borderId="0" xfId="0" applyFont="1" applyFill="1" applyBorder="1" applyProtection="1">
      <protection locked="0"/>
    </xf>
    <xf numFmtId="0" fontId="29" fillId="21" borderId="0" xfId="399" applyNumberFormat="1" applyFont="1" applyFill="1"/>
    <xf numFmtId="164" fontId="22" fillId="0" borderId="0" xfId="0" applyNumberFormat="1" applyFont="1" applyFill="1" applyAlignment="1" applyProtection="1">
      <alignment horizontal="right"/>
    </xf>
    <xf numFmtId="14" fontId="29" fillId="39" borderId="0" xfId="0" applyNumberFormat="1" applyFont="1" applyFill="1" applyBorder="1" applyAlignment="1">
      <alignment horizontal="center" wrapText="1"/>
    </xf>
    <xf numFmtId="0" fontId="31" fillId="21" borderId="0" xfId="61" applyFont="1" applyFill="1" applyAlignment="1">
      <alignment horizontal="left"/>
    </xf>
    <xf numFmtId="0" fontId="31" fillId="39" borderId="0" xfId="61" applyFont="1" applyFill="1" applyBorder="1" applyAlignment="1"/>
    <xf numFmtId="0" fontId="31" fillId="39" borderId="56" xfId="8" applyFont="1" applyFill="1" applyBorder="1" applyAlignment="1">
      <alignment horizontal="left"/>
    </xf>
    <xf numFmtId="0" fontId="31" fillId="39" borderId="56" xfId="8" applyFont="1" applyFill="1" applyBorder="1" applyAlignment="1">
      <alignment horizontal="center"/>
    </xf>
    <xf numFmtId="0" fontId="31" fillId="21" borderId="0" xfId="6" applyFont="1" applyFill="1" applyAlignment="1"/>
    <xf numFmtId="164" fontId="23" fillId="21" borderId="0" xfId="0" applyNumberFormat="1" applyFont="1" applyFill="1" applyAlignment="1" applyProtection="1">
      <alignment horizontal="center"/>
    </xf>
    <xf numFmtId="164" fontId="22" fillId="21" borderId="0" xfId="0" quotePrefix="1" applyNumberFormat="1" applyFont="1" applyFill="1" applyProtection="1"/>
    <xf numFmtId="164" fontId="23" fillId="0" borderId="0" xfId="0" applyNumberFormat="1" applyFont="1" applyAlignment="1" applyProtection="1">
      <alignment horizontal="left" indent="1"/>
    </xf>
    <xf numFmtId="164" fontId="31" fillId="0" borderId="0" xfId="0" applyNumberFormat="1" applyFont="1" applyAlignment="1" applyProtection="1">
      <alignment horizontal="left" indent="1"/>
    </xf>
    <xf numFmtId="164" fontId="132" fillId="21" borderId="0" xfId="0" applyNumberFormat="1" applyFont="1" applyFill="1" applyAlignment="1" applyProtection="1">
      <alignment horizontal="center"/>
    </xf>
    <xf numFmtId="175" fontId="36" fillId="0" borderId="0" xfId="389" applyFont="1" applyFill="1" applyBorder="1" applyAlignment="1">
      <alignment horizontal="left" indent="1"/>
    </xf>
    <xf numFmtId="164" fontId="29" fillId="39" borderId="0" xfId="0" applyFont="1" applyFill="1" applyAlignment="1">
      <alignment wrapText="1"/>
    </xf>
    <xf numFmtId="164" fontId="29" fillId="39" borderId="0" xfId="193" applyFont="1" applyFill="1" applyAlignment="1">
      <alignment wrapText="1"/>
    </xf>
    <xf numFmtId="43" fontId="29" fillId="21" borderId="0" xfId="161" applyFont="1" applyFill="1" applyBorder="1" applyAlignment="1">
      <alignment horizontal="center"/>
    </xf>
    <xf numFmtId="43" fontId="22" fillId="0" borderId="0" xfId="161" applyFont="1" applyAlignment="1" applyProtection="1">
      <alignment horizontal="right"/>
    </xf>
    <xf numFmtId="43" fontId="36" fillId="0" borderId="0" xfId="161" applyFont="1" applyAlignment="1">
      <alignment horizontal="right"/>
    </xf>
    <xf numFmtId="168" fontId="29" fillId="21" borderId="0" xfId="161" applyNumberFormat="1" applyFont="1" applyFill="1" applyBorder="1" applyAlignment="1">
      <alignment horizontal="left"/>
    </xf>
    <xf numFmtId="171" fontId="29" fillId="21" borderId="0" xfId="148" applyNumberFormat="1" applyFont="1" applyFill="1" applyBorder="1" applyAlignment="1">
      <alignment horizontal="right"/>
    </xf>
    <xf numFmtId="168" fontId="23" fillId="0" borderId="0" xfId="161" applyNumberFormat="1" applyFont="1" applyBorder="1" applyAlignment="1" applyProtection="1">
      <alignment horizontal="right"/>
    </xf>
    <xf numFmtId="169" fontId="31" fillId="21" borderId="0" xfId="0" applyNumberFormat="1" applyFont="1" applyFill="1"/>
    <xf numFmtId="168" fontId="23" fillId="0" borderId="16" xfId="161" applyNumberFormat="1" applyFont="1" applyBorder="1" applyProtection="1"/>
    <xf numFmtId="168" fontId="29" fillId="0" borderId="16" xfId="161" applyNumberFormat="1" applyFont="1" applyBorder="1"/>
    <xf numFmtId="168" fontId="23" fillId="0" borderId="58" xfId="161" applyNumberFormat="1" applyFont="1" applyBorder="1" applyProtection="1"/>
    <xf numFmtId="168" fontId="31" fillId="0" borderId="17" xfId="161" applyNumberFormat="1" applyFont="1" applyBorder="1"/>
    <xf numFmtId="164" fontId="23" fillId="0" borderId="0" xfId="0" applyNumberFormat="1" applyFont="1" applyAlignment="1" applyProtection="1">
      <alignment horizontal="center"/>
    </xf>
    <xf numFmtId="168" fontId="111" fillId="21" borderId="0" xfId="161" applyNumberFormat="1" applyFont="1" applyFill="1" applyBorder="1" applyAlignment="1">
      <alignment horizontal="left"/>
    </xf>
    <xf numFmtId="0" fontId="29" fillId="21" borderId="0" xfId="144" quotePrefix="1" applyFont="1" applyFill="1" applyAlignment="1">
      <alignment horizontal="left"/>
    </xf>
    <xf numFmtId="164" fontId="23" fillId="21" borderId="0" xfId="0" applyNumberFormat="1" applyFont="1" applyFill="1" applyAlignment="1" applyProtection="1">
      <alignment horizontal="center"/>
    </xf>
    <xf numFmtId="41" fontId="36" fillId="39" borderId="0" xfId="410" applyNumberFormat="1" applyFont="1" applyFill="1"/>
    <xf numFmtId="41" fontId="36" fillId="39" borderId="0" xfId="410" applyNumberFormat="1" applyFont="1" applyFill="1" applyBorder="1"/>
    <xf numFmtId="41" fontId="36" fillId="39" borderId="0" xfId="147" applyNumberFormat="1" applyFont="1" applyFill="1"/>
    <xf numFmtId="41" fontId="94" fillId="39" borderId="0" xfId="9" applyNumberFormat="1" applyFont="1" applyFill="1"/>
    <xf numFmtId="41" fontId="94" fillId="39" borderId="22" xfId="9" applyNumberFormat="1" applyFont="1" applyFill="1" applyBorder="1"/>
    <xf numFmtId="175" fontId="36" fillId="0" borderId="0" xfId="389" applyFont="1" applyFill="1" applyBorder="1" applyAlignment="1">
      <alignment horizontal="left" vertical="center" wrapText="1"/>
    </xf>
    <xf numFmtId="164" fontId="20" fillId="0" borderId="0" xfId="0" applyNumberFormat="1" applyFont="1" applyFill="1" applyAlignment="1" applyProtection="1">
      <alignment horizontal="center"/>
    </xf>
    <xf numFmtId="43" fontId="29" fillId="0" borderId="0" xfId="410" applyFont="1" applyFill="1" applyBorder="1"/>
    <xf numFmtId="43" fontId="31" fillId="0" borderId="59" xfId="410" applyFont="1" applyFill="1" applyBorder="1" applyAlignment="1">
      <alignment horizontal="center" wrapText="1"/>
    </xf>
    <xf numFmtId="0" fontId="29" fillId="0" borderId="0" xfId="387" quotePrefix="1" applyFont="1" applyFill="1" applyAlignment="1">
      <alignment horizontal="center"/>
    </xf>
    <xf numFmtId="0" fontId="36" fillId="39" borderId="0" xfId="72" applyFont="1" applyFill="1" applyAlignment="1">
      <alignment horizontal="center"/>
    </xf>
    <xf numFmtId="164" fontId="140" fillId="21" borderId="0" xfId="0" applyFont="1" applyFill="1"/>
    <xf numFmtId="0" fontId="123" fillId="21" borderId="0" xfId="420" applyFont="1" applyFill="1" applyBorder="1"/>
    <xf numFmtId="164" fontId="141" fillId="21" borderId="0" xfId="0" applyFont="1" applyFill="1"/>
    <xf numFmtId="164" fontId="142" fillId="21" borderId="0" xfId="0" applyFont="1" applyFill="1"/>
    <xf numFmtId="0" fontId="143" fillId="0" borderId="0" xfId="8" applyFont="1"/>
    <xf numFmtId="0" fontId="144" fillId="0" borderId="0" xfId="8" applyFont="1"/>
    <xf numFmtId="0" fontId="28" fillId="0" borderId="0" xfId="8" applyFont="1"/>
    <xf numFmtId="0" fontId="28" fillId="21" borderId="0" xfId="420" applyFont="1" applyFill="1" applyBorder="1"/>
    <xf numFmtId="164" fontId="143" fillId="21" borderId="0" xfId="0" applyFont="1" applyFill="1"/>
    <xf numFmtId="0" fontId="145" fillId="21" borderId="0" xfId="387" applyFont="1" applyFill="1"/>
    <xf numFmtId="0" fontId="146" fillId="21" borderId="0" xfId="387" applyFont="1" applyFill="1"/>
    <xf numFmtId="0" fontId="146" fillId="22" borderId="4" xfId="387" applyFont="1" applyFill="1" applyBorder="1"/>
    <xf numFmtId="0" fontId="123" fillId="22" borderId="34" xfId="420" applyFont="1" applyFill="1" applyBorder="1"/>
    <xf numFmtId="0" fontId="147" fillId="22" borderId="34" xfId="420" applyFont="1" applyFill="1" applyBorder="1"/>
    <xf numFmtId="0" fontId="147" fillId="22" borderId="33" xfId="420" applyFont="1" applyFill="1" applyBorder="1"/>
    <xf numFmtId="0" fontId="123" fillId="21" borderId="0" xfId="420" applyFont="1" applyFill="1"/>
    <xf numFmtId="0" fontId="123" fillId="0" borderId="0" xfId="420" applyFont="1"/>
    <xf numFmtId="3" fontId="29" fillId="0" borderId="0" xfId="8" applyNumberFormat="1" applyFont="1" applyFill="1" applyBorder="1" applyAlignment="1">
      <alignment horizontal="right"/>
    </xf>
    <xf numFmtId="0" fontId="55" fillId="40" borderId="0" xfId="8" applyFont="1" applyFill="1" applyAlignment="1"/>
    <xf numFmtId="43" fontId="31" fillId="21" borderId="0" xfId="161" applyFont="1" applyFill="1" applyBorder="1"/>
    <xf numFmtId="43" fontId="31" fillId="21" borderId="0" xfId="161" applyFont="1" applyFill="1"/>
    <xf numFmtId="43" fontId="29" fillId="21" borderId="0" xfId="161" applyFont="1" applyFill="1" applyBorder="1"/>
    <xf numFmtId="43" fontId="29" fillId="21" borderId="0" xfId="161" applyFont="1" applyFill="1"/>
    <xf numFmtId="43" fontId="29" fillId="21" borderId="3" xfId="161" applyFont="1" applyFill="1" applyBorder="1"/>
    <xf numFmtId="168" fontId="31" fillId="0" borderId="0" xfId="161" applyNumberFormat="1" applyFont="1" applyFill="1" applyBorder="1"/>
    <xf numFmtId="168" fontId="31" fillId="0" borderId="0" xfId="161" applyNumberFormat="1" applyFont="1" applyFill="1"/>
    <xf numFmtId="168" fontId="29" fillId="0" borderId="0" xfId="161" applyNumberFormat="1" applyFont="1" applyFill="1" applyBorder="1"/>
    <xf numFmtId="168" fontId="29" fillId="0" borderId="0" xfId="161" applyNumberFormat="1" applyFont="1" applyFill="1"/>
    <xf numFmtId="168" fontId="29" fillId="0" borderId="22" xfId="161" applyNumberFormat="1" applyFont="1" applyFill="1" applyBorder="1"/>
    <xf numFmtId="168" fontId="55" fillId="0" borderId="0" xfId="161" applyNumberFormat="1" applyFont="1" applyFill="1"/>
    <xf numFmtId="168" fontId="53" fillId="0" borderId="0" xfId="161" applyNumberFormat="1" applyFont="1" applyFill="1"/>
    <xf numFmtId="164" fontId="20" fillId="21" borderId="0" xfId="0" applyNumberFormat="1" applyFont="1" applyFill="1" applyAlignment="1" applyProtection="1">
      <alignment horizontal="center"/>
    </xf>
    <xf numFmtId="164" fontId="31" fillId="21" borderId="0" xfId="0" applyFont="1" applyFill="1" applyAlignment="1">
      <alignment horizontal="center"/>
    </xf>
    <xf numFmtId="164" fontId="20" fillId="0" borderId="0" xfId="0" applyNumberFormat="1" applyFont="1" applyFill="1" applyAlignment="1" applyProtection="1">
      <alignment horizontal="center"/>
    </xf>
    <xf numFmtId="0" fontId="29" fillId="0" borderId="0" xfId="387" quotePrefix="1" applyFont="1" applyFill="1" applyBorder="1" applyAlignment="1">
      <alignment horizontal="center"/>
    </xf>
    <xf numFmtId="164" fontId="19" fillId="21" borderId="0" xfId="0" applyNumberFormat="1" applyFont="1" applyFill="1" applyAlignment="1" applyProtection="1">
      <alignment horizontal="center"/>
    </xf>
    <xf numFmtId="164" fontId="19" fillId="21" borderId="0" xfId="0" quotePrefix="1" applyNumberFormat="1" applyFont="1" applyFill="1" applyAlignment="1" applyProtection="1">
      <alignment horizontal="center"/>
    </xf>
    <xf numFmtId="0" fontId="36" fillId="0" borderId="0" xfId="8" applyFont="1" applyAlignment="1">
      <alignment horizontal="left"/>
    </xf>
    <xf numFmtId="164" fontId="20" fillId="0" borderId="0" xfId="0" applyNumberFormat="1" applyFont="1" applyFill="1" applyAlignment="1" applyProtection="1">
      <alignment horizontal="left"/>
    </xf>
    <xf numFmtId="164" fontId="19" fillId="0" borderId="0" xfId="0" applyNumberFormat="1" applyFont="1" applyFill="1" applyAlignment="1" applyProtection="1">
      <alignment horizontal="left"/>
    </xf>
    <xf numFmtId="164" fontId="20" fillId="0" borderId="0" xfId="0" applyNumberFormat="1" applyFont="1" applyFill="1" applyBorder="1" applyAlignment="1" applyProtection="1">
      <alignment horizontal="left"/>
    </xf>
    <xf numFmtId="0" fontId="29" fillId="0" borderId="0" xfId="387" applyFont="1" applyFill="1" applyAlignment="1">
      <alignment horizontal="left"/>
    </xf>
    <xf numFmtId="0" fontId="31" fillId="0" borderId="0" xfId="8" applyFont="1" applyAlignment="1">
      <alignment horizontal="left"/>
    </xf>
    <xf numFmtId="3" fontId="35" fillId="0" borderId="0" xfId="8" applyNumberFormat="1" applyFont="1" applyFill="1" applyBorder="1" applyAlignment="1"/>
    <xf numFmtId="3" fontId="35" fillId="0" borderId="0" xfId="8" applyNumberFormat="1" applyFont="1" applyFill="1" applyAlignment="1"/>
    <xf numFmtId="3" fontId="35" fillId="0" borderId="0" xfId="8" applyNumberFormat="1" applyFont="1" applyFill="1" applyBorder="1" applyAlignment="1">
      <alignment horizontal="left"/>
    </xf>
    <xf numFmtId="164" fontId="35" fillId="0" borderId="0" xfId="0" applyFont="1" applyAlignment="1">
      <alignment horizontal="left"/>
    </xf>
    <xf numFmtId="3" fontId="148" fillId="0" borderId="0" xfId="8" applyNumberFormat="1" applyFont="1" applyFill="1" applyBorder="1" applyAlignment="1">
      <alignment horizontal="left"/>
    </xf>
    <xf numFmtId="164" fontId="148" fillId="0" borderId="0" xfId="0" applyFont="1" applyAlignment="1">
      <alignment horizontal="left"/>
    </xf>
    <xf numFmtId="3" fontId="148" fillId="0" borderId="0" xfId="8" applyNumberFormat="1" applyFont="1" applyFill="1" applyAlignment="1">
      <alignment horizontal="left"/>
    </xf>
    <xf numFmtId="164" fontId="49" fillId="21" borderId="0" xfId="0" applyNumberFormat="1" applyFont="1" applyFill="1" applyBorder="1" applyAlignment="1" applyProtection="1">
      <alignment horizontal="center"/>
    </xf>
    <xf numFmtId="0" fontId="36" fillId="0" borderId="0" xfId="8" applyFont="1" applyFill="1"/>
    <xf numFmtId="0" fontId="124" fillId="0" borderId="0" xfId="8" applyFont="1" applyFill="1" applyBorder="1" applyAlignment="1">
      <alignment horizontal="left"/>
    </xf>
    <xf numFmtId="0" fontId="36" fillId="0" borderId="0" xfId="72" applyFont="1" applyFill="1" applyAlignment="1">
      <alignment horizontal="center"/>
    </xf>
    <xf numFmtId="165" fontId="31" fillId="21" borderId="0" xfId="0" applyNumberFormat="1" applyFont="1" applyFill="1" applyAlignment="1" applyProtection="1">
      <alignment horizontal="left"/>
    </xf>
    <xf numFmtId="164" fontId="0" fillId="21" borderId="0" xfId="0" applyFont="1" applyFill="1"/>
    <xf numFmtId="164" fontId="0" fillId="21" borderId="0" xfId="0" applyFont="1" applyFill="1" applyBorder="1"/>
    <xf numFmtId="0" fontId="126" fillId="0" borderId="0" xfId="8" applyFont="1" applyFill="1" applyBorder="1" applyAlignment="1">
      <alignment horizontal="left"/>
    </xf>
    <xf numFmtId="0" fontId="36" fillId="0" borderId="0" xfId="8" applyFont="1" applyFill="1" applyAlignment="1">
      <alignment horizontal="left"/>
    </xf>
    <xf numFmtId="164" fontId="0" fillId="0" borderId="0" xfId="0" applyFont="1" applyFill="1"/>
    <xf numFmtId="168" fontId="36" fillId="0" borderId="0" xfId="410" applyNumberFormat="1" applyFont="1" applyFill="1" applyBorder="1"/>
    <xf numFmtId="168" fontId="135" fillId="0" borderId="0" xfId="410" applyNumberFormat="1" applyFont="1" applyFill="1" applyBorder="1"/>
    <xf numFmtId="43" fontId="36" fillId="39" borderId="0" xfId="161" applyFont="1" applyFill="1"/>
    <xf numFmtId="168" fontId="36" fillId="39" borderId="0" xfId="161" applyNumberFormat="1" applyFont="1" applyFill="1"/>
    <xf numFmtId="168" fontId="124" fillId="39" borderId="0" xfId="161" applyNumberFormat="1" applyFont="1" applyFill="1" applyBorder="1" applyAlignment="1">
      <alignment horizontal="left"/>
    </xf>
    <xf numFmtId="168" fontId="32" fillId="0" borderId="0" xfId="410" applyNumberFormat="1" applyFont="1" applyFill="1" applyBorder="1"/>
    <xf numFmtId="168" fontId="32" fillId="0" borderId="0" xfId="410" applyNumberFormat="1" applyFont="1" applyFill="1"/>
    <xf numFmtId="168" fontId="57" fillId="0" borderId="0" xfId="410" applyNumberFormat="1" applyFont="1" applyFill="1"/>
    <xf numFmtId="4" fontId="54" fillId="0" borderId="0" xfId="8" applyNumberFormat="1" applyFont="1" applyFill="1"/>
    <xf numFmtId="4" fontId="62" fillId="0" borderId="0" xfId="0" applyNumberFormat="1" applyFont="1" applyFill="1" applyProtection="1"/>
    <xf numFmtId="4" fontId="19" fillId="0" borderId="0" xfId="0" applyNumberFormat="1" applyFont="1" applyFill="1" applyProtection="1"/>
    <xf numFmtId="0" fontId="36" fillId="0" borderId="0" xfId="8" applyFont="1" applyFill="1" applyAlignment="1">
      <alignment horizontal="center"/>
    </xf>
    <xf numFmtId="164" fontId="26" fillId="0" borderId="0" xfId="0" applyFont="1" applyFill="1" applyAlignment="1">
      <alignment horizontal="center"/>
    </xf>
    <xf numFmtId="164" fontId="0" fillId="0" borderId="0" xfId="0" applyFill="1" applyAlignment="1">
      <alignment horizontal="center"/>
    </xf>
    <xf numFmtId="0" fontId="97" fillId="0" borderId="0" xfId="387" applyFont="1" applyFill="1" applyAlignment="1">
      <alignment horizontal="center"/>
    </xf>
    <xf numFmtId="0" fontId="98" fillId="0" borderId="0" xfId="387" applyFont="1" applyFill="1" applyAlignment="1">
      <alignment horizontal="center"/>
    </xf>
    <xf numFmtId="0" fontId="98" fillId="0" borderId="4" xfId="387" applyFont="1" applyFill="1" applyBorder="1" applyAlignment="1">
      <alignment horizontal="center"/>
    </xf>
    <xf numFmtId="0" fontId="29" fillId="0" borderId="0" xfId="420" applyFont="1" applyFill="1" applyBorder="1" applyAlignment="1">
      <alignment horizontal="center"/>
    </xf>
    <xf numFmtId="0" fontId="29" fillId="0" borderId="34" xfId="420" applyFont="1" applyFill="1" applyBorder="1" applyAlignment="1">
      <alignment horizontal="center"/>
    </xf>
    <xf numFmtId="0" fontId="29" fillId="0" borderId="4" xfId="420" applyFont="1" applyFill="1" applyBorder="1" applyAlignment="1">
      <alignment horizontal="center"/>
    </xf>
    <xf numFmtId="0" fontId="31" fillId="0" borderId="34" xfId="420" applyFont="1" applyFill="1" applyBorder="1" applyAlignment="1">
      <alignment horizontal="center"/>
    </xf>
    <xf numFmtId="0" fontId="31" fillId="0" borderId="33" xfId="420" applyFont="1" applyFill="1" applyBorder="1" applyAlignment="1">
      <alignment horizontal="center"/>
    </xf>
    <xf numFmtId="164" fontId="31" fillId="21" borderId="0" xfId="0" applyFont="1" applyFill="1" applyAlignment="1">
      <alignment horizontal="center"/>
    </xf>
    <xf numFmtId="164" fontId="20" fillId="0" borderId="0" xfId="0" applyNumberFormat="1" applyFont="1" applyFill="1" applyAlignment="1" applyProtection="1">
      <alignment horizontal="center"/>
    </xf>
    <xf numFmtId="169" fontId="32" fillId="21" borderId="0" xfId="0" applyNumberFormat="1" applyFont="1" applyFill="1" applyBorder="1" applyAlignment="1">
      <alignment horizontal="center"/>
    </xf>
    <xf numFmtId="0" fontId="4" fillId="21" borderId="0" xfId="386" applyFont="1" applyFill="1" applyAlignment="1">
      <alignment horizontal="right"/>
    </xf>
    <xf numFmtId="164" fontId="0" fillId="21" borderId="0" xfId="0" applyFill="1" applyAlignment="1">
      <alignment horizontal="right"/>
    </xf>
    <xf numFmtId="164" fontId="0" fillId="0" borderId="0" xfId="0" applyFill="1" applyAlignment="1">
      <alignment horizontal="right"/>
    </xf>
    <xf numFmtId="0" fontId="32" fillId="21" borderId="43" xfId="408" quotePrefix="1" applyFont="1" applyFill="1" applyBorder="1" applyAlignment="1">
      <alignment horizontal="center"/>
    </xf>
    <xf numFmtId="168" fontId="3" fillId="21" borderId="42" xfId="386" quotePrefix="1" applyNumberFormat="1" applyFont="1" applyFill="1" applyBorder="1" applyAlignment="1">
      <alignment horizontal="center"/>
    </xf>
    <xf numFmtId="168" fontId="12" fillId="39" borderId="42" xfId="386" applyNumberFormat="1" applyFill="1" applyBorder="1" applyAlignment="1">
      <alignment horizontal="center"/>
    </xf>
    <xf numFmtId="0" fontId="12" fillId="21" borderId="0" xfId="386" applyFill="1" applyAlignment="1">
      <alignment horizontal="left"/>
    </xf>
    <xf numFmtId="0" fontId="3" fillId="21" borderId="0" xfId="386" applyFont="1" applyFill="1" applyAlignment="1">
      <alignment horizontal="left"/>
    </xf>
    <xf numFmtId="14" fontId="29" fillId="39" borderId="0" xfId="192" quotePrefix="1" applyNumberFormat="1" applyFont="1" applyFill="1" applyAlignment="1">
      <alignment horizontal="center"/>
    </xf>
    <xf numFmtId="0" fontId="29" fillId="39" borderId="0" xfId="61" quotePrefix="1" applyFont="1" applyFill="1" applyAlignment="1">
      <alignment horizontal="center"/>
    </xf>
    <xf numFmtId="3" fontId="29" fillId="39" borderId="20" xfId="61" quotePrefix="1" applyNumberFormat="1" applyFont="1" applyFill="1" applyBorder="1" applyAlignment="1">
      <alignment horizontal="center"/>
    </xf>
    <xf numFmtId="0" fontId="29" fillId="39" borderId="0" xfId="61" quotePrefix="1" applyFont="1" applyFill="1" applyAlignment="1">
      <alignment horizontal="left"/>
    </xf>
    <xf numFmtId="0" fontId="29" fillId="21" borderId="0" xfId="61" applyFont="1" applyFill="1" applyAlignment="1">
      <alignment horizontal="left"/>
    </xf>
    <xf numFmtId="0" fontId="36" fillId="39" borderId="0" xfId="8" quotePrefix="1" applyFont="1" applyFill="1" applyAlignment="1">
      <alignment horizontal="center"/>
    </xf>
    <xf numFmtId="168" fontId="36" fillId="39" borderId="0" xfId="9" quotePrefix="1" applyNumberFormat="1" applyFont="1" applyFill="1" applyAlignment="1">
      <alignment horizontal="center"/>
    </xf>
    <xf numFmtId="0" fontId="29" fillId="21" borderId="0" xfId="8" quotePrefix="1" applyFont="1" applyFill="1" applyBorder="1" applyAlignment="1">
      <alignment horizontal="center"/>
    </xf>
    <xf numFmtId="164" fontId="29" fillId="39" borderId="0" xfId="0" quotePrefix="1" applyFont="1" applyFill="1" applyBorder="1" applyAlignment="1">
      <alignment horizontal="center" wrapText="1"/>
    </xf>
    <xf numFmtId="168" fontId="29" fillId="39" borderId="3" xfId="161" quotePrefix="1" applyNumberFormat="1" applyFont="1" applyFill="1" applyBorder="1" applyAlignment="1">
      <alignment horizontal="center" wrapText="1"/>
    </xf>
    <xf numFmtId="0" fontId="110" fillId="39" borderId="0" xfId="0" quotePrefix="1" applyNumberFormat="1" applyFont="1" applyFill="1" applyBorder="1"/>
    <xf numFmtId="3" fontId="31" fillId="39" borderId="0" xfId="8" applyNumberFormat="1" applyFont="1" applyFill="1" applyAlignment="1">
      <alignment horizontal="left"/>
    </xf>
    <xf numFmtId="0" fontId="31" fillId="39" borderId="0" xfId="420" applyFont="1" applyFill="1" applyBorder="1" applyAlignment="1"/>
    <xf numFmtId="3" fontId="29" fillId="39" borderId="0" xfId="8" applyNumberFormat="1" applyFont="1" applyFill="1"/>
    <xf numFmtId="3" fontId="29" fillId="39" borderId="0" xfId="8" applyNumberFormat="1" applyFont="1" applyFill="1" applyAlignment="1">
      <alignment horizontal="left"/>
    </xf>
    <xf numFmtId="0" fontId="31" fillId="39" borderId="0" xfId="420" quotePrefix="1" applyFont="1" applyFill="1" applyBorder="1" applyAlignment="1"/>
    <xf numFmtId="0" fontId="36" fillId="21" borderId="0" xfId="8" quotePrefix="1" applyFont="1" applyFill="1" applyBorder="1" applyAlignment="1">
      <alignment horizontal="center"/>
    </xf>
    <xf numFmtId="0" fontId="97" fillId="21" borderId="0" xfId="162" applyFont="1" applyFill="1" applyAlignment="1">
      <alignment horizontal="center"/>
    </xf>
    <xf numFmtId="0" fontId="4" fillId="21" borderId="0" xfId="386" applyFont="1" applyFill="1" applyAlignment="1">
      <alignment horizontal="center"/>
    </xf>
    <xf numFmtId="0" fontId="2" fillId="21" borderId="0" xfId="386" applyFont="1" applyFill="1" applyAlignment="1">
      <alignment horizontal="center"/>
    </xf>
    <xf numFmtId="0" fontId="36" fillId="39" borderId="31" xfId="404" quotePrefix="1" applyNumberFormat="1" applyFill="1" applyAlignment="1">
      <alignment horizontal="center" vertical="center"/>
    </xf>
    <xf numFmtId="168" fontId="38" fillId="39" borderId="21" xfId="354" quotePrefix="1" applyNumberFormat="1" applyFill="1" applyAlignment="1">
      <alignment horizontal="center" vertical="center"/>
    </xf>
    <xf numFmtId="168" fontId="36" fillId="0" borderId="40" xfId="161" applyNumberFormat="1" applyFont="1" applyFill="1" applyBorder="1" applyAlignment="1">
      <alignment horizontal="left" vertical="center" indent="1"/>
    </xf>
    <xf numFmtId="0" fontId="2" fillId="21" borderId="0" xfId="386" applyFont="1" applyFill="1" applyAlignment="1">
      <alignment horizontal="left"/>
    </xf>
    <xf numFmtId="168" fontId="2" fillId="21" borderId="42" xfId="386" quotePrefix="1" applyNumberFormat="1" applyFont="1" applyFill="1" applyBorder="1" applyAlignment="1">
      <alignment horizontal="center"/>
    </xf>
    <xf numFmtId="168" fontId="149" fillId="21" borderId="36" xfId="386" applyNumberFormat="1" applyFont="1" applyFill="1" applyBorder="1" applyAlignment="1">
      <alignment horizontal="center"/>
    </xf>
    <xf numFmtId="168" fontId="38" fillId="21" borderId="7" xfId="106" applyNumberFormat="1" applyFill="1" applyAlignment="1">
      <alignment horizontal="center" vertical="center"/>
    </xf>
    <xf numFmtId="14" fontId="29" fillId="39" borderId="0" xfId="0" quotePrefix="1" applyNumberFormat="1" applyFont="1" applyFill="1" applyBorder="1" applyAlignment="1">
      <alignment horizontal="center" wrapText="1"/>
    </xf>
    <xf numFmtId="164" fontId="148" fillId="0" borderId="0" xfId="0" applyFont="1" applyFill="1" applyAlignment="1">
      <alignment horizontal="left"/>
    </xf>
    <xf numFmtId="0" fontId="29" fillId="21" borderId="0" xfId="420" applyFont="1" applyFill="1" applyBorder="1" applyAlignment="1">
      <alignment horizontal="center"/>
    </xf>
    <xf numFmtId="41" fontId="32" fillId="21" borderId="0" xfId="147" applyNumberFormat="1" applyFont="1" applyFill="1" applyBorder="1"/>
    <xf numFmtId="0" fontId="29" fillId="21" borderId="0" xfId="162" applyFont="1" applyFill="1"/>
    <xf numFmtId="0" fontId="31" fillId="21" borderId="0" xfId="0" applyNumberFormat="1" applyFont="1" applyFill="1" applyBorder="1" applyAlignment="1">
      <alignment horizontal="left"/>
    </xf>
    <xf numFmtId="0" fontId="31" fillId="21" borderId="4" xfId="0" quotePrefix="1" applyNumberFormat="1" applyFont="1" applyFill="1" applyBorder="1" applyAlignment="1">
      <alignment horizontal="center"/>
    </xf>
    <xf numFmtId="0" fontId="31" fillId="39" borderId="4" xfId="0" quotePrefix="1" applyNumberFormat="1" applyFont="1" applyFill="1" applyBorder="1" applyAlignment="1">
      <alignment horizontal="center"/>
    </xf>
    <xf numFmtId="0" fontId="36" fillId="21" borderId="0" xfId="6" quotePrefix="1" applyFont="1" applyFill="1" applyAlignment="1">
      <alignment horizontal="center"/>
    </xf>
    <xf numFmtId="164" fontId="36" fillId="21" borderId="0" xfId="0" applyFont="1" applyFill="1" applyAlignment="1">
      <alignment horizontal="left"/>
    </xf>
    <xf numFmtId="41" fontId="36" fillId="39" borderId="22" xfId="410" quotePrefix="1" applyNumberFormat="1" applyFont="1" applyFill="1" applyBorder="1" applyAlignment="1">
      <alignment horizontal="center"/>
    </xf>
    <xf numFmtId="164" fontId="0" fillId="21" borderId="0" xfId="0" applyFill="1" applyAlignment="1">
      <alignment horizontal="left"/>
    </xf>
    <xf numFmtId="41" fontId="36" fillId="39" borderId="0" xfId="147" applyNumberFormat="1" applyFont="1" applyFill="1" applyBorder="1"/>
    <xf numFmtId="41" fontId="36" fillId="21" borderId="0" xfId="147" applyNumberFormat="1" applyFont="1" applyFill="1" applyBorder="1"/>
    <xf numFmtId="0" fontId="54" fillId="21" borderId="0" xfId="5" quotePrefix="1" applyFont="1" applyFill="1" applyAlignment="1">
      <alignment horizontal="center"/>
    </xf>
    <xf numFmtId="0" fontId="36" fillId="21" borderId="0" xfId="5" applyFont="1" applyFill="1" applyAlignment="1">
      <alignment horizontal="center"/>
    </xf>
    <xf numFmtId="0" fontId="36" fillId="21" borderId="0" xfId="5" quotePrefix="1" applyFont="1" applyFill="1" applyAlignment="1">
      <alignment horizontal="center"/>
    </xf>
    <xf numFmtId="41" fontId="94" fillId="39" borderId="22" xfId="9" quotePrefix="1" applyNumberFormat="1" applyFont="1" applyFill="1" applyBorder="1" applyAlignment="1">
      <alignment horizontal="center"/>
    </xf>
    <xf numFmtId="170" fontId="36" fillId="21" borderId="0" xfId="0" quotePrefix="1" applyNumberFormat="1" applyFont="1" applyFill="1" applyAlignment="1">
      <alignment horizontal="left" indent="2"/>
    </xf>
    <xf numFmtId="0" fontId="114" fillId="21" borderId="0" xfId="513" applyFont="1" applyFill="1" applyAlignment="1">
      <alignment horizontal="left"/>
    </xf>
    <xf numFmtId="0" fontId="6" fillId="21" borderId="0" xfId="513" applyFill="1" applyAlignment="1">
      <alignment horizontal="left"/>
    </xf>
    <xf numFmtId="0" fontId="117" fillId="21" borderId="0" xfId="513" applyFont="1" applyFill="1" applyAlignment="1">
      <alignment horizontal="left"/>
    </xf>
    <xf numFmtId="0" fontId="29" fillId="21" borderId="0" xfId="5" applyFont="1" applyFill="1" applyBorder="1" applyAlignment="1">
      <alignment horizontal="left"/>
    </xf>
    <xf numFmtId="0" fontId="31" fillId="21" borderId="0" xfId="5" applyFont="1" applyFill="1" applyAlignment="1">
      <alignment horizontal="left"/>
    </xf>
    <xf numFmtId="0" fontId="54" fillId="21" borderId="0" xfId="5" applyFont="1" applyFill="1" applyAlignment="1">
      <alignment horizontal="left"/>
    </xf>
    <xf numFmtId="0" fontId="36" fillId="21" borderId="0" xfId="5" applyFont="1" applyFill="1" applyAlignment="1">
      <alignment horizontal="left"/>
    </xf>
    <xf numFmtId="182" fontId="22" fillId="21" borderId="0" xfId="513" quotePrefix="1" applyNumberFormat="1" applyFont="1" applyFill="1"/>
    <xf numFmtId="168" fontId="29" fillId="39" borderId="0" xfId="410" quotePrefix="1" applyNumberFormat="1" applyFont="1" applyFill="1"/>
    <xf numFmtId="168" fontId="34" fillId="21" borderId="42" xfId="386" quotePrefix="1" applyNumberFormat="1" applyFont="1" applyFill="1" applyBorder="1" applyAlignment="1">
      <alignment horizontal="center"/>
    </xf>
    <xf numFmtId="168" fontId="29" fillId="39" borderId="0" xfId="194" applyNumberFormat="1" applyFont="1" applyFill="1" applyBorder="1"/>
    <xf numFmtId="164" fontId="29" fillId="39" borderId="0" xfId="193" quotePrefix="1" applyFont="1" applyFill="1" applyAlignment="1">
      <alignment horizontal="center"/>
    </xf>
    <xf numFmtId="168" fontId="29" fillId="39" borderId="20" xfId="194" quotePrefix="1" applyNumberFormat="1" applyFont="1" applyFill="1" applyBorder="1" applyAlignment="1">
      <alignment horizontal="center"/>
    </xf>
    <xf numFmtId="168" fontId="29" fillId="39" borderId="0" xfId="194" quotePrefix="1" applyNumberFormat="1" applyFont="1" applyFill="1" applyBorder="1" applyAlignment="1">
      <alignment horizontal="center"/>
    </xf>
    <xf numFmtId="168" fontId="12" fillId="21" borderId="0" xfId="161" applyNumberFormat="1" applyFont="1" applyFill="1" applyAlignment="1">
      <alignment horizontal="center"/>
    </xf>
    <xf numFmtId="168" fontId="12" fillId="0" borderId="0" xfId="161" applyNumberFormat="1" applyFont="1" applyFill="1" applyAlignment="1">
      <alignment horizontal="center"/>
    </xf>
    <xf numFmtId="168" fontId="35" fillId="0" borderId="0" xfId="161" applyNumberFormat="1" applyFont="1" applyFill="1" applyAlignment="1">
      <alignment horizontal="center"/>
    </xf>
    <xf numFmtId="164" fontId="29" fillId="0" borderId="0" xfId="0" applyNumberFormat="1" applyFont="1" applyFill="1" applyAlignment="1" applyProtection="1">
      <alignment horizontal="left"/>
    </xf>
    <xf numFmtId="168" fontId="12" fillId="21" borderId="60" xfId="386" applyNumberFormat="1" applyFill="1" applyBorder="1"/>
    <xf numFmtId="168" fontId="12" fillId="21" borderId="29" xfId="386" applyNumberFormat="1" applyFill="1" applyBorder="1"/>
    <xf numFmtId="168" fontId="149" fillId="21" borderId="29" xfId="386" applyNumberFormat="1" applyFont="1" applyFill="1" applyBorder="1" applyAlignment="1">
      <alignment horizontal="center"/>
    </xf>
    <xf numFmtId="168" fontId="34" fillId="21" borderId="42" xfId="386" applyNumberFormat="1" applyFont="1" applyFill="1" applyBorder="1"/>
    <xf numFmtId="168" fontId="29" fillId="21" borderId="0" xfId="161" quotePrefix="1" applyNumberFormat="1" applyFont="1" applyFill="1" applyBorder="1" applyAlignment="1">
      <alignment horizontal="center"/>
    </xf>
    <xf numFmtId="164" fontId="29" fillId="0" borderId="0" xfId="193" quotePrefix="1" applyFont="1" applyFill="1" applyAlignment="1">
      <alignment horizontal="center"/>
    </xf>
    <xf numFmtId="168" fontId="29" fillId="0" borderId="0" xfId="194" quotePrefix="1" applyNumberFormat="1" applyFont="1" applyFill="1" applyBorder="1" applyAlignment="1">
      <alignment horizontal="center"/>
    </xf>
    <xf numFmtId="168" fontId="116" fillId="21" borderId="0" xfId="194" applyNumberFormat="1" applyFont="1" applyFill="1" applyBorder="1"/>
    <xf numFmtId="168" fontId="29" fillId="21" borderId="0" xfId="194" applyNumberFormat="1" applyFont="1" applyFill="1" applyBorder="1"/>
    <xf numFmtId="0" fontId="110" fillId="39" borderId="0" xfId="0" quotePrefix="1" applyNumberFormat="1" applyFont="1" applyFill="1" applyBorder="1" applyAlignment="1">
      <alignment horizontal="center"/>
    </xf>
    <xf numFmtId="0" fontId="29" fillId="39" borderId="0" xfId="0" applyNumberFormat="1" applyFont="1" applyFill="1"/>
    <xf numFmtId="1" fontId="31" fillId="39" borderId="4" xfId="0" quotePrefix="1" applyNumberFormat="1" applyFont="1" applyFill="1" applyBorder="1" applyAlignment="1">
      <alignment horizontal="center"/>
    </xf>
    <xf numFmtId="168" fontId="29" fillId="0" borderId="22" xfId="161" applyNumberFormat="1" applyFont="1" applyFill="1" applyBorder="1" applyAlignment="1">
      <alignment horizontal="center"/>
    </xf>
    <xf numFmtId="168" fontId="31" fillId="0" borderId="0" xfId="161" applyNumberFormat="1" applyFont="1" applyFill="1" applyBorder="1" applyAlignment="1">
      <alignment horizontal="center"/>
    </xf>
    <xf numFmtId="168" fontId="29" fillId="0" borderId="22" xfId="161" applyNumberFormat="1" applyFont="1" applyFill="1" applyBorder="1" applyAlignment="1">
      <alignment horizontal="left"/>
    </xf>
    <xf numFmtId="168" fontId="31" fillId="0" borderId="0" xfId="161" applyNumberFormat="1" applyFont="1" applyFill="1" applyBorder="1" applyAlignment="1">
      <alignment horizontal="right"/>
    </xf>
    <xf numFmtId="168" fontId="29" fillId="0" borderId="0" xfId="161" applyNumberFormat="1" applyFont="1" applyFill="1" applyBorder="1" applyAlignment="1">
      <alignment horizontal="center"/>
    </xf>
    <xf numFmtId="168" fontId="29" fillId="0" borderId="0" xfId="161" applyNumberFormat="1" applyFont="1" applyFill="1" applyBorder="1" applyAlignment="1">
      <alignment horizontal="left"/>
    </xf>
    <xf numFmtId="3" fontId="29" fillId="39" borderId="0" xfId="399" applyNumberFormat="1" applyFont="1" applyFill="1" applyAlignment="1"/>
    <xf numFmtId="164" fontId="29" fillId="0" borderId="0" xfId="0" applyFont="1" applyAlignment="1">
      <alignment wrapText="1"/>
    </xf>
    <xf numFmtId="43" fontId="29" fillId="39" borderId="0" xfId="161" applyFont="1" applyFill="1" applyAlignment="1">
      <alignment horizontal="left"/>
    </xf>
    <xf numFmtId="43" fontId="29" fillId="39" borderId="0" xfId="161" applyFont="1" applyFill="1"/>
    <xf numFmtId="3" fontId="32" fillId="0" borderId="55" xfId="389" applyNumberFormat="1" applyFont="1" applyFill="1" applyBorder="1" applyAlignment="1">
      <alignment horizontal="center" wrapText="1"/>
    </xf>
    <xf numFmtId="0" fontId="36" fillId="0" borderId="55" xfId="389" applyNumberFormat="1" applyFont="1" applyFill="1" applyBorder="1" applyAlignment="1">
      <alignment horizontal="center" wrapText="1"/>
    </xf>
    <xf numFmtId="0" fontId="36" fillId="0" borderId="52" xfId="389" applyNumberFormat="1" applyFont="1" applyFill="1" applyBorder="1"/>
    <xf numFmtId="175" fontId="36" fillId="0" borderId="29" xfId="389" applyFont="1" applyFill="1" applyBorder="1" applyAlignment="1"/>
    <xf numFmtId="164" fontId="36" fillId="39" borderId="0" xfId="0" quotePrefix="1" applyFont="1" applyFill="1"/>
    <xf numFmtId="170" fontId="36" fillId="39" borderId="0" xfId="0" quotePrefix="1" applyNumberFormat="1" applyFont="1" applyFill="1" applyAlignment="1">
      <alignment horizontal="left" indent="2"/>
    </xf>
    <xf numFmtId="182" fontId="22" fillId="39" borderId="0" xfId="513" applyNumberFormat="1" applyFont="1" applyFill="1"/>
    <xf numFmtId="168" fontId="22" fillId="39" borderId="0" xfId="161" applyNumberFormat="1" applyFont="1" applyFill="1"/>
    <xf numFmtId="175" fontId="54" fillId="0" borderId="0" xfId="389" applyFont="1" applyFill="1" applyBorder="1" applyAlignment="1">
      <alignment horizontal="center"/>
    </xf>
    <xf numFmtId="49" fontId="36" fillId="0" borderId="0" xfId="389" applyNumberFormat="1" applyFont="1" applyFill="1" applyBorder="1" applyAlignment="1">
      <alignment horizontal="left"/>
    </xf>
    <xf numFmtId="175" fontId="32" fillId="0" borderId="61" xfId="389" applyFont="1" applyFill="1" applyBorder="1" applyAlignment="1">
      <alignment horizontal="center" wrapText="1"/>
    </xf>
    <xf numFmtId="175" fontId="36" fillId="0" borderId="57" xfId="389" applyFont="1" applyFill="1" applyBorder="1" applyAlignment="1">
      <alignment horizontal="center"/>
    </xf>
    <xf numFmtId="164" fontId="23" fillId="21" borderId="0" xfId="0" applyNumberFormat="1" applyFont="1" applyFill="1" applyAlignment="1" applyProtection="1">
      <alignment horizontal="center"/>
    </xf>
    <xf numFmtId="168" fontId="36" fillId="21" borderId="0" xfId="161" applyNumberFormat="1" applyFont="1" applyFill="1" applyBorder="1" applyAlignment="1"/>
    <xf numFmtId="164" fontId="150" fillId="0" borderId="0" xfId="0" applyFont="1"/>
    <xf numFmtId="43" fontId="31" fillId="0" borderId="0" xfId="387" applyNumberFormat="1" applyFont="1" applyFill="1" applyBorder="1"/>
    <xf numFmtId="164" fontId="32" fillId="21" borderId="0" xfId="0" applyFont="1" applyFill="1" applyAlignment="1">
      <alignment wrapText="1"/>
    </xf>
    <xf numFmtId="0" fontId="36" fillId="21" borderId="38" xfId="0" applyNumberFormat="1" applyFont="1" applyFill="1" applyBorder="1" applyAlignment="1"/>
    <xf numFmtId="0" fontId="31" fillId="21" borderId="0" xfId="192" applyFont="1" applyFill="1"/>
    <xf numFmtId="164" fontId="111" fillId="21" borderId="22" xfId="0" applyFont="1" applyFill="1" applyBorder="1" applyAlignment="1">
      <alignment vertical="center"/>
    </xf>
    <xf numFmtId="0" fontId="29" fillId="21" borderId="22" xfId="192" applyFont="1" applyFill="1" applyBorder="1"/>
    <xf numFmtId="0" fontId="29" fillId="21" borderId="22" xfId="39" applyFont="1" applyFill="1" applyBorder="1"/>
    <xf numFmtId="4" fontId="29" fillId="21" borderId="22" xfId="39" applyNumberFormat="1" applyFont="1" applyFill="1" applyBorder="1"/>
    <xf numFmtId="0" fontId="29" fillId="21" borderId="0" xfId="192" applyFont="1" applyFill="1" applyBorder="1"/>
    <xf numFmtId="0" fontId="29" fillId="21" borderId="0" xfId="39" applyFont="1" applyFill="1" applyBorder="1"/>
    <xf numFmtId="4" fontId="29" fillId="21" borderId="0" xfId="39" applyNumberFormat="1" applyFont="1" applyFill="1" applyBorder="1"/>
    <xf numFmtId="164" fontId="23" fillId="21" borderId="0" xfId="0" applyNumberFormat="1" applyFont="1" applyFill="1" applyAlignment="1" applyProtection="1">
      <alignment horizontal="center"/>
    </xf>
    <xf numFmtId="175" fontId="89" fillId="0" borderId="0" xfId="389" applyFont="1" applyFill="1" applyBorder="1" applyAlignment="1">
      <alignment horizontal="left"/>
    </xf>
    <xf numFmtId="175" fontId="36" fillId="0" borderId="0" xfId="389" applyFont="1" applyFill="1" applyBorder="1" applyAlignment="1">
      <alignment horizontal="left"/>
    </xf>
    <xf numFmtId="175" fontId="36" fillId="0" borderId="0" xfId="389" applyFont="1" applyFill="1" applyBorder="1" applyAlignment="1">
      <alignment horizontal="left" vertical="center" wrapText="1"/>
    </xf>
    <xf numFmtId="164" fontId="115" fillId="21" borderId="0" xfId="0" applyNumberFormat="1" applyFont="1" applyFill="1" applyAlignment="1" applyProtection="1">
      <alignment horizontal="left"/>
    </xf>
    <xf numFmtId="168" fontId="23" fillId="21" borderId="0" xfId="161" applyNumberFormat="1" applyFont="1" applyFill="1" applyAlignment="1" applyProtection="1">
      <alignment horizontal="center"/>
    </xf>
    <xf numFmtId="168" fontId="23" fillId="0" borderId="0" xfId="161" applyNumberFormat="1" applyFont="1" applyBorder="1" applyProtection="1"/>
    <xf numFmtId="168" fontId="23" fillId="39" borderId="0" xfId="161" applyNumberFormat="1" applyFont="1" applyFill="1" applyAlignment="1" applyProtection="1">
      <alignment horizontal="center"/>
    </xf>
    <xf numFmtId="164" fontId="22" fillId="39" borderId="0" xfId="0" applyNumberFormat="1" applyFont="1" applyFill="1" applyProtection="1"/>
    <xf numFmtId="164" fontId="36" fillId="21" borderId="52" xfId="0" applyFont="1" applyFill="1" applyBorder="1" applyAlignment="1"/>
    <xf numFmtId="0" fontId="36" fillId="21" borderId="52" xfId="0" applyNumberFormat="1" applyFont="1" applyFill="1" applyBorder="1" applyAlignment="1"/>
    <xf numFmtId="164" fontId="20" fillId="21"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0" fontId="98" fillId="21" borderId="3" xfId="162" applyFont="1" applyFill="1" applyBorder="1" applyAlignment="1">
      <alignment horizontal="center" wrapText="1"/>
    </xf>
    <xf numFmtId="0" fontId="98" fillId="21" borderId="22" xfId="162" applyFont="1" applyFill="1" applyBorder="1" applyAlignment="1">
      <alignment horizontal="center"/>
    </xf>
    <xf numFmtId="0" fontId="116" fillId="21" borderId="0" xfId="162" applyFont="1" applyFill="1"/>
    <xf numFmtId="0" fontId="31" fillId="21" borderId="0" xfId="162" applyFont="1" applyFill="1"/>
    <xf numFmtId="164" fontId="23" fillId="0" borderId="0" xfId="0" applyNumberFormat="1" applyFont="1" applyAlignment="1" applyProtection="1">
      <alignment horizontal="center"/>
    </xf>
    <xf numFmtId="41" fontId="97" fillId="21" borderId="0" xfId="162" applyNumberFormat="1" applyFont="1" applyFill="1" applyBorder="1"/>
    <xf numFmtId="41" fontId="98" fillId="21" borderId="22" xfId="162" applyNumberFormat="1" applyFont="1" applyFill="1" applyBorder="1"/>
    <xf numFmtId="169" fontId="36" fillId="39" borderId="0" xfId="0" applyNumberFormat="1" applyFont="1" applyFill="1" applyAlignment="1">
      <alignment horizontal="left" indent="1"/>
    </xf>
    <xf numFmtId="164" fontId="116" fillId="39" borderId="0" xfId="0" applyNumberFormat="1" applyFont="1" applyFill="1" applyProtection="1"/>
    <xf numFmtId="49" fontId="116" fillId="39" borderId="0" xfId="0" applyNumberFormat="1" applyFont="1" applyFill="1" applyAlignment="1" applyProtection="1">
      <alignment horizontal="center"/>
    </xf>
    <xf numFmtId="164" fontId="23" fillId="21" borderId="0" xfId="0" applyNumberFormat="1" applyFont="1" applyFill="1" applyAlignment="1" applyProtection="1">
      <alignment horizontal="center"/>
    </xf>
    <xf numFmtId="164" fontId="0" fillId="39" borderId="0" xfId="0" applyFill="1"/>
    <xf numFmtId="10" fontId="22" fillId="0" borderId="0" xfId="148" applyNumberFormat="1" applyFont="1" applyFill="1" applyProtection="1"/>
    <xf numFmtId="10" fontId="31" fillId="0" borderId="0" xfId="148" applyNumberFormat="1" applyFont="1" applyFill="1" applyAlignment="1" applyProtection="1">
      <alignment horizontal="center"/>
    </xf>
    <xf numFmtId="164" fontId="23" fillId="21" borderId="0" xfId="0" applyNumberFormat="1" applyFont="1" applyFill="1" applyAlignment="1" applyProtection="1">
      <alignment horizontal="center"/>
    </xf>
    <xf numFmtId="49" fontId="22" fillId="0" borderId="0" xfId="0" applyNumberFormat="1" applyFont="1" applyFill="1" applyAlignment="1" applyProtection="1">
      <alignment horizontal="center"/>
    </xf>
    <xf numFmtId="49" fontId="19" fillId="0" borderId="0" xfId="0" applyNumberFormat="1" applyFont="1" applyFill="1" applyAlignment="1" applyProtection="1">
      <alignment horizontal="center"/>
    </xf>
    <xf numFmtId="168" fontId="55" fillId="21" borderId="0" xfId="161" applyNumberFormat="1" applyFont="1" applyFill="1"/>
    <xf numFmtId="168" fontId="70" fillId="21" borderId="0" xfId="161" applyNumberFormat="1" applyFont="1" applyFill="1" applyAlignment="1" applyProtection="1">
      <alignment horizontal="right"/>
    </xf>
    <xf numFmtId="168" fontId="62" fillId="21" borderId="0" xfId="161" applyNumberFormat="1" applyFont="1" applyFill="1" applyProtection="1"/>
    <xf numFmtId="168" fontId="54" fillId="21" borderId="0" xfId="161" applyNumberFormat="1" applyFont="1" applyFill="1"/>
    <xf numFmtId="168" fontId="54" fillId="21" borderId="0" xfId="161" quotePrefix="1" applyNumberFormat="1" applyFont="1" applyFill="1" applyAlignment="1">
      <alignment horizontal="center"/>
    </xf>
    <xf numFmtId="168" fontId="32" fillId="21" borderId="0" xfId="161" applyNumberFormat="1" applyFont="1" applyFill="1" applyBorder="1" applyAlignment="1"/>
    <xf numFmtId="168" fontId="36" fillId="21" borderId="22" xfId="161" applyNumberFormat="1" applyFont="1" applyFill="1" applyBorder="1" applyAlignment="1">
      <alignment horizontal="center"/>
    </xf>
    <xf numFmtId="168" fontId="36" fillId="21" borderId="0" xfId="161" applyNumberFormat="1" applyFont="1" applyFill="1" applyAlignment="1">
      <alignment horizontal="center"/>
    </xf>
    <xf numFmtId="168" fontId="36" fillId="21" borderId="6" xfId="161" applyNumberFormat="1" applyFont="1" applyFill="1" applyBorder="1" applyAlignment="1"/>
    <xf numFmtId="168" fontId="124" fillId="21" borderId="0" xfId="161" applyNumberFormat="1" applyFont="1" applyFill="1" applyAlignment="1"/>
    <xf numFmtId="168" fontId="32" fillId="21" borderId="0" xfId="161" applyNumberFormat="1" applyFont="1" applyFill="1" applyAlignment="1">
      <alignment horizontal="center"/>
    </xf>
    <xf numFmtId="168" fontId="106" fillId="21" borderId="0" xfId="161" applyNumberFormat="1" applyFont="1" applyFill="1" applyAlignment="1"/>
    <xf numFmtId="168" fontId="106" fillId="21" borderId="0" xfId="161" applyNumberFormat="1" applyFont="1" applyFill="1" applyAlignment="1">
      <alignment horizontal="center"/>
    </xf>
    <xf numFmtId="168" fontId="36" fillId="21" borderId="22" xfId="161" applyNumberFormat="1" applyFont="1" applyFill="1" applyBorder="1" applyAlignment="1"/>
    <xf numFmtId="168" fontId="36" fillId="21" borderId="5" xfId="161" applyNumberFormat="1" applyFont="1" applyFill="1" applyBorder="1" applyAlignment="1"/>
    <xf numFmtId="168" fontId="36" fillId="21" borderId="0" xfId="161" applyNumberFormat="1" applyFont="1" applyFill="1" applyAlignment="1">
      <alignment horizontal="right"/>
    </xf>
    <xf numFmtId="168" fontId="124" fillId="21" borderId="0" xfId="161" applyNumberFormat="1" applyFont="1" applyFill="1" applyBorder="1" applyAlignment="1"/>
    <xf numFmtId="168" fontId="32" fillId="39" borderId="55" xfId="161" applyNumberFormat="1" applyFont="1" applyFill="1" applyBorder="1" applyAlignment="1"/>
    <xf numFmtId="168" fontId="32" fillId="39" borderId="57" xfId="161" applyNumberFormat="1" applyFont="1" applyFill="1" applyBorder="1" applyAlignment="1"/>
    <xf numFmtId="168" fontId="124" fillId="21" borderId="0" xfId="161" applyNumberFormat="1" applyFont="1" applyFill="1"/>
    <xf numFmtId="168" fontId="36" fillId="21" borderId="57" xfId="161" applyNumberFormat="1" applyFont="1" applyFill="1" applyBorder="1" applyAlignment="1">
      <alignment horizontal="center"/>
    </xf>
    <xf numFmtId="168" fontId="36" fillId="21" borderId="54" xfId="161" applyNumberFormat="1" applyFont="1" applyFill="1" applyBorder="1"/>
    <xf numFmtId="168" fontId="36" fillId="21" borderId="0" xfId="161" applyNumberFormat="1" applyFont="1" applyFill="1" applyBorder="1"/>
    <xf numFmtId="168" fontId="36" fillId="39" borderId="0" xfId="161" applyNumberFormat="1" applyFont="1" applyFill="1" applyBorder="1"/>
    <xf numFmtId="168" fontId="36" fillId="39" borderId="22" xfId="161" applyNumberFormat="1" applyFont="1" applyFill="1" applyBorder="1"/>
    <xf numFmtId="168" fontId="32" fillId="21" borderId="0" xfId="161" applyNumberFormat="1" applyFont="1" applyFill="1"/>
    <xf numFmtId="168" fontId="36" fillId="21" borderId="22" xfId="161" applyNumberFormat="1" applyFont="1" applyFill="1" applyBorder="1"/>
    <xf numFmtId="43" fontId="31" fillId="21" borderId="0" xfId="161" applyFont="1" applyFill="1" applyAlignment="1" applyProtection="1">
      <alignment horizontal="right"/>
    </xf>
    <xf numFmtId="43" fontId="49" fillId="21" borderId="0" xfId="161" applyFont="1" applyFill="1" applyAlignment="1" applyProtection="1"/>
    <xf numFmtId="43" fontId="36" fillId="21" borderId="0" xfId="161" quotePrefix="1" applyFont="1" applyFill="1" applyBorder="1" applyAlignment="1">
      <alignment horizontal="center"/>
    </xf>
    <xf numFmtId="43" fontId="31" fillId="21" borderId="0" xfId="161" applyFont="1" applyFill="1" applyAlignment="1">
      <alignment horizontal="center"/>
    </xf>
    <xf numFmtId="43" fontId="31" fillId="21" borderId="3" xfId="161" applyFont="1" applyFill="1" applyBorder="1" applyAlignment="1">
      <alignment horizontal="center"/>
    </xf>
    <xf numFmtId="43" fontId="29" fillId="21" borderId="4" xfId="161" applyFont="1" applyFill="1" applyBorder="1"/>
    <xf numFmtId="10" fontId="29" fillId="21" borderId="14" xfId="148" applyNumberFormat="1" applyFont="1" applyFill="1" applyBorder="1"/>
    <xf numFmtId="43" fontId="113" fillId="21" borderId="0" xfId="161" applyFont="1" applyFill="1" applyAlignment="1">
      <alignment horizontal="right"/>
    </xf>
    <xf numFmtId="43" fontId="29" fillId="21" borderId="0" xfId="161" applyFont="1" applyFill="1" applyAlignment="1">
      <alignment horizontal="right"/>
    </xf>
    <xf numFmtId="43" fontId="31" fillId="21" borderId="0" xfId="161" applyFont="1" applyFill="1" applyAlignment="1">
      <alignment horizontal="right"/>
    </xf>
    <xf numFmtId="43" fontId="113" fillId="21" borderId="0" xfId="161" applyFont="1" applyFill="1" applyBorder="1" applyAlignment="1">
      <alignment horizontal="right"/>
    </xf>
    <xf numFmtId="43" fontId="31" fillId="21" borderId="0" xfId="161" applyFont="1" applyFill="1" applyBorder="1" applyAlignment="1">
      <alignment horizontal="right"/>
    </xf>
    <xf numFmtId="43" fontId="97" fillId="21" borderId="0" xfId="161" applyFont="1" applyFill="1"/>
    <xf numFmtId="43" fontId="31" fillId="39" borderId="22" xfId="161" applyFont="1" applyFill="1" applyBorder="1" applyAlignment="1">
      <alignment horizontal="right"/>
    </xf>
    <xf numFmtId="43" fontId="29" fillId="39" borderId="0" xfId="161" applyFont="1" applyFill="1" applyAlignment="1">
      <alignment horizontal="right"/>
    </xf>
    <xf numFmtId="43" fontId="31" fillId="21" borderId="5" xfId="161" applyFont="1" applyFill="1" applyBorder="1"/>
    <xf numFmtId="43" fontId="114" fillId="21" borderId="0" xfId="161" applyFont="1" applyFill="1"/>
    <xf numFmtId="43" fontId="29" fillId="0" borderId="0" xfId="161" applyFont="1" applyAlignment="1" applyProtection="1">
      <alignment horizontal="right"/>
    </xf>
    <xf numFmtId="43" fontId="23" fillId="0" borderId="0" xfId="161" applyFont="1" applyAlignment="1" applyProtection="1">
      <alignment horizontal="right"/>
    </xf>
    <xf numFmtId="43" fontId="22" fillId="0" borderId="0" xfId="161" applyFont="1" applyProtection="1"/>
    <xf numFmtId="43" fontId="23" fillId="0" borderId="0" xfId="161" applyFont="1" applyAlignment="1" applyProtection="1">
      <alignment horizontal="center"/>
    </xf>
    <xf numFmtId="43" fontId="46" fillId="0" borderId="0" xfId="161" applyFont="1" applyAlignment="1">
      <alignment horizontal="right"/>
    </xf>
    <xf numFmtId="43" fontId="32" fillId="0" borderId="0" xfId="161" applyFont="1" applyAlignment="1">
      <alignment horizontal="right"/>
    </xf>
    <xf numFmtId="43" fontId="36" fillId="0" borderId="0" xfId="161" applyFont="1"/>
    <xf numFmtId="43" fontId="107" fillId="0" borderId="0" xfId="161" applyFont="1" applyAlignment="1" applyProtection="1">
      <alignment horizontal="right"/>
    </xf>
    <xf numFmtId="43" fontId="115" fillId="0" borderId="0" xfId="161" applyFont="1" applyAlignment="1" applyProtection="1">
      <alignment horizontal="right"/>
    </xf>
    <xf numFmtId="168" fontId="31" fillId="21" borderId="22" xfId="161" applyNumberFormat="1" applyFont="1" applyFill="1" applyBorder="1"/>
    <xf numFmtId="43" fontId="29" fillId="21" borderId="0" xfId="161" applyFont="1" applyFill="1" applyProtection="1"/>
    <xf numFmtId="43" fontId="29" fillId="21" borderId="0" xfId="161" applyFont="1" applyFill="1" applyAlignment="1" applyProtection="1">
      <alignment horizontal="center"/>
    </xf>
    <xf numFmtId="43" fontId="22" fillId="21" borderId="0" xfId="161" applyFont="1" applyFill="1" applyProtection="1"/>
    <xf numFmtId="43" fontId="107" fillId="21" borderId="0" xfId="161" applyFont="1" applyFill="1" applyBorder="1" applyProtection="1"/>
    <xf numFmtId="43" fontId="29" fillId="21" borderId="0" xfId="161" applyFont="1" applyFill="1" applyBorder="1" applyProtection="1"/>
    <xf numFmtId="43" fontId="23" fillId="21" borderId="0" xfId="161" applyFont="1" applyFill="1" applyBorder="1" applyProtection="1"/>
    <xf numFmtId="43" fontId="31" fillId="21" borderId="0" xfId="161" applyFont="1" applyFill="1" applyProtection="1"/>
    <xf numFmtId="43" fontId="55" fillId="21" borderId="0" xfId="161" applyFont="1" applyFill="1" applyProtection="1"/>
    <xf numFmtId="43" fontId="71" fillId="21" borderId="0" xfId="161" applyFont="1" applyFill="1" applyProtection="1"/>
    <xf numFmtId="43" fontId="0" fillId="21" borderId="0" xfId="161" applyFont="1" applyFill="1"/>
    <xf numFmtId="43" fontId="22" fillId="0" borderId="0" xfId="161" applyFont="1" applyFill="1" applyProtection="1"/>
    <xf numFmtId="43" fontId="23" fillId="21" borderId="0" xfId="161" applyFont="1" applyFill="1" applyProtection="1"/>
    <xf numFmtId="43" fontId="22" fillId="21" borderId="16" xfId="161" applyFont="1" applyFill="1" applyBorder="1" applyProtection="1"/>
    <xf numFmtId="43" fontId="22" fillId="0" borderId="16" xfId="161" applyFont="1" applyFill="1" applyBorder="1" applyProtection="1"/>
    <xf numFmtId="43" fontId="29" fillId="0" borderId="0" xfId="161" applyFont="1" applyFill="1" applyProtection="1"/>
    <xf numFmtId="43" fontId="116" fillId="21" borderId="0" xfId="161" applyFont="1" applyFill="1" applyProtection="1"/>
    <xf numFmtId="43" fontId="116" fillId="0" borderId="0" xfId="161" applyFont="1" applyFill="1"/>
    <xf numFmtId="43" fontId="116" fillId="21" borderId="0" xfId="161" applyFont="1" applyFill="1"/>
    <xf numFmtId="43" fontId="29" fillId="21" borderId="16" xfId="161" applyFont="1" applyFill="1" applyBorder="1" applyProtection="1"/>
    <xf numFmtId="43" fontId="22" fillId="21" borderId="0" xfId="161" applyFont="1" applyFill="1" applyBorder="1" applyProtection="1"/>
    <xf numFmtId="43" fontId="29" fillId="0" borderId="0" xfId="161" applyFont="1" applyFill="1" applyBorder="1" applyProtection="1"/>
    <xf numFmtId="43" fontId="22" fillId="0" borderId="0" xfId="161" applyFont="1" applyFill="1" applyBorder="1" applyProtection="1"/>
    <xf numFmtId="43" fontId="23" fillId="21" borderId="47" xfId="161" applyFont="1" applyFill="1" applyBorder="1" applyProtection="1"/>
    <xf numFmtId="43" fontId="23" fillId="21" borderId="0" xfId="161" applyFont="1" applyFill="1" applyAlignment="1" applyProtection="1">
      <alignment horizontal="right"/>
    </xf>
    <xf numFmtId="43" fontId="54" fillId="21" borderId="0" xfId="161" quotePrefix="1" applyFont="1" applyFill="1" applyAlignment="1">
      <alignment horizontal="center"/>
    </xf>
    <xf numFmtId="10" fontId="29" fillId="21" borderId="0" xfId="146" applyNumberFormat="1" applyFont="1" applyFill="1"/>
    <xf numFmtId="10" fontId="29" fillId="21" borderId="4" xfId="148" applyNumberFormat="1" applyFont="1" applyFill="1" applyBorder="1"/>
    <xf numFmtId="9" fontId="29" fillId="21" borderId="0" xfId="148" applyFont="1" applyFill="1"/>
    <xf numFmtId="43" fontId="29" fillId="21" borderId="0" xfId="161" applyFont="1" applyFill="1" applyAlignment="1">
      <alignment horizontal="center"/>
    </xf>
    <xf numFmtId="43" fontId="29" fillId="21" borderId="0" xfId="161" applyFont="1" applyFill="1" applyAlignment="1"/>
    <xf numFmtId="3" fontId="99" fillId="0" borderId="0" xfId="8" applyNumberFormat="1" applyFont="1" applyFill="1" applyAlignment="1">
      <alignment horizontal="center"/>
    </xf>
    <xf numFmtId="10" fontId="46" fillId="21" borderId="0" xfId="148" applyNumberFormat="1" applyFont="1" applyFill="1" applyAlignment="1">
      <alignment horizontal="right"/>
    </xf>
    <xf numFmtId="49" fontId="46" fillId="21" borderId="0" xfId="9" applyNumberFormat="1" applyFont="1" applyFill="1"/>
    <xf numFmtId="43" fontId="46" fillId="21" borderId="0" xfId="9" applyFont="1" applyFill="1" applyAlignment="1">
      <alignment horizontal="right"/>
    </xf>
    <xf numFmtId="164" fontId="53" fillId="21" borderId="0" xfId="0" applyFont="1" applyFill="1" applyAlignment="1">
      <alignment horizontal="center"/>
    </xf>
    <xf numFmtId="0" fontId="98" fillId="0" borderId="0" xfId="513" applyFont="1" applyFill="1"/>
    <xf numFmtId="0" fontId="97" fillId="0" borderId="0" xfId="513" applyFont="1" applyFill="1"/>
    <xf numFmtId="2" fontId="36" fillId="21" borderId="0" xfId="0" applyNumberFormat="1" applyFont="1" applyFill="1" applyAlignment="1"/>
    <xf numFmtId="166" fontId="36" fillId="21" borderId="0" xfId="148" applyNumberFormat="1" applyFont="1" applyFill="1" applyAlignment="1">
      <alignment horizontal="right"/>
    </xf>
    <xf numFmtId="49" fontId="32" fillId="21" borderId="0" xfId="9" applyNumberFormat="1" applyFont="1" applyFill="1"/>
    <xf numFmtId="164" fontId="53" fillId="21" borderId="0" xfId="0" applyFont="1" applyFill="1" applyAlignment="1">
      <alignment horizontal="center" vertical="center"/>
    </xf>
    <xf numFmtId="164" fontId="31" fillId="39" borderId="0" xfId="0" applyFont="1" applyFill="1" applyAlignment="1">
      <alignment horizontal="center"/>
    </xf>
    <xf numFmtId="164" fontId="31" fillId="21" borderId="0" xfId="0" applyFont="1" applyFill="1" applyAlignment="1">
      <alignment horizontal="center"/>
    </xf>
    <xf numFmtId="168" fontId="110" fillId="39" borderId="0" xfId="410" applyNumberFormat="1" applyFont="1" applyFill="1" applyBorder="1"/>
    <xf numFmtId="168" fontId="139" fillId="39" borderId="0" xfId="410" applyNumberFormat="1" applyFont="1" applyFill="1" applyBorder="1" applyAlignment="1">
      <alignment horizontal="center"/>
    </xf>
    <xf numFmtId="10" fontId="29" fillId="21" borderId="0" xfId="148" applyNumberFormat="1" applyFont="1" applyFill="1"/>
    <xf numFmtId="10" fontId="31" fillId="21" borderId="0" xfId="148" applyNumberFormat="1" applyFont="1" applyFill="1" applyBorder="1"/>
    <xf numFmtId="10" fontId="31" fillId="21" borderId="0" xfId="148" applyNumberFormat="1" applyFont="1" applyFill="1"/>
    <xf numFmtId="168" fontId="29" fillId="39" borderId="0" xfId="410" applyNumberFormat="1" applyFont="1" applyFill="1" applyBorder="1" applyAlignment="1">
      <alignment wrapText="1"/>
    </xf>
    <xf numFmtId="14" fontId="29" fillId="39" borderId="0" xfId="380" applyNumberFormat="1" applyFont="1" applyFill="1"/>
    <xf numFmtId="0" fontId="29" fillId="39" borderId="0" xfId="380" applyFont="1" applyFill="1"/>
    <xf numFmtId="3" fontId="113" fillId="39" borderId="0" xfId="17" applyNumberFormat="1" applyFont="1" applyFill="1" applyAlignment="1">
      <alignment horizontal="right"/>
    </xf>
    <xf numFmtId="43" fontId="113" fillId="21" borderId="0" xfId="410" applyFont="1" applyFill="1" applyAlignment="1">
      <alignment horizontal="right"/>
    </xf>
    <xf numFmtId="43" fontId="29" fillId="21" borderId="0" xfId="410" applyFont="1" applyFill="1"/>
    <xf numFmtId="3" fontId="113" fillId="21" borderId="0" xfId="17" applyNumberFormat="1" applyFont="1" applyFill="1" applyAlignment="1">
      <alignment horizontal="right"/>
    </xf>
    <xf numFmtId="3" fontId="113" fillId="21" borderId="0" xfId="17" applyNumberFormat="1" applyFont="1" applyFill="1" applyBorder="1" applyAlignment="1">
      <alignment horizontal="right"/>
    </xf>
    <xf numFmtId="43" fontId="113" fillId="21" borderId="0" xfId="410" applyFont="1" applyFill="1" applyBorder="1" applyAlignment="1">
      <alignment horizontal="right"/>
    </xf>
    <xf numFmtId="43" fontId="29" fillId="21" borderId="0" xfId="410" applyFont="1" applyFill="1" applyBorder="1"/>
    <xf numFmtId="3" fontId="113" fillId="21" borderId="22" xfId="17" applyNumberFormat="1" applyFont="1" applyFill="1" applyBorder="1" applyAlignment="1">
      <alignment horizontal="right"/>
    </xf>
    <xf numFmtId="43" fontId="113" fillId="21" borderId="22" xfId="410" applyFont="1" applyFill="1" applyBorder="1" applyAlignment="1">
      <alignment horizontal="right"/>
    </xf>
    <xf numFmtId="43" fontId="29" fillId="21" borderId="22" xfId="410" applyFont="1" applyFill="1" applyBorder="1"/>
    <xf numFmtId="10" fontId="29" fillId="21" borderId="0" xfId="148" applyNumberFormat="1" applyFont="1" applyFill="1" applyAlignment="1" applyProtection="1">
      <alignment horizontal="center"/>
    </xf>
    <xf numFmtId="10" fontId="107" fillId="21" borderId="0" xfId="148" applyNumberFormat="1" applyFont="1" applyFill="1" applyBorder="1" applyAlignment="1" applyProtection="1">
      <alignment horizontal="center"/>
    </xf>
    <xf numFmtId="10" fontId="23" fillId="21" borderId="1" xfId="148" applyNumberFormat="1" applyFont="1" applyFill="1" applyBorder="1" applyAlignment="1" applyProtection="1">
      <alignment horizontal="center"/>
    </xf>
    <xf numFmtId="168" fontId="31" fillId="21" borderId="0" xfId="410" applyNumberFormat="1" applyFont="1" applyFill="1"/>
    <xf numFmtId="0" fontId="29" fillId="39" borderId="0" xfId="519" applyFont="1" applyFill="1" applyBorder="1"/>
    <xf numFmtId="0" fontId="31" fillId="39" borderId="0" xfId="519" applyFont="1" applyFill="1" applyBorder="1" applyAlignment="1">
      <alignment horizontal="center"/>
    </xf>
    <xf numFmtId="0" fontId="29" fillId="39" borderId="0" xfId="519" applyFont="1" applyFill="1"/>
    <xf numFmtId="0" fontId="31" fillId="39" borderId="0" xfId="519" applyFont="1" applyFill="1" applyBorder="1"/>
    <xf numFmtId="0" fontId="29" fillId="39" borderId="0" xfId="519" applyFont="1" applyFill="1" applyBorder="1" applyAlignment="1">
      <alignment horizontal="center"/>
    </xf>
    <xf numFmtId="0" fontId="31" fillId="39" borderId="0" xfId="519" applyFont="1" applyFill="1" applyBorder="1" applyAlignment="1"/>
    <xf numFmtId="0" fontId="29" fillId="39" borderId="0" xfId="519" applyFont="1" applyFill="1" applyBorder="1" applyAlignment="1"/>
    <xf numFmtId="0" fontId="152" fillId="21" borderId="0" xfId="420" applyFont="1" applyFill="1" applyBorder="1"/>
    <xf numFmtId="0" fontId="116" fillId="21" borderId="0" xfId="420" applyFont="1" applyFill="1" applyBorder="1"/>
    <xf numFmtId="0" fontId="36" fillId="39" borderId="62" xfId="520" quotePrefix="1" applyNumberFormat="1" applyFill="1" applyProtection="1">
      <alignment horizontal="left" vertical="center" indent="1"/>
      <protection locked="0"/>
    </xf>
    <xf numFmtId="0" fontId="36" fillId="39" borderId="62" xfId="521" quotePrefix="1" applyNumberFormat="1" applyFill="1" applyProtection="1">
      <alignment horizontal="left" vertical="center" indent="1"/>
      <protection locked="0"/>
    </xf>
    <xf numFmtId="0" fontId="36" fillId="39" borderId="62" xfId="521" quotePrefix="1" applyNumberFormat="1" applyFill="1">
      <alignment horizontal="left" vertical="center" indent="1"/>
    </xf>
    <xf numFmtId="168" fontId="36" fillId="0" borderId="62" xfId="161" applyNumberFormat="1" applyFont="1" applyFill="1" applyBorder="1" applyAlignment="1">
      <alignment horizontal="left" vertical="center" indent="1"/>
    </xf>
    <xf numFmtId="168" fontId="36" fillId="0" borderId="62" xfId="161" quotePrefix="1" applyNumberFormat="1" applyFont="1" applyFill="1" applyBorder="1" applyAlignment="1">
      <alignment horizontal="center" vertical="center"/>
    </xf>
    <xf numFmtId="168" fontId="36" fillId="0" borderId="62" xfId="522" quotePrefix="1" applyNumberFormat="1" applyFont="1" applyFill="1" applyBorder="1" applyAlignment="1">
      <alignment horizontal="left" vertical="center" indent="1"/>
    </xf>
    <xf numFmtId="168" fontId="36" fillId="0" borderId="62" xfId="522" quotePrefix="1" applyNumberFormat="1" applyFont="1" applyFill="1" applyBorder="1" applyAlignment="1">
      <alignment horizontal="center" vertical="center"/>
    </xf>
    <xf numFmtId="168" fontId="38" fillId="39" borderId="62" xfId="523" quotePrefix="1" applyNumberFormat="1" applyFill="1" applyProtection="1">
      <alignment horizontal="right" vertical="center"/>
      <protection locked="0"/>
    </xf>
    <xf numFmtId="168" fontId="38" fillId="39" borderId="62" xfId="523" applyNumberFormat="1" applyFill="1" applyProtection="1">
      <alignment horizontal="right" vertical="center"/>
      <protection locked="0"/>
    </xf>
    <xf numFmtId="168" fontId="38" fillId="39" borderId="62" xfId="523" applyNumberFormat="1" applyFill="1">
      <alignment horizontal="right" vertical="center"/>
    </xf>
    <xf numFmtId="168" fontId="15" fillId="39" borderId="62" xfId="523" applyNumberFormat="1" applyFont="1" applyFill="1">
      <alignment horizontal="right" vertical="center"/>
    </xf>
    <xf numFmtId="10" fontId="23" fillId="21" borderId="0" xfId="148" applyNumberFormat="1" applyFont="1" applyFill="1" applyProtection="1"/>
    <xf numFmtId="9" fontId="29" fillId="0" borderId="0" xfId="148" applyFont="1"/>
    <xf numFmtId="172" fontId="22" fillId="0" borderId="0" xfId="0" applyNumberFormat="1" applyFont="1" applyProtection="1"/>
    <xf numFmtId="182" fontId="29" fillId="21" borderId="0" xfId="513" applyNumberFormat="1" applyFont="1" applyFill="1"/>
    <xf numFmtId="182" fontId="29" fillId="21" borderId="0" xfId="513" applyNumberFormat="1" applyFont="1" applyFill="1" applyAlignment="1">
      <alignment horizontal="center"/>
    </xf>
    <xf numFmtId="168" fontId="29" fillId="21" borderId="4" xfId="161" applyNumberFormat="1" applyFont="1" applyFill="1" applyBorder="1"/>
    <xf numFmtId="168" fontId="38" fillId="39" borderId="62" xfId="523" quotePrefix="1" applyNumberFormat="1" applyFill="1" applyAlignment="1">
      <alignment horizontal="center" vertical="center"/>
    </xf>
    <xf numFmtId="0" fontId="36" fillId="21" borderId="63" xfId="408" applyFill="1" applyBorder="1" applyAlignment="1">
      <alignment horizontal="left"/>
    </xf>
    <xf numFmtId="168" fontId="15" fillId="0" borderId="0" xfId="410" applyNumberFormat="1" applyFont="1" applyFill="1" applyBorder="1"/>
    <xf numFmtId="10" fontId="22" fillId="0" borderId="0" xfId="148" applyNumberFormat="1" applyFont="1" applyProtection="1"/>
    <xf numFmtId="10" fontId="23" fillId="0" borderId="0" xfId="148" applyNumberFormat="1" applyFont="1" applyProtection="1"/>
    <xf numFmtId="10" fontId="115" fillId="21" borderId="0" xfId="148" applyNumberFormat="1" applyFont="1" applyFill="1" applyAlignment="1" applyProtection="1">
      <alignment horizontal="center"/>
    </xf>
    <xf numFmtId="10" fontId="23" fillId="0" borderId="0" xfId="148" applyNumberFormat="1" applyFont="1" applyFill="1" applyAlignment="1" applyProtection="1">
      <alignment horizontal="center"/>
    </xf>
    <xf numFmtId="168" fontId="15" fillId="39" borderId="0" xfId="9" applyNumberFormat="1" applyFont="1" applyFill="1" applyBorder="1"/>
    <xf numFmtId="10" fontId="29" fillId="0" borderId="0" xfId="148" applyNumberFormat="1" applyFont="1" applyFill="1" applyAlignment="1">
      <alignment horizontal="center"/>
    </xf>
    <xf numFmtId="10" fontId="29" fillId="0" borderId="0" xfId="148" applyNumberFormat="1" applyFont="1" applyFill="1" applyAlignment="1"/>
    <xf numFmtId="10" fontId="29" fillId="0" borderId="0" xfId="148" applyNumberFormat="1" applyFont="1" applyAlignment="1"/>
    <xf numFmtId="10" fontId="97" fillId="0" borderId="0" xfId="148" applyNumberFormat="1" applyFont="1" applyFill="1"/>
    <xf numFmtId="10" fontId="29" fillId="0" borderId="4" xfId="148" applyNumberFormat="1" applyFont="1" applyBorder="1" applyAlignment="1"/>
    <xf numFmtId="0" fontId="36" fillId="39" borderId="0" xfId="9" applyNumberFormat="1" applyFont="1" applyFill="1" applyAlignment="1"/>
    <xf numFmtId="10" fontId="36" fillId="39" borderId="0" xfId="148" applyNumberFormat="1" applyFont="1" applyFill="1" applyAlignment="1"/>
    <xf numFmtId="10" fontId="36" fillId="0" borderId="38" xfId="148" applyNumberFormat="1" applyFont="1" applyBorder="1" applyAlignment="1"/>
    <xf numFmtId="10" fontId="36" fillId="0" borderId="0" xfId="148" applyNumberFormat="1" applyFont="1" applyAlignment="1"/>
    <xf numFmtId="10" fontId="36" fillId="0" borderId="22" xfId="9" applyNumberFormat="1" applyFont="1" applyBorder="1" applyAlignment="1"/>
    <xf numFmtId="10" fontId="36" fillId="39" borderId="0" xfId="148" applyNumberFormat="1" applyFont="1" applyFill="1" applyBorder="1"/>
    <xf numFmtId="10" fontId="31" fillId="21" borderId="14" xfId="148" applyNumberFormat="1" applyFont="1" applyFill="1" applyBorder="1" applyAlignment="1">
      <alignment horizontal="center"/>
    </xf>
    <xf numFmtId="10" fontId="23" fillId="0" borderId="0" xfId="148" applyNumberFormat="1" applyFont="1" applyAlignment="1" applyProtection="1">
      <alignment horizontal="center"/>
    </xf>
    <xf numFmtId="10" fontId="23" fillId="0" borderId="45" xfId="148" applyNumberFormat="1" applyFont="1" applyBorder="1" applyAlignment="1" applyProtection="1">
      <alignment horizontal="center"/>
    </xf>
    <xf numFmtId="10" fontId="108" fillId="21" borderId="6" xfId="161" applyNumberFormat="1" applyFont="1" applyFill="1" applyBorder="1"/>
    <xf numFmtId="168" fontId="29" fillId="21" borderId="0" xfId="519" applyNumberFormat="1" applyFont="1" applyFill="1" applyBorder="1"/>
    <xf numFmtId="0" fontId="1" fillId="21" borderId="0" xfId="386" applyFont="1" applyFill="1" applyAlignment="1">
      <alignment horizontal="left"/>
    </xf>
    <xf numFmtId="0" fontId="32" fillId="21" borderId="63" xfId="408" applyFont="1" applyFill="1" applyBorder="1" applyAlignment="1">
      <alignment horizontal="left"/>
    </xf>
    <xf numFmtId="168" fontId="35" fillId="39" borderId="64" xfId="386" applyNumberFormat="1" applyFont="1" applyFill="1" applyBorder="1"/>
    <xf numFmtId="168" fontId="153" fillId="21" borderId="29" xfId="386" applyNumberFormat="1" applyFont="1" applyFill="1" applyBorder="1" applyAlignment="1">
      <alignment horizontal="center"/>
    </xf>
    <xf numFmtId="168" fontId="29" fillId="0" borderId="0" xfId="399" applyNumberFormat="1" applyFont="1" applyAlignment="1">
      <alignment horizontal="left"/>
    </xf>
    <xf numFmtId="41" fontId="29" fillId="21" borderId="0" xfId="5" applyNumberFormat="1" applyFont="1" applyFill="1"/>
    <xf numFmtId="0" fontId="35" fillId="21" borderId="0" xfId="386" applyFont="1" applyFill="1" applyAlignment="1">
      <alignment horizontal="left"/>
    </xf>
    <xf numFmtId="168" fontId="35" fillId="39" borderId="36" xfId="386" applyNumberFormat="1" applyFont="1" applyFill="1" applyBorder="1"/>
    <xf numFmtId="168" fontId="35" fillId="21" borderId="36" xfId="386" applyNumberFormat="1" applyFont="1" applyFill="1" applyBorder="1"/>
    <xf numFmtId="168" fontId="148" fillId="21" borderId="36" xfId="386" applyNumberFormat="1" applyFont="1" applyFill="1" applyBorder="1"/>
    <xf numFmtId="164" fontId="154" fillId="21" borderId="0" xfId="0" applyFont="1" applyFill="1"/>
    <xf numFmtId="3" fontId="154" fillId="21" borderId="0" xfId="0" applyNumberFormat="1" applyFont="1" applyFill="1"/>
    <xf numFmtId="168" fontId="153" fillId="21" borderId="36" xfId="386" applyNumberFormat="1" applyFont="1" applyFill="1" applyBorder="1" applyAlignment="1">
      <alignment horizontal="center"/>
    </xf>
    <xf numFmtId="0" fontId="116" fillId="0" borderId="0" xfId="399" applyFont="1" applyAlignment="1"/>
    <xf numFmtId="43" fontId="116" fillId="0" borderId="0" xfId="161" applyFont="1" applyAlignment="1"/>
    <xf numFmtId="43" fontId="116" fillId="0" borderId="0" xfId="161" applyFont="1"/>
    <xf numFmtId="175" fontId="46" fillId="0" borderId="0" xfId="389" applyFont="1" applyFill="1" applyBorder="1" applyAlignment="1"/>
    <xf numFmtId="164" fontId="31" fillId="21" borderId="0" xfId="0" applyFont="1" applyFill="1" applyAlignment="1">
      <alignment horizontal="center"/>
    </xf>
    <xf numFmtId="164" fontId="154" fillId="0" borderId="0" xfId="0" applyFont="1" applyFill="1"/>
    <xf numFmtId="168" fontId="36" fillId="39" borderId="62" xfId="523" quotePrefix="1" applyNumberFormat="1" applyFont="1" applyFill="1" applyProtection="1">
      <alignment horizontal="right" vertical="center"/>
      <protection locked="0"/>
    </xf>
    <xf numFmtId="168" fontId="36" fillId="39" borderId="62" xfId="523" applyNumberFormat="1" applyFont="1" applyFill="1">
      <alignment horizontal="right" vertical="center"/>
    </xf>
    <xf numFmtId="168" fontId="36" fillId="39" borderId="62" xfId="523" quotePrefix="1" applyNumberFormat="1" applyFont="1" applyFill="1" applyAlignment="1">
      <alignment horizontal="center" vertical="center"/>
    </xf>
    <xf numFmtId="168" fontId="36" fillId="39" borderId="21" xfId="354" quotePrefix="1" applyNumberFormat="1" applyFont="1" applyFill="1" applyAlignment="1">
      <alignment horizontal="center" vertical="center"/>
    </xf>
    <xf numFmtId="168" fontId="36" fillId="0" borderId="7" xfId="138" applyNumberFormat="1" applyFont="1" applyFill="1">
      <alignment horizontal="right" vertical="center"/>
    </xf>
    <xf numFmtId="0" fontId="29" fillId="0" borderId="4" xfId="519" applyFont="1" applyFill="1" applyBorder="1"/>
    <xf numFmtId="43" fontId="155" fillId="0" borderId="0" xfId="410" applyFont="1" applyFill="1"/>
    <xf numFmtId="43" fontId="98" fillId="0" borderId="0" xfId="410" applyFont="1" applyFill="1" applyAlignment="1" applyProtection="1">
      <alignment horizontal="right"/>
    </xf>
    <xf numFmtId="43" fontId="156" fillId="0" borderId="0" xfId="410" applyFont="1" applyFill="1" applyProtection="1"/>
    <xf numFmtId="43" fontId="157" fillId="0" borderId="0" xfId="410" applyFont="1" applyFill="1"/>
    <xf numFmtId="43" fontId="97" fillId="0" borderId="0" xfId="410" applyFont="1" applyFill="1" applyBorder="1"/>
    <xf numFmtId="0" fontId="97" fillId="0" borderId="0" xfId="387" quotePrefix="1" applyFont="1" applyFill="1" applyAlignment="1">
      <alignment horizontal="center"/>
    </xf>
    <xf numFmtId="43" fontId="98" fillId="0" borderId="59" xfId="410" applyFont="1" applyFill="1" applyBorder="1" applyAlignment="1">
      <alignment horizontal="center" wrapText="1"/>
    </xf>
    <xf numFmtId="43" fontId="98" fillId="0" borderId="0" xfId="410" applyFont="1" applyFill="1" applyBorder="1" applyAlignment="1">
      <alignment horizontal="center" wrapText="1"/>
    </xf>
    <xf numFmtId="43" fontId="98" fillId="0" borderId="4" xfId="410" applyFont="1" applyFill="1" applyBorder="1" applyAlignment="1">
      <alignment horizontal="center" wrapText="1"/>
    </xf>
    <xf numFmtId="168" fontId="97" fillId="39" borderId="0" xfId="410" applyNumberFormat="1" applyFont="1" applyFill="1" applyBorder="1"/>
    <xf numFmtId="168" fontId="97" fillId="0" borderId="34" xfId="410" applyNumberFormat="1" applyFont="1" applyFill="1" applyBorder="1"/>
    <xf numFmtId="168" fontId="97" fillId="0" borderId="0" xfId="410" applyNumberFormat="1" applyFont="1" applyFill="1" applyBorder="1"/>
    <xf numFmtId="168" fontId="97" fillId="0" borderId="4" xfId="410" applyNumberFormat="1" applyFont="1" applyFill="1" applyBorder="1"/>
    <xf numFmtId="168" fontId="98" fillId="0" borderId="34" xfId="410" applyNumberFormat="1" applyFont="1" applyFill="1" applyBorder="1"/>
    <xf numFmtId="168" fontId="98" fillId="0" borderId="4" xfId="410" applyNumberFormat="1" applyFont="1" applyFill="1" applyBorder="1" applyAlignment="1">
      <alignment horizontal="center" wrapText="1"/>
    </xf>
    <xf numFmtId="164" fontId="159" fillId="0" borderId="0" xfId="0" applyFont="1"/>
    <xf numFmtId="168" fontId="98" fillId="0" borderId="33" xfId="410" applyNumberFormat="1" applyFont="1" applyFill="1" applyBorder="1"/>
    <xf numFmtId="3" fontId="98" fillId="0" borderId="0" xfId="8" applyNumberFormat="1" applyFont="1" applyFill="1"/>
    <xf numFmtId="168" fontId="97" fillId="0" borderId="0" xfId="388" applyNumberFormat="1" applyFont="1" applyFill="1" applyBorder="1"/>
    <xf numFmtId="43" fontId="97" fillId="0" borderId="0" xfId="388" applyNumberFormat="1" applyFont="1" applyFill="1" applyBorder="1"/>
    <xf numFmtId="168" fontId="97" fillId="0" borderId="0" xfId="420" applyNumberFormat="1" applyFont="1" applyFill="1"/>
    <xf numFmtId="0" fontId="97" fillId="0" borderId="0" xfId="420" applyFont="1" applyFill="1"/>
    <xf numFmtId="168" fontId="111" fillId="39" borderId="0" xfId="410" applyNumberFormat="1" applyFont="1" applyFill="1" applyAlignment="1">
      <alignment horizontal="right" vertical="center"/>
    </xf>
    <xf numFmtId="168" fontId="111" fillId="39" borderId="22" xfId="410" applyNumberFormat="1" applyFont="1" applyFill="1" applyBorder="1" applyAlignment="1">
      <alignment horizontal="right" vertical="center"/>
    </xf>
    <xf numFmtId="168" fontId="114" fillId="39" borderId="22" xfId="9" applyNumberFormat="1" applyFont="1" applyFill="1" applyBorder="1"/>
    <xf numFmtId="168" fontId="97" fillId="39" borderId="0" xfId="410" quotePrefix="1" applyNumberFormat="1" applyFont="1" applyFill="1"/>
    <xf numFmtId="168" fontId="97" fillId="39" borderId="0" xfId="410" applyNumberFormat="1" applyFont="1" applyFill="1"/>
    <xf numFmtId="168" fontId="97" fillId="39" borderId="22" xfId="410" applyNumberFormat="1" applyFont="1" applyFill="1" applyBorder="1"/>
    <xf numFmtId="43" fontId="0" fillId="0" borderId="0" xfId="161" applyFont="1"/>
    <xf numFmtId="43" fontId="154" fillId="21" borderId="0" xfId="161" applyFont="1" applyFill="1"/>
    <xf numFmtId="43" fontId="0" fillId="0" borderId="0" xfId="161" applyFont="1" applyFill="1"/>
    <xf numFmtId="0" fontId="35" fillId="21" borderId="0" xfId="386" applyFont="1" applyFill="1" applyAlignment="1">
      <alignment horizontal="center"/>
    </xf>
    <xf numFmtId="0" fontId="36" fillId="39" borderId="62" xfId="521" quotePrefix="1" applyNumberFormat="1" applyFont="1" applyFill="1" applyProtection="1">
      <alignment horizontal="left" vertical="center" indent="1"/>
      <protection locked="0"/>
    </xf>
    <xf numFmtId="0" fontId="36" fillId="21" borderId="63" xfId="408" applyFont="1" applyFill="1" applyBorder="1" applyAlignment="1">
      <alignment horizontal="left"/>
    </xf>
    <xf numFmtId="168" fontId="36" fillId="39" borderId="62" xfId="523" applyNumberFormat="1" applyFont="1" applyFill="1" applyProtection="1">
      <alignment horizontal="right" vertical="center"/>
      <protection locked="0"/>
    </xf>
    <xf numFmtId="168" fontId="36" fillId="0" borderId="7" xfId="106" applyNumberFormat="1" applyFont="1" applyFill="1">
      <alignment vertical="center"/>
    </xf>
    <xf numFmtId="0" fontId="35" fillId="0" borderId="0" xfId="386" applyFont="1" applyFill="1"/>
    <xf numFmtId="0" fontId="35" fillId="21" borderId="0" xfId="386" applyFont="1" applyFill="1"/>
    <xf numFmtId="0" fontId="36" fillId="39" borderId="62" xfId="521" quotePrefix="1" applyNumberFormat="1" applyFont="1" applyFill="1">
      <alignment horizontal="left" vertical="center" indent="1"/>
    </xf>
    <xf numFmtId="168" fontId="32" fillId="0" borderId="7" xfId="106" applyNumberFormat="1" applyFont="1" applyFill="1">
      <alignment vertical="center"/>
    </xf>
    <xf numFmtId="164" fontId="160" fillId="21" borderId="0" xfId="0" applyFont="1" applyFill="1"/>
    <xf numFmtId="164" fontId="161" fillId="21" borderId="0" xfId="0" applyFont="1" applyFill="1"/>
    <xf numFmtId="0" fontId="116" fillId="21" borderId="0" xfId="387" applyFont="1" applyFill="1"/>
    <xf numFmtId="0" fontId="162" fillId="21" borderId="0" xfId="387" applyFont="1" applyFill="1"/>
    <xf numFmtId="0" fontId="162" fillId="22" borderId="4" xfId="387" applyFont="1" applyFill="1" applyBorder="1"/>
    <xf numFmtId="0" fontId="116" fillId="22" borderId="32" xfId="420" applyFont="1" applyFill="1" applyBorder="1"/>
    <xf numFmtId="0" fontId="116" fillId="22" borderId="4" xfId="420" applyFont="1" applyFill="1" applyBorder="1"/>
    <xf numFmtId="0" fontId="162" fillId="22" borderId="32" xfId="420" applyFont="1" applyFill="1" applyBorder="1"/>
    <xf numFmtId="168" fontId="116" fillId="21" borderId="0" xfId="519" applyNumberFormat="1" applyFont="1" applyFill="1" applyBorder="1"/>
    <xf numFmtId="0" fontId="162" fillId="39" borderId="0" xfId="519" applyFont="1" applyFill="1" applyBorder="1" applyAlignment="1">
      <alignment horizontal="center"/>
    </xf>
    <xf numFmtId="0" fontId="116" fillId="39" borderId="0" xfId="420" applyFont="1" applyFill="1" applyBorder="1"/>
    <xf numFmtId="0" fontId="116" fillId="22" borderId="34" xfId="420" applyFont="1" applyFill="1" applyBorder="1"/>
    <xf numFmtId="0" fontId="162" fillId="22" borderId="33" xfId="420" applyFont="1" applyFill="1" applyBorder="1"/>
    <xf numFmtId="0" fontId="116" fillId="21" borderId="0" xfId="420" applyFont="1" applyFill="1"/>
    <xf numFmtId="0" fontId="116" fillId="0" borderId="0" xfId="420" applyFont="1"/>
    <xf numFmtId="187" fontId="46" fillId="0" borderId="0" xfId="161" applyNumberFormat="1" applyFont="1" applyAlignment="1"/>
    <xf numFmtId="175" fontId="116" fillId="0" borderId="0" xfId="389" applyFont="1" applyAlignment="1"/>
    <xf numFmtId="0" fontId="116" fillId="39" borderId="0" xfId="519" applyFont="1" applyFill="1" applyBorder="1"/>
    <xf numFmtId="188" fontId="29" fillId="39" borderId="0" xfId="8" applyNumberFormat="1" applyFont="1" applyFill="1" applyAlignment="1">
      <alignment horizontal="left"/>
    </xf>
    <xf numFmtId="168" fontId="36" fillId="5" borderId="0" xfId="161" applyNumberFormat="1" applyFont="1" applyFill="1" applyBorder="1" applyAlignment="1"/>
    <xf numFmtId="167" fontId="36" fillId="39" borderId="29" xfId="389" applyNumberFormat="1" applyFont="1" applyFill="1" applyBorder="1" applyAlignment="1"/>
    <xf numFmtId="37" fontId="31" fillId="39" borderId="0" xfId="147" applyNumberFormat="1" applyFont="1" applyFill="1"/>
    <xf numFmtId="43" fontId="163" fillId="21" borderId="0" xfId="161" applyFont="1" applyFill="1" applyBorder="1"/>
    <xf numFmtId="43" fontId="29" fillId="0" borderId="0" xfId="161" applyFont="1" applyAlignment="1"/>
    <xf numFmtId="43" fontId="29" fillId="0" borderId="0" xfId="161" applyFont="1"/>
    <xf numFmtId="43" fontId="29" fillId="0" borderId="0" xfId="399" applyNumberFormat="1" applyFont="1" applyAlignment="1"/>
    <xf numFmtId="164" fontId="23" fillId="21" borderId="0" xfId="0" applyNumberFormat="1" applyFont="1" applyFill="1" applyBorder="1" applyAlignment="1" applyProtection="1">
      <alignment horizontal="center"/>
      <protection locked="0"/>
    </xf>
    <xf numFmtId="164" fontId="23" fillId="0" borderId="0" xfId="0" applyNumberFormat="1" applyFont="1" applyAlignment="1" applyProtection="1">
      <alignment horizontal="center"/>
    </xf>
    <xf numFmtId="164" fontId="23" fillId="39" borderId="0" xfId="0" applyNumberFormat="1" applyFont="1" applyFill="1" applyAlignment="1" applyProtection="1">
      <alignment horizontal="center"/>
    </xf>
    <xf numFmtId="164" fontId="23" fillId="0" borderId="0" xfId="0" applyNumberFormat="1" applyFont="1" applyBorder="1" applyAlignment="1" applyProtection="1">
      <alignment horizontal="center"/>
    </xf>
    <xf numFmtId="164" fontId="29" fillId="0" borderId="0" xfId="0" applyFont="1" applyAlignment="1">
      <alignment horizontal="left" wrapText="1"/>
    </xf>
    <xf numFmtId="164" fontId="20" fillId="21" borderId="0" xfId="0" applyNumberFormat="1" applyFont="1" applyFill="1" applyAlignment="1" applyProtection="1">
      <alignment horizontal="center"/>
    </xf>
    <xf numFmtId="164" fontId="20" fillId="39"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164" fontId="36" fillId="21" borderId="22" xfId="0" applyFont="1" applyFill="1" applyBorder="1" applyAlignment="1">
      <alignment horizontal="center" wrapText="1"/>
    </xf>
    <xf numFmtId="164" fontId="31" fillId="39" borderId="0" xfId="0" applyFont="1" applyFill="1" applyAlignment="1">
      <alignment horizontal="center"/>
    </xf>
    <xf numFmtId="164" fontId="57" fillId="39" borderId="55" xfId="0" applyFont="1" applyFill="1" applyBorder="1" applyAlignment="1">
      <alignment horizontal="center"/>
    </xf>
    <xf numFmtId="164" fontId="57" fillId="39" borderId="54" xfId="0" applyFont="1" applyFill="1" applyBorder="1" applyAlignment="1">
      <alignment horizontal="center"/>
    </xf>
    <xf numFmtId="164" fontId="57" fillId="39" borderId="56" xfId="0" applyFont="1" applyFill="1" applyBorder="1" applyAlignment="1">
      <alignment horizontal="center"/>
    </xf>
    <xf numFmtId="164" fontId="31" fillId="21" borderId="0" xfId="0" applyFont="1" applyFill="1" applyAlignment="1">
      <alignment horizontal="center"/>
    </xf>
    <xf numFmtId="164" fontId="36" fillId="21" borderId="22" xfId="0" applyFont="1" applyFill="1" applyBorder="1" applyAlignment="1">
      <alignment horizontal="center"/>
    </xf>
    <xf numFmtId="164" fontId="53" fillId="21" borderId="0" xfId="0" applyFont="1" applyFill="1" applyAlignment="1">
      <alignment horizontal="center"/>
    </xf>
    <xf numFmtId="164" fontId="23" fillId="21" borderId="0" xfId="0" applyNumberFormat="1" applyFont="1" applyFill="1" applyAlignment="1" applyProtection="1">
      <alignment horizontal="center"/>
    </xf>
    <xf numFmtId="164" fontId="23" fillId="21" borderId="0" xfId="0" applyNumberFormat="1" applyFont="1" applyFill="1" applyBorder="1" applyAlignment="1" applyProtection="1">
      <alignment horizontal="center"/>
    </xf>
    <xf numFmtId="164" fontId="23" fillId="0" borderId="0" xfId="0" applyNumberFormat="1" applyFont="1" applyFill="1" applyAlignment="1" applyProtection="1">
      <alignment horizontal="center"/>
    </xf>
    <xf numFmtId="175" fontId="89" fillId="0" borderId="0" xfId="389" applyFont="1" applyFill="1" applyBorder="1" applyAlignment="1">
      <alignment horizontal="left"/>
    </xf>
    <xf numFmtId="175" fontId="89" fillId="0" borderId="0" xfId="389" applyFont="1" applyFill="1" applyBorder="1" applyAlignment="1">
      <alignment horizontal="left" vertical="top" wrapText="1"/>
    </xf>
    <xf numFmtId="175" fontId="89" fillId="0" borderId="0" xfId="389" applyFont="1" applyFill="1" applyBorder="1" applyAlignment="1">
      <alignment horizontal="left" wrapText="1"/>
    </xf>
    <xf numFmtId="175" fontId="36" fillId="0" borderId="0" xfId="389" applyFont="1" applyFill="1" applyBorder="1" applyAlignment="1">
      <alignment horizontal="left"/>
    </xf>
    <xf numFmtId="175" fontId="36" fillId="0" borderId="0" xfId="389" applyFont="1" applyFill="1" applyBorder="1" applyAlignment="1">
      <alignment horizontal="left" vertical="top" wrapText="1"/>
    </xf>
    <xf numFmtId="175" fontId="36" fillId="0" borderId="0" xfId="389" applyFont="1" applyFill="1" applyBorder="1" applyAlignment="1">
      <alignment horizontal="left" vertical="center" wrapText="1"/>
    </xf>
    <xf numFmtId="175" fontId="31" fillId="0" borderId="0" xfId="389" applyFont="1" applyFill="1" applyBorder="1" applyAlignment="1">
      <alignment horizontal="center"/>
    </xf>
    <xf numFmtId="0" fontId="31" fillId="0" borderId="0" xfId="389" applyNumberFormat="1" applyFont="1" applyFill="1" applyBorder="1" applyAlignment="1">
      <alignment horizontal="center"/>
    </xf>
    <xf numFmtId="0" fontId="31" fillId="0" borderId="0" xfId="389" applyNumberFormat="1" applyFont="1" applyFill="1" applyBorder="1" applyAlignment="1" applyProtection="1">
      <alignment horizontal="center"/>
      <protection locked="0"/>
    </xf>
    <xf numFmtId="0" fontId="98" fillId="0" borderId="0" xfId="363" applyNumberFormat="1" applyFont="1" applyFill="1" applyAlignment="1">
      <alignment horizontal="center"/>
    </xf>
    <xf numFmtId="0" fontId="31" fillId="39" borderId="0" xfId="389" applyNumberFormat="1" applyFont="1" applyFill="1" applyBorder="1" applyAlignment="1">
      <alignment horizontal="center"/>
    </xf>
    <xf numFmtId="3" fontId="31" fillId="0" borderId="0" xfId="389" applyNumberFormat="1" applyFont="1" applyFill="1" applyBorder="1" applyAlignment="1">
      <alignment horizontal="center"/>
    </xf>
    <xf numFmtId="0" fontId="31" fillId="0" borderId="0" xfId="394" applyNumberFormat="1" applyFont="1" applyFill="1" applyAlignment="1">
      <alignment horizontal="center"/>
    </xf>
    <xf numFmtId="175" fontId="31" fillId="39" borderId="0" xfId="389" applyFont="1" applyFill="1" applyAlignment="1">
      <alignment horizontal="center"/>
    </xf>
    <xf numFmtId="164" fontId="36" fillId="0" borderId="0" xfId="0" applyFont="1" applyFill="1" applyAlignment="1">
      <alignment horizontal="left" vertical="top" wrapText="1"/>
    </xf>
    <xf numFmtId="175" fontId="86" fillId="0" borderId="0" xfId="389" applyFont="1" applyAlignment="1">
      <alignment horizontal="left" vertical="top" wrapText="1"/>
    </xf>
    <xf numFmtId="175" fontId="36" fillId="39" borderId="12" xfId="389" applyFont="1" applyFill="1" applyBorder="1" applyAlignment="1">
      <alignment horizontal="center"/>
    </xf>
    <xf numFmtId="175" fontId="36" fillId="39" borderId="0" xfId="389" applyFont="1" applyFill="1" applyBorder="1" applyAlignment="1">
      <alignment horizontal="center"/>
    </xf>
    <xf numFmtId="175" fontId="36" fillId="39" borderId="13" xfId="389" applyFont="1" applyFill="1" applyBorder="1" applyAlignment="1">
      <alignment horizontal="center"/>
    </xf>
    <xf numFmtId="175" fontId="36" fillId="39" borderId="10" xfId="389" applyFont="1" applyFill="1" applyBorder="1" applyAlignment="1">
      <alignment horizontal="center"/>
    </xf>
    <xf numFmtId="175" fontId="36" fillId="39" borderId="22" xfId="389" applyFont="1" applyFill="1" applyBorder="1" applyAlignment="1">
      <alignment horizontal="center"/>
    </xf>
    <xf numFmtId="175" fontId="36" fillId="39" borderId="11" xfId="389" applyFont="1" applyFill="1" applyBorder="1" applyAlignment="1">
      <alignment horizontal="center"/>
    </xf>
    <xf numFmtId="175" fontId="36" fillId="0" borderId="0" xfId="389" applyFont="1" applyFill="1" applyAlignment="1">
      <alignment horizontal="left" vertical="top" wrapText="1"/>
    </xf>
    <xf numFmtId="175" fontId="36" fillId="0" borderId="37" xfId="389" applyFont="1" applyBorder="1" applyAlignment="1">
      <alignment horizontal="center"/>
    </xf>
    <xf numFmtId="175" fontId="36" fillId="0" borderId="38" xfId="389" applyFont="1" applyBorder="1" applyAlignment="1">
      <alignment horizontal="center"/>
    </xf>
    <xf numFmtId="175" fontId="36" fillId="0" borderId="39" xfId="389" applyFont="1" applyBorder="1" applyAlignment="1">
      <alignment horizontal="center"/>
    </xf>
    <xf numFmtId="175" fontId="36" fillId="0" borderId="12" xfId="389" applyFont="1" applyBorder="1" applyAlignment="1">
      <alignment horizontal="center"/>
    </xf>
    <xf numFmtId="175" fontId="36" fillId="0" borderId="0" xfId="389" applyFont="1" applyBorder="1" applyAlignment="1">
      <alignment horizontal="center"/>
    </xf>
    <xf numFmtId="175" fontId="36" fillId="0" borderId="13" xfId="389" applyFont="1" applyBorder="1" applyAlignment="1">
      <alignment horizontal="center"/>
    </xf>
    <xf numFmtId="43" fontId="36" fillId="39" borderId="12" xfId="9" applyFont="1" applyFill="1" applyBorder="1" applyAlignment="1">
      <alignment horizontal="center"/>
    </xf>
    <xf numFmtId="43" fontId="36" fillId="39" borderId="0" xfId="9" applyFont="1" applyFill="1" applyBorder="1" applyAlignment="1">
      <alignment horizontal="center"/>
    </xf>
    <xf numFmtId="43" fontId="36" fillId="39" borderId="13" xfId="9" applyFont="1" applyFill="1" applyBorder="1" applyAlignment="1">
      <alignment horizontal="center"/>
    </xf>
    <xf numFmtId="164" fontId="49" fillId="21" borderId="0" xfId="0" applyFont="1" applyFill="1" applyAlignment="1">
      <alignment horizontal="center"/>
    </xf>
    <xf numFmtId="164" fontId="20" fillId="21" borderId="0" xfId="193" applyNumberFormat="1" applyFont="1" applyFill="1" applyAlignment="1" applyProtection="1">
      <alignment horizontal="center"/>
    </xf>
    <xf numFmtId="164" fontId="20" fillId="39" borderId="0" xfId="193" applyNumberFormat="1" applyFont="1" applyFill="1" applyAlignment="1" applyProtection="1">
      <alignment horizontal="center"/>
    </xf>
    <xf numFmtId="164" fontId="20" fillId="21" borderId="0" xfId="193" applyNumberFormat="1" applyFont="1" applyFill="1" applyBorder="1" applyAlignment="1" applyProtection="1">
      <alignment horizontal="center"/>
    </xf>
    <xf numFmtId="164" fontId="20" fillId="39" borderId="0" xfId="0" applyNumberFormat="1" applyFont="1" applyFill="1" applyBorder="1" applyAlignment="1" applyProtection="1">
      <alignment horizontal="center"/>
    </xf>
    <xf numFmtId="164" fontId="20" fillId="0" borderId="0" xfId="0" applyNumberFormat="1" applyFont="1" applyAlignment="1" applyProtection="1">
      <alignment horizontal="center"/>
    </xf>
    <xf numFmtId="164" fontId="20" fillId="0" borderId="0" xfId="0" applyNumberFormat="1" applyFont="1" applyBorder="1" applyAlignment="1" applyProtection="1">
      <alignment horizontal="center"/>
    </xf>
    <xf numFmtId="164" fontId="70" fillId="0" borderId="0" xfId="0" applyNumberFormat="1" applyFont="1" applyFill="1" applyBorder="1" applyAlignment="1" applyProtection="1">
      <alignment horizontal="center"/>
    </xf>
    <xf numFmtId="43" fontId="31" fillId="39" borderId="35" xfId="410" quotePrefix="1" applyFont="1" applyFill="1" applyBorder="1" applyAlignment="1">
      <alignment horizontal="center"/>
    </xf>
    <xf numFmtId="43" fontId="31" fillId="39" borderId="26" xfId="410" quotePrefix="1" applyFont="1" applyFill="1" applyBorder="1" applyAlignment="1">
      <alignment horizontal="center"/>
    </xf>
    <xf numFmtId="43" fontId="31" fillId="39" borderId="27" xfId="410" quotePrefix="1" applyFont="1" applyFill="1" applyBorder="1" applyAlignment="1">
      <alignment horizontal="center"/>
    </xf>
    <xf numFmtId="164" fontId="20" fillId="0" borderId="0" xfId="0" applyNumberFormat="1" applyFont="1" applyFill="1" applyAlignment="1" applyProtection="1">
      <alignment horizontal="center"/>
    </xf>
    <xf numFmtId="164" fontId="20" fillId="0" borderId="0" xfId="0" applyNumberFormat="1" applyFont="1" applyFill="1" applyBorder="1" applyAlignment="1" applyProtection="1">
      <alignment horizontal="center"/>
    </xf>
    <xf numFmtId="49" fontId="158" fillId="39" borderId="55" xfId="5" applyNumberFormat="1" applyFont="1" applyFill="1" applyBorder="1" applyAlignment="1">
      <alignment horizontal="center"/>
    </xf>
    <xf numFmtId="49" fontId="158" fillId="39" borderId="54" xfId="5" applyNumberFormat="1" applyFont="1" applyFill="1" applyBorder="1" applyAlignment="1">
      <alignment horizontal="center"/>
    </xf>
    <xf numFmtId="49" fontId="53" fillId="39" borderId="55" xfId="5" applyNumberFormat="1" applyFont="1" applyFill="1" applyBorder="1" applyAlignment="1">
      <alignment horizontal="center"/>
    </xf>
    <xf numFmtId="49" fontId="53" fillId="39" borderId="54" xfId="5" applyNumberFormat="1" applyFont="1" applyFill="1" applyBorder="1" applyAlignment="1">
      <alignment horizontal="center"/>
    </xf>
    <xf numFmtId="49" fontId="53" fillId="39" borderId="56" xfId="5" applyNumberFormat="1" applyFont="1" applyFill="1" applyBorder="1" applyAlignment="1">
      <alignment horizontal="center"/>
    </xf>
    <xf numFmtId="0" fontId="31" fillId="39" borderId="55" xfId="8" applyFont="1" applyFill="1" applyBorder="1" applyAlignment="1">
      <alignment horizontal="center"/>
    </xf>
    <xf numFmtId="0" fontId="31" fillId="39" borderId="54" xfId="8" applyFont="1" applyFill="1" applyBorder="1" applyAlignment="1">
      <alignment horizontal="center"/>
    </xf>
    <xf numFmtId="0" fontId="31" fillId="39" borderId="3" xfId="61" applyFont="1" applyFill="1" applyBorder="1" applyAlignment="1">
      <alignment horizontal="center"/>
    </xf>
    <xf numFmtId="0" fontId="31" fillId="39" borderId="56" xfId="8" applyFont="1" applyFill="1" applyBorder="1" applyAlignment="1">
      <alignment horizontal="center"/>
    </xf>
    <xf numFmtId="164" fontId="49" fillId="21" borderId="0" xfId="0" applyNumberFormat="1" applyFont="1" applyFill="1" applyAlignment="1" applyProtection="1">
      <alignment horizontal="center"/>
    </xf>
    <xf numFmtId="164" fontId="49" fillId="39" borderId="0" xfId="0" applyNumberFormat="1" applyFont="1" applyFill="1" applyAlignment="1" applyProtection="1">
      <alignment horizontal="center"/>
    </xf>
    <xf numFmtId="164" fontId="49" fillId="21" borderId="0" xfId="0" applyNumberFormat="1" applyFont="1" applyFill="1" applyBorder="1" applyAlignment="1" applyProtection="1">
      <alignment horizontal="center"/>
    </xf>
    <xf numFmtId="0" fontId="31" fillId="21" borderId="52" xfId="192" applyFont="1" applyFill="1" applyBorder="1" applyAlignment="1">
      <alignment wrapText="1"/>
    </xf>
    <xf numFmtId="164" fontId="0" fillId="0" borderId="52" xfId="0" applyBorder="1" applyAlignment="1">
      <alignment wrapText="1"/>
    </xf>
    <xf numFmtId="164" fontId="0" fillId="0" borderId="0" xfId="0" applyAlignment="1">
      <alignment wrapText="1"/>
    </xf>
    <xf numFmtId="0" fontId="36" fillId="21" borderId="52" xfId="6" quotePrefix="1" applyFont="1" applyFill="1" applyBorder="1" applyAlignment="1">
      <alignment horizontal="center"/>
    </xf>
    <xf numFmtId="0" fontId="36" fillId="21" borderId="52" xfId="6" applyFont="1" applyFill="1" applyBorder="1" applyAlignment="1">
      <alignment horizontal="center"/>
    </xf>
    <xf numFmtId="164" fontId="31" fillId="21" borderId="22" xfId="0" applyFont="1" applyFill="1" applyBorder="1" applyAlignment="1">
      <alignment horizontal="center"/>
    </xf>
    <xf numFmtId="164" fontId="104" fillId="21" borderId="0" xfId="0" applyNumberFormat="1" applyFont="1" applyFill="1" applyAlignment="1" applyProtection="1">
      <alignment horizontal="center" wrapText="1"/>
    </xf>
    <xf numFmtId="0" fontId="31" fillId="21" borderId="0" xfId="6" applyFont="1" applyFill="1" applyAlignment="1">
      <alignment horizontal="center"/>
    </xf>
    <xf numFmtId="169" fontId="32" fillId="21" borderId="0" xfId="0" applyNumberFormat="1" applyFont="1" applyFill="1" applyBorder="1" applyAlignment="1">
      <alignment horizontal="center"/>
    </xf>
    <xf numFmtId="169" fontId="69" fillId="21" borderId="0" xfId="0" applyNumberFormat="1" applyFont="1" applyFill="1" applyAlignment="1" applyProtection="1">
      <alignment horizontal="center"/>
    </xf>
    <xf numFmtId="169" fontId="69" fillId="39" borderId="0" xfId="0" applyNumberFormat="1" applyFont="1" applyFill="1" applyAlignment="1" applyProtection="1">
      <alignment horizontal="center"/>
    </xf>
    <xf numFmtId="169" fontId="69" fillId="21" borderId="0" xfId="0" applyNumberFormat="1" applyFont="1" applyFill="1" applyBorder="1" applyAlignment="1" applyProtection="1">
      <alignment horizontal="center"/>
    </xf>
    <xf numFmtId="168" fontId="32" fillId="39" borderId="55" xfId="161" applyNumberFormat="1" applyFont="1" applyFill="1" applyBorder="1" applyAlignment="1">
      <alignment horizontal="center"/>
    </xf>
    <xf numFmtId="168" fontId="32" fillId="39" borderId="54" xfId="161" applyNumberFormat="1" applyFont="1" applyFill="1" applyBorder="1" applyAlignment="1">
      <alignment horizontal="center"/>
    </xf>
    <xf numFmtId="168" fontId="32" fillId="39" borderId="56" xfId="161" applyNumberFormat="1" applyFont="1" applyFill="1" applyBorder="1" applyAlignment="1">
      <alignment horizontal="center"/>
    </xf>
    <xf numFmtId="1" fontId="32" fillId="39" borderId="55" xfId="0" applyNumberFormat="1" applyFont="1" applyFill="1" applyBorder="1" applyAlignment="1">
      <alignment horizontal="center"/>
    </xf>
    <xf numFmtId="1" fontId="32" fillId="39" borderId="54" xfId="0" applyNumberFormat="1" applyFont="1" applyFill="1" applyBorder="1" applyAlignment="1">
      <alignment horizontal="center"/>
    </xf>
    <xf numFmtId="1" fontId="32" fillId="39" borderId="56" xfId="0" applyNumberFormat="1" applyFont="1" applyFill="1" applyBorder="1" applyAlignment="1">
      <alignment horizontal="center"/>
    </xf>
  </cellXfs>
  <cellStyles count="524">
    <cellStyle name="Bottom bold border" xfId="514"/>
    <cellStyle name="Bottom single border" xfId="515"/>
    <cellStyle name="Comma" xfId="161" builtinId="3"/>
    <cellStyle name="Comma 10" xfId="383"/>
    <cellStyle name="Comma 11" xfId="385"/>
    <cellStyle name="Comma 12" xfId="388"/>
    <cellStyle name="Comma 13" xfId="391"/>
    <cellStyle name="Comma 14" xfId="410"/>
    <cellStyle name="Comma 14 2" xfId="522"/>
    <cellStyle name="Comma 15" xfId="428"/>
    <cellStyle name="Comma 2" xfId="1"/>
    <cellStyle name="Comma 2 2" xfId="9"/>
    <cellStyle name="Comma 2 2 2" xfId="11"/>
    <cellStyle name="Comma 2 2 3" xfId="12"/>
    <cellStyle name="Comma 2 2 4" xfId="13"/>
    <cellStyle name="Comma 2 2 4 2" xfId="154"/>
    <cellStyle name="Comma 2 2 5" xfId="429"/>
    <cellStyle name="Comma 2 3" xfId="155"/>
    <cellStyle name="Comma 3" xfId="14"/>
    <cellStyle name="Comma 3 2" xfId="424"/>
    <cellStyle name="Comma 4" xfId="10"/>
    <cellStyle name="Comma 4 2" xfId="15"/>
    <cellStyle name="Comma 5" xfId="16"/>
    <cellStyle name="Comma 6" xfId="145"/>
    <cellStyle name="Comma 7" xfId="149"/>
    <cellStyle name="Comma 7 2" xfId="358"/>
    <cellStyle name="Comma 8" xfId="160"/>
    <cellStyle name="Comma 8 2" xfId="365"/>
    <cellStyle name="Comma 9" xfId="194"/>
    <cellStyle name="Currency" xfId="147" builtinId="4"/>
    <cellStyle name="Currency 2" xfId="2"/>
    <cellStyle name="Currency 2 2" xfId="245"/>
    <cellStyle name="Currency 3" xfId="152"/>
    <cellStyle name="Currency 3 2" xfId="361"/>
    <cellStyle name="Currency 3 3" xfId="397"/>
    <cellStyle name="Currency 4" xfId="163"/>
    <cellStyle name="Currency 4 2" xfId="364"/>
    <cellStyle name="Currency 5" xfId="411"/>
    <cellStyle name="Hyperlink" xfId="197" builtinId="8"/>
    <cellStyle name="No Border" xfId="516"/>
    <cellStyle name="Normal" xfId="0" builtinId="0"/>
    <cellStyle name="Normal 10" xfId="17"/>
    <cellStyle name="Normal 10 2" xfId="195"/>
    <cellStyle name="Normal 10 2 2" xfId="237"/>
    <cellStyle name="Normal 10 2 2 2" xfId="407"/>
    <cellStyle name="Normal 10 2 2 3" xfId="408"/>
    <cellStyle name="Normal 10 2 3" xfId="379"/>
    <cellStyle name="Normal 10 3" xfId="233"/>
    <cellStyle name="Normal 10 4" xfId="395"/>
    <cellStyle name="Normal 10 5" xfId="430"/>
    <cellStyle name="Normal 100" xfId="18"/>
    <cellStyle name="Normal 100 2" xfId="247"/>
    <cellStyle name="Normal 100 3" xfId="431"/>
    <cellStyle name="Normal 101" xfId="19"/>
    <cellStyle name="Normal 101 2" xfId="248"/>
    <cellStyle name="Normal 101 3" xfId="432"/>
    <cellStyle name="Normal 103" xfId="20"/>
    <cellStyle name="Normal 103 2" xfId="249"/>
    <cellStyle name="Normal 103 3" xfId="433"/>
    <cellStyle name="Normal 107" xfId="21"/>
    <cellStyle name="Normal 107 2" xfId="250"/>
    <cellStyle name="Normal 107 3" xfId="434"/>
    <cellStyle name="Normal 108" xfId="22"/>
    <cellStyle name="Normal 108 2" xfId="251"/>
    <cellStyle name="Normal 108 3" xfId="435"/>
    <cellStyle name="Normal 11" xfId="23"/>
    <cellStyle name="Normal 11 2" xfId="238"/>
    <cellStyle name="Normal 11 3" xfId="252"/>
    <cellStyle name="Normal 11 4" xfId="436"/>
    <cellStyle name="Normal 110" xfId="24"/>
    <cellStyle name="Normal 110 2" xfId="253"/>
    <cellStyle name="Normal 110 3" xfId="437"/>
    <cellStyle name="Normal 112" xfId="25"/>
    <cellStyle name="Normal 112 2" xfId="254"/>
    <cellStyle name="Normal 112 3" xfId="438"/>
    <cellStyle name="Normal 114" xfId="26"/>
    <cellStyle name="Normal 114 2" xfId="255"/>
    <cellStyle name="Normal 114 3" xfId="439"/>
    <cellStyle name="Normal 117" xfId="27"/>
    <cellStyle name="Normal 117 2" xfId="256"/>
    <cellStyle name="Normal 117 3" xfId="440"/>
    <cellStyle name="Normal 118" xfId="28"/>
    <cellStyle name="Normal 118 2" xfId="257"/>
    <cellStyle name="Normal 118 3" xfId="441"/>
    <cellStyle name="Normal 119" xfId="29"/>
    <cellStyle name="Normal 119 2" xfId="258"/>
    <cellStyle name="Normal 119 3" xfId="442"/>
    <cellStyle name="Normal 12" xfId="30"/>
    <cellStyle name="Normal 12 2" xfId="239"/>
    <cellStyle name="Normal 12 3" xfId="259"/>
    <cellStyle name="Normal 12 4" xfId="443"/>
    <cellStyle name="Normal 120" xfId="31"/>
    <cellStyle name="Normal 120 2" xfId="260"/>
    <cellStyle name="Normal 120 3" xfId="444"/>
    <cellStyle name="Normal 121" xfId="32"/>
    <cellStyle name="Normal 121 2" xfId="261"/>
    <cellStyle name="Normal 121 3" xfId="445"/>
    <cellStyle name="Normal 122" xfId="33"/>
    <cellStyle name="Normal 122 2" xfId="262"/>
    <cellStyle name="Normal 122 3" xfId="446"/>
    <cellStyle name="Normal 123" xfId="34"/>
    <cellStyle name="Normal 123 2" xfId="263"/>
    <cellStyle name="Normal 123 3" xfId="447"/>
    <cellStyle name="Normal 124" xfId="35"/>
    <cellStyle name="Normal 124 2" xfId="264"/>
    <cellStyle name="Normal 124 3" xfId="448"/>
    <cellStyle name="Normal 13" xfId="36"/>
    <cellStyle name="Normal 13 2" xfId="240"/>
    <cellStyle name="Normal 13 3" xfId="265"/>
    <cellStyle name="Normal 13 4" xfId="449"/>
    <cellStyle name="Normal 14" xfId="151"/>
    <cellStyle name="Normal 14 2" xfId="360"/>
    <cellStyle name="Normal 15" xfId="162"/>
    <cellStyle name="Normal 15 2" xfId="363"/>
    <cellStyle name="Normal 16" xfId="192"/>
    <cellStyle name="Normal 16 2" xfId="380"/>
    <cellStyle name="Normal 17" xfId="37"/>
    <cellStyle name="Normal 17 2" xfId="266"/>
    <cellStyle name="Normal 17 3" xfId="450"/>
    <cellStyle name="Normal 18" xfId="38"/>
    <cellStyle name="Normal 18 2" xfId="267"/>
    <cellStyle name="Normal 18 3" xfId="451"/>
    <cellStyle name="Normal 19" xfId="193"/>
    <cellStyle name="Normal 2" xfId="3"/>
    <cellStyle name="Normal 2 2" xfId="8"/>
    <cellStyle name="Normal 2 2 2" xfId="39"/>
    <cellStyle name="Normal 2 2 3" xfId="40"/>
    <cellStyle name="Normal 2 2 4" xfId="453"/>
    <cellStyle name="Normal 2 3" xfId="41"/>
    <cellStyle name="Normal 2 4" xfId="156"/>
    <cellStyle name="Normal 2 4 2" xfId="366"/>
    <cellStyle name="Normal 2 5" xfId="246"/>
    <cellStyle name="Normal 2 6" xfId="425"/>
    <cellStyle name="Normal 2 7" xfId="452"/>
    <cellStyle name="Normal 20" xfId="196"/>
    <cellStyle name="Normal 20 2" xfId="381"/>
    <cellStyle name="Normal 21" xfId="42"/>
    <cellStyle name="Normal 21 2" xfId="268"/>
    <cellStyle name="Normal 21 3" xfId="454"/>
    <cellStyle name="Normal 22" xfId="198"/>
    <cellStyle name="Normal 23" xfId="43"/>
    <cellStyle name="Normal 23 2" xfId="269"/>
    <cellStyle name="Normal 23 3" xfId="455"/>
    <cellStyle name="Normal 24" xfId="44"/>
    <cellStyle name="Normal 24 2" xfId="270"/>
    <cellStyle name="Normal 24 3" xfId="456"/>
    <cellStyle name="Normal 25" xfId="45"/>
    <cellStyle name="Normal 25 2" xfId="271"/>
    <cellStyle name="Normal 25 3" xfId="457"/>
    <cellStyle name="Normal 26" xfId="46"/>
    <cellStyle name="Normal 26 2" xfId="272"/>
    <cellStyle name="Normal 26 3" xfId="458"/>
    <cellStyle name="Normal 27" xfId="241"/>
    <cellStyle name="Normal 28" xfId="47"/>
    <cellStyle name="Normal 28 2" xfId="273"/>
    <cellStyle name="Normal 28 3" xfId="459"/>
    <cellStyle name="Normal 29" xfId="48"/>
    <cellStyle name="Normal 29 2" xfId="274"/>
    <cellStyle name="Normal 29 3" xfId="460"/>
    <cellStyle name="Normal 3" xfId="4"/>
    <cellStyle name="Normal 3 2" xfId="49"/>
    <cellStyle name="Normal 3 2 2" xfId="275"/>
    <cellStyle name="Normal 3 2 3" xfId="461"/>
    <cellStyle name="Normal 3 3" xfId="50"/>
    <cellStyle name="Normal 3 4" xfId="157"/>
    <cellStyle name="Normal 3 5" xfId="426"/>
    <cellStyle name="Normal 3_Attach O, GG, Support -New Method 2-14-11" xfId="390"/>
    <cellStyle name="Normal 30" xfId="51"/>
    <cellStyle name="Normal 30 2" xfId="276"/>
    <cellStyle name="Normal 30 3" xfId="462"/>
    <cellStyle name="Normal 31" xfId="52"/>
    <cellStyle name="Normal 31 2" xfId="277"/>
    <cellStyle name="Normal 31 3" xfId="463"/>
    <cellStyle name="Normal 32" xfId="53"/>
    <cellStyle name="Normal 32 2" xfId="278"/>
    <cellStyle name="Normal 32 3" xfId="464"/>
    <cellStyle name="Normal 33" xfId="54"/>
    <cellStyle name="Normal 33 2" xfId="279"/>
    <cellStyle name="Normal 33 3" xfId="465"/>
    <cellStyle name="Normal 34" xfId="55"/>
    <cellStyle name="Normal 34 2" xfId="280"/>
    <cellStyle name="Normal 34 3" xfId="466"/>
    <cellStyle name="Normal 35" xfId="56"/>
    <cellStyle name="Normal 35 2" xfId="281"/>
    <cellStyle name="Normal 35 3" xfId="467"/>
    <cellStyle name="Normal 36" xfId="57"/>
    <cellStyle name="Normal 36 2" xfId="282"/>
    <cellStyle name="Normal 36 3" xfId="468"/>
    <cellStyle name="Normal 37" xfId="58"/>
    <cellStyle name="Normal 37 2" xfId="283"/>
    <cellStyle name="Normal 37 3" xfId="469"/>
    <cellStyle name="Normal 38" xfId="59"/>
    <cellStyle name="Normal 38 2" xfId="284"/>
    <cellStyle name="Normal 38 3" xfId="470"/>
    <cellStyle name="Normal 39" xfId="60"/>
    <cellStyle name="Normal 39 2" xfId="285"/>
    <cellStyle name="Normal 39 3" xfId="471"/>
    <cellStyle name="Normal 4" xfId="61"/>
    <cellStyle name="Normal 4 2" xfId="421"/>
    <cellStyle name="Normal 4 3" xfId="518"/>
    <cellStyle name="Normal 40" xfId="62"/>
    <cellStyle name="Normal 40 2" xfId="286"/>
    <cellStyle name="Normal 40 3" xfId="472"/>
    <cellStyle name="Normal 41" xfId="63"/>
    <cellStyle name="Normal 41 2" xfId="287"/>
    <cellStyle name="Normal 41 3" xfId="473"/>
    <cellStyle name="Normal 42" xfId="64"/>
    <cellStyle name="Normal 42 2" xfId="288"/>
    <cellStyle name="Normal 42 3" xfId="474"/>
    <cellStyle name="Normal 43" xfId="65"/>
    <cellStyle name="Normal 43 2" xfId="289"/>
    <cellStyle name="Normal 43 3" xfId="475"/>
    <cellStyle name="Normal 44" xfId="66"/>
    <cellStyle name="Normal 44 2" xfId="290"/>
    <cellStyle name="Normal 44 3" xfId="476"/>
    <cellStyle name="Normal 45" xfId="382"/>
    <cellStyle name="Normal 46" xfId="67"/>
    <cellStyle name="Normal 46 2" xfId="291"/>
    <cellStyle name="Normal 46 3" xfId="477"/>
    <cellStyle name="Normal 47" xfId="68"/>
    <cellStyle name="Normal 47 2" xfId="292"/>
    <cellStyle name="Normal 47 3" xfId="478"/>
    <cellStyle name="Normal 48" xfId="69"/>
    <cellStyle name="Normal 48 2" xfId="293"/>
    <cellStyle name="Normal 48 3" xfId="479"/>
    <cellStyle name="Normal 49" xfId="70"/>
    <cellStyle name="Normal 49 2" xfId="294"/>
    <cellStyle name="Normal 49 3" xfId="480"/>
    <cellStyle name="Normal 5" xfId="71"/>
    <cellStyle name="Normal 5 2" xfId="72"/>
    <cellStyle name="Normal 5 3" xfId="73"/>
    <cellStyle name="Normal 5 3 2" xfId="158"/>
    <cellStyle name="Normal 5 4" xfId="295"/>
    <cellStyle name="Normal 5 5" xfId="481"/>
    <cellStyle name="Normal 50" xfId="74"/>
    <cellStyle name="Normal 50 2" xfId="296"/>
    <cellStyle name="Normal 50 3" xfId="482"/>
    <cellStyle name="Normal 51" xfId="75"/>
    <cellStyle name="Normal 51 2" xfId="297"/>
    <cellStyle name="Normal 51 3" xfId="483"/>
    <cellStyle name="Normal 52" xfId="76"/>
    <cellStyle name="Normal 52 2" xfId="298"/>
    <cellStyle name="Normal 52 3" xfId="484"/>
    <cellStyle name="Normal 53" xfId="384"/>
    <cellStyle name="Normal 54" xfId="77"/>
    <cellStyle name="Normal 54 2" xfId="299"/>
    <cellStyle name="Normal 54 3" xfId="485"/>
    <cellStyle name="Normal 55" xfId="386"/>
    <cellStyle name="Normal 56" xfId="78"/>
    <cellStyle name="Normal 56 2" xfId="300"/>
    <cellStyle name="Normal 56 3" xfId="486"/>
    <cellStyle name="Normal 57" xfId="79"/>
    <cellStyle name="Normal 57 2" xfId="301"/>
    <cellStyle name="Normal 57 3" xfId="487"/>
    <cellStyle name="Normal 58" xfId="80"/>
    <cellStyle name="Normal 58 2" xfId="302"/>
    <cellStyle name="Normal 58 3" xfId="488"/>
    <cellStyle name="Normal 59" xfId="387"/>
    <cellStyle name="Normal 6" xfId="81"/>
    <cellStyle name="Normal 6 2" xfId="242"/>
    <cellStyle name="Normal 6 3" xfId="303"/>
    <cellStyle name="Normal 6 4" xfId="489"/>
    <cellStyle name="Normal 60" xfId="82"/>
    <cellStyle name="Normal 60 2" xfId="304"/>
    <cellStyle name="Normal 60 3" xfId="490"/>
    <cellStyle name="Normal 61" xfId="83"/>
    <cellStyle name="Normal 61 2" xfId="305"/>
    <cellStyle name="Normal 61 3" xfId="491"/>
    <cellStyle name="Normal 62" xfId="84"/>
    <cellStyle name="Normal 62 2" xfId="306"/>
    <cellStyle name="Normal 62 3" xfId="492"/>
    <cellStyle name="Normal 63" xfId="400"/>
    <cellStyle name="Normal 63 2" xfId="412"/>
    <cellStyle name="Normal 64" xfId="85"/>
    <cellStyle name="Normal 64 2" xfId="307"/>
    <cellStyle name="Normal 64 3" xfId="493"/>
    <cellStyle name="Normal 65" xfId="86"/>
    <cellStyle name="Normal 65 2" xfId="308"/>
    <cellStyle name="Normal 65 3" xfId="494"/>
    <cellStyle name="Normal 66" xfId="413"/>
    <cellStyle name="Normal 66 2" xfId="414"/>
    <cellStyle name="Normal 67" xfId="415"/>
    <cellStyle name="Normal 67 2" xfId="416"/>
    <cellStyle name="Normal 68" xfId="87"/>
    <cellStyle name="Normal 68 2" xfId="309"/>
    <cellStyle name="Normal 68 3" xfId="495"/>
    <cellStyle name="Normal 69" xfId="88"/>
    <cellStyle name="Normal 69 2" xfId="310"/>
    <cellStyle name="Normal 69 3" xfId="496"/>
    <cellStyle name="Normal 7" xfId="89"/>
    <cellStyle name="Normal 7 2" xfId="243"/>
    <cellStyle name="Normal 7 3" xfId="389"/>
    <cellStyle name="Normal 7 4" xfId="497"/>
    <cellStyle name="Normal 70" xfId="417"/>
    <cellStyle name="Normal 70 2" xfId="418"/>
    <cellStyle name="Normal 71" xfId="90"/>
    <cellStyle name="Normal 71 2" xfId="311"/>
    <cellStyle name="Normal 71 3" xfId="498"/>
    <cellStyle name="Normal 72" xfId="91"/>
    <cellStyle name="Normal 72 2" xfId="312"/>
    <cellStyle name="Normal 72 3" xfId="499"/>
    <cellStyle name="Normal 73" xfId="420"/>
    <cellStyle name="Normal 73 2" xfId="519"/>
    <cellStyle name="Normal 74" xfId="423"/>
    <cellStyle name="Normal 75" xfId="427"/>
    <cellStyle name="Normal 76" xfId="92"/>
    <cellStyle name="Normal 76 2" xfId="313"/>
    <cellStyle name="Normal 76 3" xfId="500"/>
    <cellStyle name="Normal 77" xfId="513"/>
    <cellStyle name="Normal 8" xfId="93"/>
    <cellStyle name="Normal 8 2" xfId="244"/>
    <cellStyle name="Normal 8 3" xfId="314"/>
    <cellStyle name="Normal 8 4" xfId="501"/>
    <cellStyle name="Normal 80" xfId="94"/>
    <cellStyle name="Normal 80 2" xfId="315"/>
    <cellStyle name="Normal 80 3" xfId="502"/>
    <cellStyle name="Normal 81" xfId="95"/>
    <cellStyle name="Normal 81 2" xfId="316"/>
    <cellStyle name="Normal 81 3" xfId="503"/>
    <cellStyle name="Normal 82" xfId="96"/>
    <cellStyle name="Normal 82 2" xfId="317"/>
    <cellStyle name="Normal 82 3" xfId="504"/>
    <cellStyle name="Normal 84" xfId="97"/>
    <cellStyle name="Normal 84 2" xfId="318"/>
    <cellStyle name="Normal 84 3" xfId="505"/>
    <cellStyle name="Normal 85" xfId="98"/>
    <cellStyle name="Normal 85 2" xfId="319"/>
    <cellStyle name="Normal 85 3" xfId="506"/>
    <cellStyle name="Normal 86" xfId="99"/>
    <cellStyle name="Normal 86 2" xfId="320"/>
    <cellStyle name="Normal 86 3" xfId="507"/>
    <cellStyle name="Normal 9" xfId="144"/>
    <cellStyle name="Normal 90" xfId="100"/>
    <cellStyle name="Normal 90 2" xfId="321"/>
    <cellStyle name="Normal 90 3" xfId="508"/>
    <cellStyle name="Normal 92" xfId="101"/>
    <cellStyle name="Normal 92 2" xfId="322"/>
    <cellStyle name="Normal 92 3" xfId="509"/>
    <cellStyle name="Normal 94" xfId="102"/>
    <cellStyle name="Normal 94 2" xfId="323"/>
    <cellStyle name="Normal 94 3" xfId="510"/>
    <cellStyle name="Normal 97" xfId="103"/>
    <cellStyle name="Normal 97 2" xfId="324"/>
    <cellStyle name="Normal 97 3" xfId="511"/>
    <cellStyle name="Normal 98" xfId="104"/>
    <cellStyle name="Normal 98 2" xfId="325"/>
    <cellStyle name="Normal 98 3" xfId="512"/>
    <cellStyle name="Normal_21 Exh B" xfId="399"/>
    <cellStyle name="Normal_Attachment GG Example 8 26 09" xfId="396"/>
    <cellStyle name="Normal_Attachment GG Template ER11-28 11-18-10" xfId="393"/>
    <cellStyle name="Normal_Attachment O Support - 2004 True-up" xfId="398"/>
    <cellStyle name="Normal_Attachment Os for 2002 True-up" xfId="394"/>
    <cellStyle name="Normal_statem~1" xfId="5"/>
    <cellStyle name="Normal_statem~4" xfId="6"/>
    <cellStyle name="Number" xfId="422"/>
    <cellStyle name="Percent" xfId="148" builtinId="5"/>
    <cellStyle name="Percent 2" xfId="7"/>
    <cellStyle name="Percent 2 2" xfId="159"/>
    <cellStyle name="Percent 2 3" xfId="392"/>
    <cellStyle name="Percent 3" xfId="105"/>
    <cellStyle name="Percent 4" xfId="146"/>
    <cellStyle name="Percent 5" xfId="150"/>
    <cellStyle name="Percent 5 2" xfId="359"/>
    <cellStyle name="Percent 6" xfId="153"/>
    <cellStyle name="Percent 6 2" xfId="362"/>
    <cellStyle name="Percent 7" xfId="419"/>
    <cellStyle name="SAPBEXaggData" xfId="106"/>
    <cellStyle name="SAPBEXaggData 2" xfId="199"/>
    <cellStyle name="SAPBEXaggData 3" xfId="326"/>
    <cellStyle name="SAPBEXaggData 4" xfId="406"/>
    <cellStyle name="SAPBEXaggDataEmph" xfId="107"/>
    <cellStyle name="SAPBEXaggDataEmph 2" xfId="200"/>
    <cellStyle name="SAPBEXaggDataEmph 3" xfId="327"/>
    <cellStyle name="SAPBEXaggItem" xfId="108"/>
    <cellStyle name="SAPBEXaggItem 2" xfId="201"/>
    <cellStyle name="SAPBEXaggItem 3" xfId="328"/>
    <cellStyle name="SAPBEXaggItem 4" xfId="409"/>
    <cellStyle name="SAPBEXaggItemX" xfId="109"/>
    <cellStyle name="SAPBEXaggItemX 2" xfId="202"/>
    <cellStyle name="SAPBEXaggItemX 3" xfId="234"/>
    <cellStyle name="SAPBEXaggItemX 4" xfId="403"/>
    <cellStyle name="SAPBEXchaText" xfId="110"/>
    <cellStyle name="SAPBEXchaText 2" xfId="165"/>
    <cellStyle name="SAPBEXchaText 2 2" xfId="236"/>
    <cellStyle name="SAPBEXchaText 3" xfId="203"/>
    <cellStyle name="SAPBEXchaText 4" xfId="401"/>
    <cellStyle name="SAPBEXchaText_10-28-10" xfId="166"/>
    <cellStyle name="SAPBEXexcBad7" xfId="111"/>
    <cellStyle name="SAPBEXexcBad7 2" xfId="204"/>
    <cellStyle name="SAPBEXexcBad7 3" xfId="329"/>
    <cellStyle name="SAPBEXexcBad8" xfId="112"/>
    <cellStyle name="SAPBEXexcBad8 2" xfId="205"/>
    <cellStyle name="SAPBEXexcBad8 3" xfId="330"/>
    <cellStyle name="SAPBEXexcBad9" xfId="113"/>
    <cellStyle name="SAPBEXexcBad9 2" xfId="206"/>
    <cellStyle name="SAPBEXexcBad9 3" xfId="331"/>
    <cellStyle name="SAPBEXexcCritical4" xfId="114"/>
    <cellStyle name="SAPBEXexcCritical4 2" xfId="207"/>
    <cellStyle name="SAPBEXexcCritical4 3" xfId="332"/>
    <cellStyle name="SAPBEXexcCritical5" xfId="115"/>
    <cellStyle name="SAPBEXexcCritical5 2" xfId="208"/>
    <cellStyle name="SAPBEXexcCritical5 3" xfId="333"/>
    <cellStyle name="SAPBEXexcCritical6" xfId="116"/>
    <cellStyle name="SAPBEXexcCritical6 2" xfId="209"/>
    <cellStyle name="SAPBEXexcCritical6 3" xfId="334"/>
    <cellStyle name="SAPBEXexcGood1" xfId="117"/>
    <cellStyle name="SAPBEXexcGood1 2" xfId="210"/>
    <cellStyle name="SAPBEXexcGood1 3" xfId="335"/>
    <cellStyle name="SAPBEXexcGood2" xfId="118"/>
    <cellStyle name="SAPBEXexcGood2 2" xfId="211"/>
    <cellStyle name="SAPBEXexcGood2 3" xfId="336"/>
    <cellStyle name="SAPBEXexcGood3" xfId="119"/>
    <cellStyle name="SAPBEXexcGood3 2" xfId="212"/>
    <cellStyle name="SAPBEXexcGood3 3" xfId="337"/>
    <cellStyle name="SAPBEXfilterDrill" xfId="120"/>
    <cellStyle name="SAPBEXfilterDrill 2" xfId="213"/>
    <cellStyle name="SAPBEXfilterDrill 3" xfId="338"/>
    <cellStyle name="SAPBEXfilterItem" xfId="121"/>
    <cellStyle name="SAPBEXfilterItem 2" xfId="214"/>
    <cellStyle name="SAPBEXfilterText" xfId="122"/>
    <cellStyle name="SAPBEXfilterText 2" xfId="167"/>
    <cellStyle name="SAPBEXformats" xfId="123"/>
    <cellStyle name="SAPBEXformats 2" xfId="168"/>
    <cellStyle name="SAPBEXformats 2 2" xfId="367"/>
    <cellStyle name="SAPBEXformats 3" xfId="215"/>
    <cellStyle name="SAPBEXformats 4" xfId="339"/>
    <cellStyle name="SAPBEXformats_10-28-10" xfId="169"/>
    <cellStyle name="SAPBEXheaderItem" xfId="124"/>
    <cellStyle name="SAPBEXheaderItem 2" xfId="170"/>
    <cellStyle name="SAPBEXheaderItem 2 2" xfId="368"/>
    <cellStyle name="SAPBEXheaderItem 3" xfId="340"/>
    <cellStyle name="SAPBEXheaderText" xfId="125"/>
    <cellStyle name="SAPBEXheaderText 2" xfId="171"/>
    <cellStyle name="SAPBEXheaderText 2 2" xfId="369"/>
    <cellStyle name="SAPBEXheaderText 3" xfId="341"/>
    <cellStyle name="SAPBEXHLevel0" xfId="126"/>
    <cellStyle name="SAPBEXHLevel0 2" xfId="172"/>
    <cellStyle name="SAPBEXHLevel0 2 2" xfId="370"/>
    <cellStyle name="SAPBEXHLevel0 3" xfId="216"/>
    <cellStyle name="SAPBEXHLevel0 4" xfId="342"/>
    <cellStyle name="SAPBEXHLevel0_10-28-10" xfId="173"/>
    <cellStyle name="SAPBEXHLevel0X" xfId="127"/>
    <cellStyle name="SAPBEXHLevel0X 2" xfId="174"/>
    <cellStyle name="SAPBEXHLevel0X 2 2" xfId="371"/>
    <cellStyle name="SAPBEXHLevel0X 3" xfId="217"/>
    <cellStyle name="SAPBEXHLevel0X 4" xfId="343"/>
    <cellStyle name="SAPBEXHLevel0X_10-28-10" xfId="175"/>
    <cellStyle name="SAPBEXHLevel1" xfId="128"/>
    <cellStyle name="SAPBEXHLevel1 2" xfId="176"/>
    <cellStyle name="SAPBEXHLevel1 2 2" xfId="372"/>
    <cellStyle name="SAPBEXHLevel1 3" xfId="218"/>
    <cellStyle name="SAPBEXHLevel1 4" xfId="344"/>
    <cellStyle name="SAPBEXHLevel1_10-28-10" xfId="177"/>
    <cellStyle name="SAPBEXHLevel1X" xfId="129"/>
    <cellStyle name="SAPBEXHLevel1X 2" xfId="178"/>
    <cellStyle name="SAPBEXHLevel1X 2 2" xfId="373"/>
    <cellStyle name="SAPBEXHLevel1X 3" xfId="219"/>
    <cellStyle name="SAPBEXHLevel1X 4" xfId="345"/>
    <cellStyle name="SAPBEXHLevel1X_10-28-10" xfId="179"/>
    <cellStyle name="SAPBEXHLevel2" xfId="130"/>
    <cellStyle name="SAPBEXHLevel2 2" xfId="180"/>
    <cellStyle name="SAPBEXHLevel2 2 2" xfId="374"/>
    <cellStyle name="SAPBEXHLevel2 3" xfId="220"/>
    <cellStyle name="SAPBEXHLevel2 4" xfId="346"/>
    <cellStyle name="SAPBEXHLevel2_10-28-10" xfId="181"/>
    <cellStyle name="SAPBEXHLevel2X" xfId="131"/>
    <cellStyle name="SAPBEXHLevel2X 2" xfId="182"/>
    <cellStyle name="SAPBEXHLevel2X 2 2" xfId="375"/>
    <cellStyle name="SAPBEXHLevel2X 3" xfId="221"/>
    <cellStyle name="SAPBEXHLevel2X 4" xfId="347"/>
    <cellStyle name="SAPBEXHLevel2X_10-28-10" xfId="183"/>
    <cellStyle name="SAPBEXHLevel3" xfId="132"/>
    <cellStyle name="SAPBEXHLevel3 2" xfId="184"/>
    <cellStyle name="SAPBEXHLevel3 2 2" xfId="376"/>
    <cellStyle name="SAPBEXHLevel3 3" xfId="222"/>
    <cellStyle name="SAPBEXHLevel3 4" xfId="348"/>
    <cellStyle name="SAPBEXHLevel3_10-28-10" xfId="185"/>
    <cellStyle name="SAPBEXHLevel3X" xfId="133"/>
    <cellStyle name="SAPBEXHLevel3X 2" xfId="186"/>
    <cellStyle name="SAPBEXHLevel3X 2 2" xfId="377"/>
    <cellStyle name="SAPBEXHLevel3X 3" xfId="223"/>
    <cellStyle name="SAPBEXHLevel3X 4" xfId="349"/>
    <cellStyle name="SAPBEXHLevel3X_10-28-10" xfId="187"/>
    <cellStyle name="SAPBEXresData" xfId="134"/>
    <cellStyle name="SAPBEXresData 2" xfId="224"/>
    <cellStyle name="SAPBEXresData 3" xfId="350"/>
    <cellStyle name="SAPBEXresDataEmph" xfId="135"/>
    <cellStyle name="SAPBEXresDataEmph 2" xfId="225"/>
    <cellStyle name="SAPBEXresDataEmph 3" xfId="351"/>
    <cellStyle name="SAPBEXresItem" xfId="136"/>
    <cellStyle name="SAPBEXresItem 2" xfId="226"/>
    <cellStyle name="SAPBEXresItem 3" xfId="352"/>
    <cellStyle name="SAPBEXresItemX" xfId="137"/>
    <cellStyle name="SAPBEXresItemX 2" xfId="227"/>
    <cellStyle name="SAPBEXresItemX 3" xfId="353"/>
    <cellStyle name="SAPBEXstdData" xfId="138"/>
    <cellStyle name="SAPBEXstdData 2" xfId="228"/>
    <cellStyle name="SAPBEXstdData 3" xfId="354"/>
    <cellStyle name="SAPBEXstdData 3 6" xfId="523"/>
    <cellStyle name="SAPBEXstdData 4" xfId="405"/>
    <cellStyle name="SAPBEXstdDataEmph" xfId="139"/>
    <cellStyle name="SAPBEXstdDataEmph 2" xfId="229"/>
    <cellStyle name="SAPBEXstdDataEmph 3" xfId="355"/>
    <cellStyle name="SAPBEXstdItem" xfId="140"/>
    <cellStyle name="SAPBEXstdItem 2" xfId="164"/>
    <cellStyle name="SAPBEXstdItem 2 2" xfId="378"/>
    <cellStyle name="SAPBEXstdItem 2 2 6" xfId="520"/>
    <cellStyle name="SAPBEXstdItem 3" xfId="230"/>
    <cellStyle name="SAPBEXstdItem 4" xfId="356"/>
    <cellStyle name="SAPBEXstdItem 5" xfId="404"/>
    <cellStyle name="SAPBEXstdItem 5 6" xfId="521"/>
    <cellStyle name="SAPBEXstdItem_10-28-10" xfId="188"/>
    <cellStyle name="SAPBEXstdItemX" xfId="141"/>
    <cellStyle name="SAPBEXstdItemX 2" xfId="189"/>
    <cellStyle name="SAPBEXstdItemX 2 2" xfId="235"/>
    <cellStyle name="SAPBEXstdItemX 3" xfId="231"/>
    <cellStyle name="SAPBEXstdItemX 4" xfId="402"/>
    <cellStyle name="SAPBEXstdItemX_10-28-10" xfId="190"/>
    <cellStyle name="SAPBEXtitle" xfId="142"/>
    <cellStyle name="SAPBEXtitle 2" xfId="191"/>
    <cellStyle name="SAPBEXundefined" xfId="143"/>
    <cellStyle name="SAPBEXundefined 2" xfId="232"/>
    <cellStyle name="SAPBEXundefined 3" xfId="357"/>
    <cellStyle name="Single Border" xfId="517"/>
  </cellStyles>
  <dxfs count="0"/>
  <tableStyles count="0" defaultTableStyle="TableStyleMedium9" defaultPivotStyle="PivotStyleLight16"/>
  <colors>
    <mruColors>
      <color rgb="FFFFFF99"/>
      <color rgb="FFFFFFCC"/>
      <color rgb="FFFF66FF"/>
      <color rgb="FF00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2.gif"/><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3" name="Right Arrow 2">
          <a:hlinkClick xmlns:r="http://schemas.openxmlformats.org/officeDocument/2006/relationships" r:id="rId1"/>
        </xdr:cNvPr>
        <xdr:cNvSpPr/>
      </xdr:nvSpPr>
      <xdr:spPr>
        <a:xfrm flipH="1">
          <a:off x="0" y="155864"/>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xdr:cNvPr>
        <xdr:cNvSpPr/>
      </xdr:nvSpPr>
      <xdr:spPr>
        <a:xfrm flipH="1">
          <a:off x="0" y="0"/>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xdr:cNvPr>
        <xdr:cNvSpPr/>
      </xdr:nvSpPr>
      <xdr:spPr>
        <a:xfrm flipH="1">
          <a:off x="0" y="165100"/>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0025"/>
          <a:ext cx="209550"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13</xdr:row>
      <xdr:rowOff>0</xdr:rowOff>
    </xdr:from>
    <xdr:to>
      <xdr:col>43</xdr:col>
      <xdr:colOff>0</xdr:colOff>
      <xdr:row>75</xdr:row>
      <xdr:rowOff>0</xdr:rowOff>
    </xdr:to>
    <xdr:pic>
      <xdr:nvPicPr>
        <xdr:cNvPr id="4" name="BExKI2T1D11014DREFDGSMJ45J9W"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7675"/>
          <a:ext cx="43916600" cy="11249025"/>
        </a:xfrm>
        <a:prstGeom prst="rect">
          <a:avLst/>
        </a:prstGeom>
      </xdr:spPr>
    </xdr:pic>
    <xdr:clientData/>
  </xdr:twoCellAnchor>
  <xdr:twoCellAnchor>
    <xdr:from>
      <xdr:col>1</xdr:col>
      <xdr:colOff>0</xdr:colOff>
      <xdr:row>1</xdr:row>
      <xdr:rowOff>0</xdr:rowOff>
    </xdr:from>
    <xdr:to>
      <xdr:col>2</xdr:col>
      <xdr:colOff>0</xdr:colOff>
      <xdr:row>1</xdr:row>
      <xdr:rowOff>244475</xdr:rowOff>
    </xdr:to>
    <xdr:pic>
      <xdr:nvPicPr>
        <xdr:cNvPr id="5" name="BExD92FPK3REG9B5YYM52BQW2UUC"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416175" cy="244475"/>
        </a:xfrm>
        <a:prstGeom prst="rect">
          <a:avLst/>
        </a:prstGeom>
      </xdr:spPr>
    </xdr:pic>
    <xdr:clientData/>
  </xdr:twoCellAnchor>
  <xdr:twoCellAnchor>
    <xdr:from>
      <xdr:col>1</xdr:col>
      <xdr:colOff>0</xdr:colOff>
      <xdr:row>10</xdr:row>
      <xdr:rowOff>0</xdr:rowOff>
    </xdr:from>
    <xdr:to>
      <xdr:col>2</xdr:col>
      <xdr:colOff>0</xdr:colOff>
      <xdr:row>10</xdr:row>
      <xdr:rowOff>244475</xdr:rowOff>
    </xdr:to>
    <xdr:pic>
      <xdr:nvPicPr>
        <xdr:cNvPr id="6" name="BExD92FPK3REG9B5YYM52BQW2UUC"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14500" cy="244475"/>
        </a:xfrm>
        <a:prstGeom prst="rect">
          <a:avLst/>
        </a:prstGeom>
      </xdr:spPr>
    </xdr:pic>
    <xdr:clientData/>
  </xdr:twoCellAnchor>
  <xdr:twoCellAnchor>
    <xdr:from>
      <xdr:col>1</xdr:col>
      <xdr:colOff>63498</xdr:colOff>
      <xdr:row>2</xdr:row>
      <xdr:rowOff>74081</xdr:rowOff>
    </xdr:from>
    <xdr:to>
      <xdr:col>1</xdr:col>
      <xdr:colOff>396873</xdr:colOff>
      <xdr:row>3</xdr:row>
      <xdr:rowOff>26456</xdr:rowOff>
    </xdr:to>
    <xdr:sp macro="" textlink="">
      <xdr:nvSpPr>
        <xdr:cNvPr id="8" name="Right Arrow 7">
          <a:hlinkClick xmlns:r="http://schemas.openxmlformats.org/officeDocument/2006/relationships" r:id="rId3"/>
        </xdr:cNvPr>
        <xdr:cNvSpPr/>
      </xdr:nvSpPr>
      <xdr:spPr>
        <a:xfrm flipH="1">
          <a:off x="63498" y="518581"/>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238124</xdr:colOff>
      <xdr:row>2</xdr:row>
      <xdr:rowOff>0</xdr:rowOff>
    </xdr:to>
    <xdr:sp macro="" textlink="">
      <xdr:nvSpPr>
        <xdr:cNvPr id="2" name="Right Arrow 1">
          <a:hlinkClick xmlns:r="http://schemas.openxmlformats.org/officeDocument/2006/relationships" r:id="rId1"/>
        </xdr:cNvPr>
        <xdr:cNvSpPr/>
      </xdr:nvSpPr>
      <xdr:spPr>
        <a:xfrm flipH="1">
          <a:off x="0" y="200025"/>
          <a:ext cx="419099" cy="15240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0</xdr:colOff>
      <xdr:row>0</xdr:row>
      <xdr:rowOff>0</xdr:rowOff>
    </xdr:from>
    <xdr:to>
      <xdr:col>1</xdr:col>
      <xdr:colOff>0</xdr:colOff>
      <xdr:row>0</xdr:row>
      <xdr:rowOff>244475</xdr:rowOff>
    </xdr:to>
    <xdr:pic>
      <xdr:nvPicPr>
        <xdr:cNvPr id="3" name="BExD92FPK3REG9B5YYM52BQW2UUC"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190500"/>
          <a:ext cx="1190625" cy="2349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243416</xdr:colOff>
      <xdr:row>2</xdr:row>
      <xdr:rowOff>21167</xdr:rowOff>
    </xdr:to>
    <xdr:sp macro="" textlink="">
      <xdr:nvSpPr>
        <xdr:cNvPr id="2" name="Right Arrow 1">
          <a:hlinkClick xmlns:r="http://schemas.openxmlformats.org/officeDocument/2006/relationships" r:id="rId1"/>
        </xdr:cNvPr>
        <xdr:cNvSpPr/>
      </xdr:nvSpPr>
      <xdr:spPr>
        <a:xfrm flipH="1">
          <a:off x="0" y="201083"/>
          <a:ext cx="370416" cy="169334"/>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466724</xdr:colOff>
      <xdr:row>2</xdr:row>
      <xdr:rowOff>19050</xdr:rowOff>
    </xdr:to>
    <xdr:sp macro="" textlink="">
      <xdr:nvSpPr>
        <xdr:cNvPr id="2" name="Right Arrow 1">
          <a:hlinkClick xmlns:r="http://schemas.openxmlformats.org/officeDocument/2006/relationships" r:id="rId1"/>
        </xdr:cNvPr>
        <xdr:cNvSpPr/>
      </xdr:nvSpPr>
      <xdr:spPr>
        <a:xfrm flipH="1">
          <a:off x="0" y="200025"/>
          <a:ext cx="466724" cy="1714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243415</xdr:colOff>
      <xdr:row>2</xdr:row>
      <xdr:rowOff>10583</xdr:rowOff>
    </xdr:to>
    <xdr:sp macro="" textlink="">
      <xdr:nvSpPr>
        <xdr:cNvPr id="2" name="Right Arrow 1">
          <a:hlinkClick xmlns:r="http://schemas.openxmlformats.org/officeDocument/2006/relationships" r:id="rId1"/>
        </xdr:cNvPr>
        <xdr:cNvSpPr/>
      </xdr:nvSpPr>
      <xdr:spPr>
        <a:xfrm flipH="1">
          <a:off x="0" y="201083"/>
          <a:ext cx="359832" cy="1587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25400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285749</xdr:colOff>
      <xdr:row>2</xdr:row>
      <xdr:rowOff>23812</xdr:rowOff>
    </xdr:to>
    <xdr:sp macro="" textlink="">
      <xdr:nvSpPr>
        <xdr:cNvPr id="2" name="Right Arrow 1">
          <a:hlinkClick xmlns:r="http://schemas.openxmlformats.org/officeDocument/2006/relationships" r:id="rId1"/>
        </xdr:cNvPr>
        <xdr:cNvSpPr/>
      </xdr:nvSpPr>
      <xdr:spPr>
        <a:xfrm flipH="1">
          <a:off x="0" y="202406"/>
          <a:ext cx="404812" cy="178594"/>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158750"/>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123825</xdr:colOff>
      <xdr:row>1</xdr:row>
      <xdr:rowOff>142875</xdr:rowOff>
    </xdr:to>
    <xdr:sp macro="" textlink="">
      <xdr:nvSpPr>
        <xdr:cNvPr id="2" name="Right Arrow 1">
          <a:hlinkClick xmlns:r="http://schemas.openxmlformats.org/officeDocument/2006/relationships" r:id="rId1"/>
        </xdr:cNvPr>
        <xdr:cNvSpPr/>
      </xdr:nvSpPr>
      <xdr:spPr>
        <a:xfrm flipH="1">
          <a:off x="1038225" y="152400"/>
          <a:ext cx="1162050"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33618</xdr:colOff>
      <xdr:row>1</xdr:row>
      <xdr:rowOff>56030</xdr:rowOff>
    </xdr:from>
    <xdr:to>
      <xdr:col>6</xdr:col>
      <xdr:colOff>366993</xdr:colOff>
      <xdr:row>1</xdr:row>
      <xdr:rowOff>198905</xdr:rowOff>
    </xdr:to>
    <xdr:sp macro="" textlink="">
      <xdr:nvSpPr>
        <xdr:cNvPr id="2" name="Right Arrow 1">
          <a:hlinkClick xmlns:r="http://schemas.openxmlformats.org/officeDocument/2006/relationships" r:id="rId1"/>
        </xdr:cNvPr>
        <xdr:cNvSpPr/>
      </xdr:nvSpPr>
      <xdr:spPr>
        <a:xfrm flipH="1">
          <a:off x="190500" y="324971"/>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0</xdr:colOff>
      <xdr:row>1</xdr:row>
      <xdr:rowOff>81642</xdr:rowOff>
    </xdr:from>
    <xdr:to>
      <xdr:col>2</xdr:col>
      <xdr:colOff>333375</xdr:colOff>
      <xdr:row>1</xdr:row>
      <xdr:rowOff>224517</xdr:rowOff>
    </xdr:to>
    <xdr:sp macro="" textlink="">
      <xdr:nvSpPr>
        <xdr:cNvPr id="2" name="Right Arrow 1">
          <a:hlinkClick xmlns:r="http://schemas.openxmlformats.org/officeDocument/2006/relationships" r:id="rId1"/>
        </xdr:cNvPr>
        <xdr:cNvSpPr/>
      </xdr:nvSpPr>
      <xdr:spPr>
        <a:xfrm flipH="1">
          <a:off x="0" y="44903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444499</xdr:colOff>
      <xdr:row>1</xdr:row>
      <xdr:rowOff>158750</xdr:rowOff>
    </xdr:to>
    <xdr:sp macro="" textlink="">
      <xdr:nvSpPr>
        <xdr:cNvPr id="2" name="Right Arrow 1">
          <a:hlinkClick xmlns:r="http://schemas.openxmlformats.org/officeDocument/2006/relationships" r:id="rId1"/>
        </xdr:cNvPr>
        <xdr:cNvSpPr/>
      </xdr:nvSpPr>
      <xdr:spPr>
        <a:xfrm flipH="1">
          <a:off x="0" y="201083"/>
          <a:ext cx="444499" cy="1587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71437</xdr:colOff>
      <xdr:row>1</xdr:row>
      <xdr:rowOff>142875</xdr:rowOff>
    </xdr:to>
    <xdr:sp macro="" textlink="">
      <xdr:nvSpPr>
        <xdr:cNvPr id="2" name="Right Arrow 1">
          <a:hlinkClick xmlns:r="http://schemas.openxmlformats.org/officeDocument/2006/relationships" r:id="rId1"/>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95250</xdr:colOff>
      <xdr:row>1</xdr:row>
      <xdr:rowOff>142875</xdr:rowOff>
    </xdr:to>
    <xdr:sp macro="" textlink="">
      <xdr:nvSpPr>
        <xdr:cNvPr id="2" name="Right Arrow 1">
          <a:hlinkClick xmlns:r="http://schemas.openxmlformats.org/officeDocument/2006/relationships" r:id="rId1"/>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107172</xdr:colOff>
      <xdr:row>1</xdr:row>
      <xdr:rowOff>59526</xdr:rowOff>
    </xdr:from>
    <xdr:to>
      <xdr:col>0</xdr:col>
      <xdr:colOff>440547</xdr:colOff>
      <xdr:row>1</xdr:row>
      <xdr:rowOff>202401</xdr:rowOff>
    </xdr:to>
    <xdr:sp macro="" textlink="">
      <xdr:nvSpPr>
        <xdr:cNvPr id="2" name="Right Arrow 1">
          <a:hlinkClick xmlns:r="http://schemas.openxmlformats.org/officeDocument/2006/relationships" r:id="rId1"/>
        </xdr:cNvPr>
        <xdr:cNvSpPr/>
      </xdr:nvSpPr>
      <xdr:spPr>
        <a:xfrm flipH="1">
          <a:off x="107172" y="261932"/>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285749</xdr:colOff>
      <xdr:row>2</xdr:row>
      <xdr:rowOff>23812</xdr:rowOff>
    </xdr:to>
    <xdr:sp macro="" textlink="">
      <xdr:nvSpPr>
        <xdr:cNvPr id="2" name="Right Arrow 1">
          <a:hlinkClick xmlns:r="http://schemas.openxmlformats.org/officeDocument/2006/relationships" r:id="rId1"/>
        </xdr:cNvPr>
        <xdr:cNvSpPr/>
      </xdr:nvSpPr>
      <xdr:spPr>
        <a:xfrm flipH="1">
          <a:off x="0" y="200025"/>
          <a:ext cx="838199" cy="176212"/>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4107"/>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180975"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3" name="Right Arrow 2">
          <a:hlinkClick xmlns:r="http://schemas.openxmlformats.org/officeDocument/2006/relationships" r:id="rId1"/>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0" y="257175"/>
          <a:ext cx="209550"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265043</xdr:rowOff>
    </xdr:from>
    <xdr:to>
      <xdr:col>2</xdr:col>
      <xdr:colOff>23813</xdr:colOff>
      <xdr:row>1</xdr:row>
      <xdr:rowOff>142875</xdr:rowOff>
    </xdr:to>
    <xdr:sp macro="" textlink="">
      <xdr:nvSpPr>
        <xdr:cNvPr id="2" name="Right Arrow 1">
          <a:hlinkClick xmlns:r="http://schemas.openxmlformats.org/officeDocument/2006/relationships" r:id="rId1"/>
        </xdr:cNvPr>
        <xdr:cNvSpPr/>
      </xdr:nvSpPr>
      <xdr:spPr>
        <a:xfrm flipH="1">
          <a:off x="66261" y="265043"/>
          <a:ext cx="40481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xdr:cNvPr>
        <xdr:cNvSpPr/>
      </xdr:nvSpPr>
      <xdr:spPr>
        <a:xfrm flipH="1">
          <a:off x="0" y="161925"/>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71437</xdr:colOff>
      <xdr:row>1</xdr:row>
      <xdr:rowOff>142875</xdr:rowOff>
    </xdr:to>
    <xdr:sp macro="" textlink="">
      <xdr:nvSpPr>
        <xdr:cNvPr id="2" name="Right Arrow 1">
          <a:hlinkClick xmlns:r="http://schemas.openxmlformats.org/officeDocument/2006/relationships" r:id="rId1"/>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190500" y="166688"/>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19050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xdr:cNvPr>
        <xdr:cNvSpPr/>
      </xdr:nvSpPr>
      <xdr:spPr>
        <a:xfrm flipH="1">
          <a:off x="309563"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20Stuff/Nevada%20Energy/Very%20Final%20Numbers/Final%20Final%20(9-26-12)/Ex%20NPC%20-%2012%20Per%20I%20Final%20(9-26-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tarnem/Local%20Settings/Temporary%20Internet%20Files/Content.Outlook/2SLD9MX9/2011%20Transm_COS_FERC_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sheetName val="AB"/>
      <sheetName val="AC"/>
      <sheetName val="AD"/>
      <sheetName val="AE"/>
      <sheetName val="AF"/>
      <sheetName val="AF_WP1"/>
      <sheetName val="AF WP2"/>
      <sheetName val="AG"/>
      <sheetName val="AG WP1"/>
      <sheetName val="AG WP2"/>
      <sheetName val="AH"/>
      <sheetName val="AI"/>
      <sheetName val="AJ"/>
      <sheetName val="AK"/>
      <sheetName val="AL"/>
      <sheetName val="AL WP1 "/>
      <sheetName val="AM"/>
      <sheetName val="AN"/>
      <sheetName val="AO"/>
      <sheetName val="AP"/>
      <sheetName val="AQ"/>
      <sheetName val="AQ WP1"/>
      <sheetName val="AQ WP2"/>
      <sheetName val="AR"/>
      <sheetName val="AR WP1"/>
      <sheetName val="AS"/>
      <sheetName val="AT"/>
      <sheetName val="AU"/>
      <sheetName val="AU WP1"/>
      <sheetName val="AV"/>
      <sheetName val="AV WP1"/>
      <sheetName val="AV WP2"/>
      <sheetName val="AW"/>
      <sheetName val="AX"/>
      <sheetName val="AY"/>
      <sheetName val="BA"/>
      <sheetName val="BB"/>
      <sheetName val="BC"/>
      <sheetName val="BD"/>
      <sheetName val="BE"/>
      <sheetName val="BF"/>
      <sheetName val="BG BH"/>
      <sheetName val="BI"/>
      <sheetName val="BJ"/>
      <sheetName val="BK"/>
      <sheetName val="BL"/>
      <sheetName val="B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62">
          <cell r="J462">
            <v>0.45782146347604424</v>
          </cell>
          <cell r="L462">
            <v>0.1529761887456722</v>
          </cell>
          <cell r="N462">
            <v>0.38920234777828361</v>
          </cell>
        </row>
        <row r="464">
          <cell r="J464">
            <v>0.44939965638234436</v>
          </cell>
          <cell r="L464">
            <v>0.15948868536199054</v>
          </cell>
          <cell r="N464">
            <v>0.39111165825566507</v>
          </cell>
        </row>
      </sheetData>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AA-Bal_Sht"/>
      <sheetName val="AB-Inc_Stmnt"/>
      <sheetName val="AC-Ret_Earn"/>
      <sheetName val="AD-EPIS"/>
      <sheetName val="AE-Acc_Depr"/>
      <sheetName val="AH-O&amp;M"/>
      <sheetName val="AI-Wages_Sal"/>
      <sheetName val="AJ-Depr-Exps"/>
      <sheetName val="AL-Work_Cap"/>
      <sheetName val="AM-CWIP"/>
      <sheetName val="AO-AFUDC"/>
      <sheetName val="AP-Int_Exps"/>
      <sheetName val="BK-Cost_Of_Svc"/>
      <sheetName val="BJ-Sum_Data"/>
      <sheetName val="AV-Cap_Struc"/>
      <sheetName val="Rev_Req"/>
      <sheetName val="Rate_Design"/>
      <sheetName val="Notes_Pay"/>
      <sheetName val="AR"/>
      <sheetName val="AS"/>
      <sheetName val="AT"/>
      <sheetName val="AU"/>
      <sheetName val="AK"/>
      <sheetName val="AW"/>
      <sheetName val="AX"/>
      <sheetName val="AY"/>
      <sheetName val="BA"/>
      <sheetName val="BB"/>
      <sheetName val="BD"/>
      <sheetName val="BC"/>
      <sheetName val="BE"/>
      <sheetName val="BF"/>
      <sheetName val="BH"/>
      <sheetName val="BI"/>
      <sheetName val="Summary"/>
      <sheetName val="AG"/>
      <sheetName val="AF"/>
      <sheetName val="A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6">
          <cell r="L56">
            <v>187774.82787102528</v>
          </cell>
        </row>
        <row r="595">
          <cell r="F595">
            <v>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G50"/>
  <sheetViews>
    <sheetView tabSelected="1" view="pageBreakPreview" zoomScaleNormal="100" zoomScaleSheetLayoutView="100" workbookViewId="0">
      <selection activeCell="C30" sqref="C30"/>
    </sheetView>
  </sheetViews>
  <sheetFormatPr defaultColWidth="8.75" defaultRowHeight="12.75"/>
  <cols>
    <col min="1" max="1" width="2.375" style="152" customWidth="1"/>
    <col min="2" max="2" width="21.5" style="152" customWidth="1"/>
    <col min="3" max="3" width="5.75" style="152" customWidth="1"/>
    <col min="4" max="4" width="96.5" style="152" bestFit="1" customWidth="1"/>
    <col min="5" max="10" width="8.75" style="152"/>
    <col min="11" max="11" width="29.125" style="152" customWidth="1"/>
    <col min="12" max="16384" width="8.75" style="152"/>
  </cols>
  <sheetData>
    <row r="1" spans="1:6" ht="15.75">
      <c r="A1" s="1245" t="s">
        <v>844</v>
      </c>
      <c r="B1" s="632"/>
      <c r="C1" s="631"/>
      <c r="D1" s="631"/>
      <c r="E1" s="27"/>
      <c r="F1" s="27"/>
    </row>
    <row r="2" spans="1:6">
      <c r="A2" s="631"/>
      <c r="B2" s="632"/>
      <c r="C2" s="631"/>
      <c r="D2" s="631"/>
      <c r="E2" s="27"/>
      <c r="F2" s="27"/>
    </row>
    <row r="3" spans="1:6" ht="15.75">
      <c r="A3" s="258"/>
      <c r="B3" s="258"/>
      <c r="C3" s="258"/>
      <c r="D3" s="258"/>
      <c r="E3" s="27"/>
      <c r="F3" s="27"/>
    </row>
    <row r="4" spans="1:6" ht="15.75">
      <c r="A4" s="27"/>
      <c r="B4" s="1783" t="s">
        <v>294</v>
      </c>
      <c r="C4" s="1783"/>
      <c r="D4" s="1783"/>
      <c r="E4" s="27"/>
      <c r="F4" s="27"/>
    </row>
    <row r="5" spans="1:6" ht="15.75">
      <c r="A5" s="27"/>
      <c r="B5" s="1783" t="s">
        <v>199</v>
      </c>
      <c r="C5" s="1783"/>
      <c r="D5" s="1783"/>
      <c r="E5" s="27"/>
      <c r="F5" s="27"/>
    </row>
    <row r="6" spans="1:6" ht="15.75">
      <c r="A6" s="27"/>
      <c r="B6" s="1783" t="s">
        <v>103</v>
      </c>
      <c r="C6" s="1783"/>
      <c r="D6" s="1783"/>
      <c r="E6" s="27"/>
      <c r="F6" s="27"/>
    </row>
    <row r="7" spans="1:6" ht="15.75">
      <c r="A7" s="258"/>
      <c r="B7" s="258"/>
      <c r="C7" s="258"/>
      <c r="D7" s="258"/>
      <c r="E7" s="27"/>
      <c r="F7" s="27"/>
    </row>
    <row r="8" spans="1:6" ht="15.75">
      <c r="A8" s="425"/>
      <c r="B8" s="425"/>
      <c r="C8" s="425"/>
      <c r="D8" s="425"/>
      <c r="E8" s="27"/>
      <c r="F8" s="27"/>
    </row>
    <row r="9" spans="1:6">
      <c r="A9" s="631"/>
      <c r="B9" s="632"/>
      <c r="C9" s="631"/>
      <c r="D9" s="631"/>
      <c r="E9" s="27"/>
      <c r="F9" s="27"/>
    </row>
    <row r="10" spans="1:6" ht="16.5" thickBot="1">
      <c r="A10" s="633"/>
      <c r="B10" s="634" t="s">
        <v>330</v>
      </c>
      <c r="C10" s="635"/>
      <c r="D10" s="636" t="s">
        <v>104</v>
      </c>
      <c r="E10" s="27"/>
      <c r="F10" s="27"/>
    </row>
    <row r="11" spans="1:6" ht="15.75" thickTop="1">
      <c r="A11" s="637"/>
      <c r="B11" s="638" t="s">
        <v>331</v>
      </c>
      <c r="C11" s="637"/>
      <c r="D11" s="639" t="s">
        <v>351</v>
      </c>
      <c r="E11" s="27"/>
      <c r="F11" s="27"/>
    </row>
    <row r="12" spans="1:6" ht="15">
      <c r="A12" s="637"/>
      <c r="B12" s="638" t="s">
        <v>1033</v>
      </c>
      <c r="C12" s="637"/>
      <c r="D12" s="639" t="s">
        <v>202</v>
      </c>
      <c r="E12" s="27"/>
      <c r="F12" s="27"/>
    </row>
    <row r="13" spans="1:6" ht="15">
      <c r="A13" s="637"/>
      <c r="B13" s="638" t="s">
        <v>1034</v>
      </c>
      <c r="C13" s="637"/>
      <c r="D13" s="639" t="s">
        <v>201</v>
      </c>
      <c r="E13" s="27"/>
      <c r="F13" s="27"/>
    </row>
    <row r="14" spans="1:6" ht="15">
      <c r="A14" s="637"/>
      <c r="B14" s="638" t="s">
        <v>1035</v>
      </c>
      <c r="C14" s="637"/>
      <c r="D14" s="639" t="s">
        <v>203</v>
      </c>
      <c r="E14" s="27"/>
      <c r="F14" s="27"/>
    </row>
    <row r="15" spans="1:6" ht="15">
      <c r="A15" s="637"/>
      <c r="B15" s="638" t="s">
        <v>1039</v>
      </c>
      <c r="C15" s="637"/>
      <c r="D15" s="639" t="s">
        <v>205</v>
      </c>
      <c r="E15" s="27"/>
      <c r="F15" s="27"/>
    </row>
    <row r="16" spans="1:6" ht="15">
      <c r="A16" s="637"/>
      <c r="B16" s="638" t="s">
        <v>1040</v>
      </c>
      <c r="C16" s="637"/>
      <c r="D16" s="639" t="s">
        <v>600</v>
      </c>
      <c r="E16" s="27"/>
      <c r="F16" s="27"/>
    </row>
    <row r="17" spans="1:7" ht="15">
      <c r="A17" s="637"/>
      <c r="B17" s="638" t="s">
        <v>1036</v>
      </c>
      <c r="C17" s="637"/>
      <c r="D17" s="639" t="s">
        <v>204</v>
      </c>
      <c r="E17" s="27"/>
      <c r="F17" s="27"/>
    </row>
    <row r="18" spans="1:7" ht="15">
      <c r="A18" s="637"/>
      <c r="B18" s="638" t="s">
        <v>1037</v>
      </c>
      <c r="C18" s="637"/>
      <c r="D18" s="639" t="s">
        <v>748</v>
      </c>
      <c r="E18" s="27"/>
      <c r="F18" s="27"/>
    </row>
    <row r="19" spans="1:7" ht="15">
      <c r="A19" s="637"/>
      <c r="B19" s="638" t="s">
        <v>1721</v>
      </c>
      <c r="C19" s="637"/>
      <c r="D19" s="639" t="s">
        <v>1715</v>
      </c>
      <c r="E19" s="27"/>
      <c r="F19" s="27"/>
    </row>
    <row r="20" spans="1:7" ht="15">
      <c r="A20" s="637"/>
      <c r="B20" s="638" t="s">
        <v>1038</v>
      </c>
      <c r="C20" s="637"/>
      <c r="D20" s="639" t="s">
        <v>749</v>
      </c>
      <c r="E20" s="27"/>
      <c r="F20" s="27"/>
    </row>
    <row r="21" spans="1:7" ht="15">
      <c r="A21" s="637"/>
      <c r="B21" s="638" t="s">
        <v>885</v>
      </c>
      <c r="C21" s="637"/>
      <c r="D21" s="639" t="s">
        <v>597</v>
      </c>
      <c r="E21" s="27"/>
      <c r="F21" s="27"/>
    </row>
    <row r="22" spans="1:7" ht="15">
      <c r="A22" s="637"/>
      <c r="B22" s="638" t="s">
        <v>935</v>
      </c>
      <c r="C22" s="637"/>
      <c r="D22" s="639" t="s">
        <v>598</v>
      </c>
      <c r="E22" s="640"/>
      <c r="F22" s="640"/>
      <c r="G22" s="641"/>
    </row>
    <row r="23" spans="1:7" ht="15">
      <c r="A23" s="637"/>
      <c r="B23" s="638" t="s">
        <v>943</v>
      </c>
      <c r="C23" s="637"/>
      <c r="D23" s="639" t="s">
        <v>599</v>
      </c>
      <c r="E23" s="27"/>
      <c r="F23" s="27"/>
    </row>
    <row r="24" spans="1:7" ht="15">
      <c r="A24" s="637"/>
      <c r="B24" s="638" t="s">
        <v>1044</v>
      </c>
      <c r="C24" s="637"/>
      <c r="D24" s="639" t="s">
        <v>731</v>
      </c>
      <c r="E24" s="27"/>
      <c r="F24" s="27"/>
    </row>
    <row r="25" spans="1:7" ht="15">
      <c r="A25" s="637"/>
      <c r="B25" s="638" t="s">
        <v>1045</v>
      </c>
      <c r="C25" s="637"/>
      <c r="D25" s="639" t="s">
        <v>732</v>
      </c>
      <c r="E25" s="27"/>
      <c r="F25" s="27"/>
    </row>
    <row r="26" spans="1:7" ht="15">
      <c r="A26" s="637"/>
      <c r="B26" s="638" t="s">
        <v>1056</v>
      </c>
      <c r="C26" s="637"/>
      <c r="D26" s="639" t="s">
        <v>780</v>
      </c>
      <c r="E26" s="27"/>
      <c r="F26" s="27"/>
    </row>
    <row r="27" spans="1:7" ht="15">
      <c r="A27" s="637"/>
      <c r="B27" s="638" t="s">
        <v>1058</v>
      </c>
      <c r="C27" s="637"/>
      <c r="D27" s="639" t="s">
        <v>781</v>
      </c>
      <c r="E27" s="27"/>
      <c r="F27" s="27"/>
    </row>
    <row r="28" spans="1:7" ht="15">
      <c r="A28" s="637"/>
      <c r="B28" s="638" t="s">
        <v>1063</v>
      </c>
      <c r="C28" s="631"/>
      <c r="D28" s="639" t="s">
        <v>758</v>
      </c>
      <c r="E28" s="27"/>
      <c r="F28" s="27"/>
    </row>
    <row r="29" spans="1:7" ht="15">
      <c r="A29" s="637"/>
      <c r="B29" s="638" t="s">
        <v>1057</v>
      </c>
      <c r="C29" s="631"/>
      <c r="D29" s="639" t="s">
        <v>825</v>
      </c>
      <c r="E29" s="27"/>
      <c r="F29" s="27"/>
    </row>
    <row r="30" spans="1:7" ht="15">
      <c r="A30" s="637"/>
      <c r="B30" s="638" t="s">
        <v>1060</v>
      </c>
      <c r="C30" s="631"/>
      <c r="D30" s="639" t="s">
        <v>335</v>
      </c>
      <c r="E30" s="27"/>
      <c r="F30" s="27"/>
    </row>
    <row r="31" spans="1:7" ht="15">
      <c r="A31" s="637"/>
      <c r="B31" s="638" t="s">
        <v>1061</v>
      </c>
      <c r="C31" s="631"/>
      <c r="D31" s="639" t="s">
        <v>344</v>
      </c>
      <c r="E31" s="27"/>
      <c r="F31" s="27"/>
    </row>
    <row r="32" spans="1:7" ht="15">
      <c r="A32" s="637"/>
      <c r="B32" s="638" t="s">
        <v>1059</v>
      </c>
      <c r="C32" s="631"/>
      <c r="D32" s="639" t="s">
        <v>782</v>
      </c>
      <c r="E32" s="27"/>
      <c r="F32" s="27"/>
    </row>
    <row r="33" spans="1:6" ht="15">
      <c r="A33" s="637"/>
      <c r="B33" s="638" t="s">
        <v>1048</v>
      </c>
      <c r="C33" s="637"/>
      <c r="D33" s="639" t="s">
        <v>257</v>
      </c>
      <c r="E33" s="27"/>
      <c r="F33" s="27"/>
    </row>
    <row r="34" spans="1:6" ht="15">
      <c r="A34" s="637"/>
      <c r="B34" s="638" t="s">
        <v>1042</v>
      </c>
      <c r="C34" s="637"/>
      <c r="D34" s="639" t="s">
        <v>733</v>
      </c>
      <c r="E34" s="27"/>
      <c r="F34" s="27"/>
    </row>
    <row r="35" spans="1:6" ht="15">
      <c r="A35" s="637"/>
      <c r="B35" s="638" t="s">
        <v>1041</v>
      </c>
      <c r="C35" s="637"/>
      <c r="D35" s="639" t="s">
        <v>736</v>
      </c>
      <c r="E35" s="27"/>
      <c r="F35" s="27"/>
    </row>
    <row r="36" spans="1:6" ht="15">
      <c r="A36" s="637"/>
      <c r="B36" s="638" t="s">
        <v>1054</v>
      </c>
      <c r="C36" s="637"/>
      <c r="D36" s="639" t="s">
        <v>601</v>
      </c>
      <c r="E36" s="27"/>
      <c r="F36" s="27"/>
    </row>
    <row r="37" spans="1:6" ht="15">
      <c r="A37" s="637"/>
      <c r="B37" s="638" t="s">
        <v>1052</v>
      </c>
      <c r="C37" s="637"/>
      <c r="D37" s="639" t="s">
        <v>289</v>
      </c>
      <c r="E37" s="27"/>
      <c r="F37" s="27"/>
    </row>
    <row r="38" spans="1:6" ht="15">
      <c r="A38" s="637"/>
      <c r="B38" s="638" t="s">
        <v>1050</v>
      </c>
      <c r="C38" s="637"/>
      <c r="D38" s="639" t="s">
        <v>370</v>
      </c>
      <c r="E38" s="27"/>
      <c r="F38" s="27"/>
    </row>
    <row r="39" spans="1:6" ht="15">
      <c r="A39" s="637"/>
      <c r="B39" s="638" t="s">
        <v>1051</v>
      </c>
      <c r="C39" s="637"/>
      <c r="D39" s="639" t="s">
        <v>252</v>
      </c>
      <c r="E39" s="27"/>
      <c r="F39" s="27"/>
    </row>
    <row r="40" spans="1:6" ht="15">
      <c r="A40" s="631"/>
      <c r="B40" s="638" t="s">
        <v>1049</v>
      </c>
      <c r="C40" s="637"/>
      <c r="D40" s="639" t="s">
        <v>1076</v>
      </c>
      <c r="E40" s="27"/>
      <c r="F40" s="27"/>
    </row>
    <row r="41" spans="1:6" ht="15">
      <c r="A41" s="631"/>
      <c r="B41" s="638" t="s">
        <v>1062</v>
      </c>
      <c r="C41" s="631"/>
      <c r="D41" s="639" t="s">
        <v>705</v>
      </c>
      <c r="E41" s="27"/>
      <c r="F41" s="27"/>
    </row>
    <row r="42" spans="1:6" ht="15">
      <c r="A42" s="631"/>
      <c r="B42" s="638" t="s">
        <v>1053</v>
      </c>
      <c r="C42" s="637"/>
      <c r="D42" s="639" t="s">
        <v>290</v>
      </c>
      <c r="E42" s="27"/>
      <c r="F42" s="27"/>
    </row>
    <row r="43" spans="1:6" ht="15">
      <c r="A43" s="631"/>
      <c r="B43" s="638" t="s">
        <v>1055</v>
      </c>
      <c r="C43" s="637"/>
      <c r="D43" s="639" t="s">
        <v>283</v>
      </c>
      <c r="E43" s="27"/>
      <c r="F43" s="27"/>
    </row>
    <row r="44" spans="1:6" ht="15">
      <c r="A44" s="637"/>
      <c r="B44" s="638" t="s">
        <v>1047</v>
      </c>
      <c r="C44" s="637"/>
      <c r="D44" s="639" t="s">
        <v>288</v>
      </c>
      <c r="E44" s="27"/>
      <c r="F44" s="27"/>
    </row>
    <row r="45" spans="1:6" ht="15">
      <c r="A45" s="631"/>
      <c r="B45" s="638" t="s">
        <v>1087</v>
      </c>
      <c r="C45" s="637"/>
      <c r="D45" s="639" t="s">
        <v>287</v>
      </c>
      <c r="E45" s="27"/>
      <c r="F45" s="27"/>
    </row>
    <row r="46" spans="1:6" ht="15">
      <c r="A46" s="631"/>
      <c r="B46" s="638" t="s">
        <v>1046</v>
      </c>
      <c r="C46" s="637"/>
      <c r="D46" s="639" t="s">
        <v>256</v>
      </c>
      <c r="E46" s="27"/>
      <c r="F46" s="27"/>
    </row>
    <row r="47" spans="1:6" ht="15">
      <c r="A47" s="637"/>
      <c r="B47" s="638" t="s">
        <v>1043</v>
      </c>
      <c r="C47" s="637"/>
      <c r="D47" s="639" t="s">
        <v>1083</v>
      </c>
      <c r="E47" s="27"/>
      <c r="F47" s="27"/>
    </row>
    <row r="48" spans="1:6" ht="15">
      <c r="A48" s="637"/>
      <c r="B48" s="638" t="s">
        <v>1077</v>
      </c>
      <c r="C48" s="637"/>
      <c r="D48" s="639" t="s">
        <v>1084</v>
      </c>
      <c r="E48" s="27"/>
      <c r="F48" s="27"/>
    </row>
    <row r="49" spans="1:6" ht="15">
      <c r="A49" s="637"/>
      <c r="B49" s="638" t="s">
        <v>1078</v>
      </c>
      <c r="C49" s="637"/>
      <c r="D49" s="639" t="s">
        <v>1085</v>
      </c>
      <c r="E49" s="27"/>
      <c r="F49" s="27"/>
    </row>
    <row r="50" spans="1:6" ht="15">
      <c r="A50" s="631"/>
      <c r="B50" s="638" t="s">
        <v>1064</v>
      </c>
      <c r="C50" s="631"/>
      <c r="D50" s="639" t="s">
        <v>858</v>
      </c>
      <c r="E50" s="27"/>
      <c r="F50" s="27"/>
    </row>
  </sheetData>
  <sortState ref="B23:D50">
    <sortCondition ref="B23"/>
  </sortState>
  <customSheetViews>
    <customSheetView guid="{B321D76C-CDE5-48BB-9CDE-80FF97D58FCF}" showPageBreaks="1" fitToPage="1" printArea="1" view="pageBreakPreview" topLeftCell="A34">
      <selection activeCell="D33" sqref="D33"/>
      <pageMargins left="0.7" right="0.7" top="0.75" bottom="0.75" header="0.3" footer="0.3"/>
      <pageSetup scale="73" orientation="portrait" r:id="rId1"/>
    </customSheetView>
  </customSheetViews>
  <mergeCells count="3">
    <mergeCell ref="B4:D4"/>
    <mergeCell ref="B5:D5"/>
    <mergeCell ref="B6:D6"/>
  </mergeCells>
  <hyperlinks>
    <hyperlink ref="B11" location="SUMMARY!A1" display="Cost-of-Service Summary"/>
    <hyperlink ref="B12" location="'A1-O&amp;M'!A1" display="Schedule A"/>
    <hyperlink ref="B13" location="'A2-A&amp;G'!A1" display="Schedule A2"/>
    <hyperlink ref="B14" location="'B1-Depn'!A1" display="Schedule B1"/>
    <hyperlink ref="B17" location="'C1-Rate Base'!A1" display="Schedule C1"/>
    <hyperlink ref="B18" location="'D1-Cap Structure'!A1" display="Schedule D1"/>
    <hyperlink ref="B20" location="'E1-Labor Ratio'!A1" display="Schedule E1"/>
    <hyperlink ref="B15" location="'B2-Plant'!A1" display="Schedule B2"/>
    <hyperlink ref="B21" location="'F1-Proj RR'!A1" display="Schedule F1"/>
    <hyperlink ref="B22" location="'F2-Incentives'!A1" display="Schedule F2"/>
    <hyperlink ref="B23" location="'F3-True-Up'!A1" display="Schedule F3"/>
    <hyperlink ref="B16" location="'B3-Depn Rates'!A1" display="Schedule B3"/>
    <hyperlink ref="B34" location="'WP-BB'!A1" display="Work Paper-BB"/>
    <hyperlink ref="B35" location="'WP-BC'!A1" display="Work Paper-BC"/>
    <hyperlink ref="B47" location="'WP-AR-IS'!A1" display="Work Paper-AR-IS"/>
    <hyperlink ref="B48" location="'WP-AR-BS'!A1" display="Work Paper-AR-BS"/>
    <hyperlink ref="B49" location="'WP-AR-Cap Assets'!A1" display="Work Paper-AR-Cap Assets"/>
    <hyperlink ref="B24" location="'WP-AA'!A1" display="Work Paper-AA"/>
    <hyperlink ref="B25" location="'WP-AB'!A1" display="Work Paper-AB"/>
    <hyperlink ref="B46" location="'WP-EA'!A1" display="Work Paper-EA"/>
    <hyperlink ref="B45" location="'WP-DB'!A1" display="Work Paper-D1"/>
    <hyperlink ref="B44" location="'WP-DA'!A1" display="Work Paper-DA"/>
    <hyperlink ref="B33" location="'WP-BA'!A1" display="Work Paper-BA"/>
    <hyperlink ref="B40" location="'WP-BH'!A1" display="Work Paper-BH"/>
    <hyperlink ref="B38" location="'WP-BF'!A1" display="Work Paper-BF"/>
    <hyperlink ref="B39" location="'WP-BG'!A1" display="Work Paper-BG"/>
    <hyperlink ref="B37" location="'WP-BE'!A1" display="Work Paper-BE"/>
    <hyperlink ref="B42" location="'WP-CA'!A1" display="Work Paper-CA"/>
    <hyperlink ref="B36" location="'WP-BD'!A1" display="Work Paper-BD"/>
    <hyperlink ref="B43" location="'WP-CB'!A1" display="Work Paper-CB"/>
    <hyperlink ref="B27" location="'WP-AD'!A1" display="Work Paper-AD"/>
    <hyperlink ref="B30" location="'WP-AG'!A1" display="Work Paper-AG"/>
    <hyperlink ref="B41" location="'WP-BI'!A1" display="Work Paper-BI"/>
    <hyperlink ref="B26" location="'WP-AC'!A1" display="Work Paper-AC"/>
    <hyperlink ref="B32" location="'WP-AI'!A1" display="Work Paper-AI"/>
    <hyperlink ref="B31" location="'WP-AH'!A1" display="Work Paper-AH"/>
    <hyperlink ref="B29" location="'WP-AF'!A1" display="Work Paper-AF"/>
    <hyperlink ref="B28" location="'WP-AE'!A1" display="Work Paper-AE"/>
    <hyperlink ref="B50" location="'WP-Reconciliations'!A1" display="Work Paper-Reconciliations "/>
    <hyperlink ref="B19" location="'D2-Project Cap Structures'!A1" display="Schedule D2"/>
  </hyperlinks>
  <pageMargins left="0.7" right="0.7" top="0.75" bottom="0.75" header="0.3" footer="0.3"/>
  <pageSetup scale="7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7030A0"/>
    <pageSetUpPr fitToPage="1"/>
  </sheetPr>
  <dimension ref="A1:L48"/>
  <sheetViews>
    <sheetView showGridLines="0" tabSelected="1" defaultGridColor="0" view="pageBreakPreview" topLeftCell="A21" colorId="22" zoomScale="80" zoomScaleNormal="70" zoomScaleSheetLayoutView="80" workbookViewId="0">
      <selection activeCell="C30" sqref="C30"/>
    </sheetView>
  </sheetViews>
  <sheetFormatPr defaultColWidth="9.5" defaultRowHeight="12"/>
  <cols>
    <col min="1" max="1" width="2.5" style="13" customWidth="1"/>
    <col min="2" max="2" width="9.5" style="13" customWidth="1"/>
    <col min="3" max="3" width="30.5" style="13" bestFit="1" customWidth="1"/>
    <col min="4" max="4" width="26.5" style="13" bestFit="1" customWidth="1"/>
    <col min="5" max="5" width="6.75" style="13" customWidth="1"/>
    <col min="6" max="6" width="14.5" style="13" bestFit="1" customWidth="1"/>
    <col min="7" max="7" width="6.125" style="13" customWidth="1"/>
    <col min="8" max="8" width="16.125" style="13" customWidth="1"/>
    <col min="9" max="9" width="5" style="13" customWidth="1"/>
    <col min="10" max="10" width="35.25" style="13" customWidth="1"/>
    <col min="11" max="11" width="29.125" style="13" customWidth="1"/>
    <col min="12" max="12" width="10.75" style="13" customWidth="1"/>
    <col min="13" max="16384" width="9.5" style="13"/>
  </cols>
  <sheetData>
    <row r="1" spans="1:12" s="103" customFormat="1" ht="15.75">
      <c r="A1" s="167" t="s">
        <v>1720</v>
      </c>
      <c r="B1" s="159"/>
      <c r="C1" s="104"/>
      <c r="J1" s="159"/>
      <c r="L1" s="105"/>
    </row>
    <row r="2" spans="1:12" ht="15.75">
      <c r="A2" s="20"/>
      <c r="C2" s="14"/>
      <c r="D2" s="20"/>
      <c r="E2" s="20"/>
      <c r="F2" s="20"/>
      <c r="G2" s="20"/>
      <c r="H2" s="20"/>
    </row>
    <row r="3" spans="1:12" ht="15">
      <c r="A3" s="20"/>
      <c r="B3" s="20"/>
      <c r="D3" s="20"/>
      <c r="E3" s="20"/>
      <c r="F3" s="20"/>
      <c r="G3" s="20"/>
      <c r="H3" s="20"/>
      <c r="I3" s="20"/>
      <c r="J3" s="20"/>
    </row>
    <row r="6" spans="1:12" ht="15.75">
      <c r="A6" s="1799" t="s">
        <v>199</v>
      </c>
      <c r="B6" s="1799"/>
      <c r="C6" s="1799"/>
      <c r="D6" s="1799"/>
      <c r="E6" s="1799"/>
      <c r="F6" s="1799"/>
      <c r="G6" s="1799"/>
      <c r="H6" s="1799"/>
      <c r="I6" s="1799"/>
      <c r="J6" s="1799"/>
      <c r="K6" s="1799"/>
      <c r="L6" s="1799"/>
    </row>
    <row r="7" spans="1:12" ht="15.75">
      <c r="A7" s="1799" t="s">
        <v>103</v>
      </c>
      <c r="B7" s="1799"/>
      <c r="C7" s="1799"/>
      <c r="D7" s="1799"/>
      <c r="E7" s="1799"/>
      <c r="F7" s="1799"/>
      <c r="G7" s="1799"/>
      <c r="H7" s="1799"/>
      <c r="I7" s="1799"/>
      <c r="J7" s="1799"/>
      <c r="K7" s="1799"/>
      <c r="L7" s="1799"/>
    </row>
    <row r="8" spans="1:12" ht="15.75">
      <c r="A8" s="1785" t="str">
        <f>SUMMARY!A7</f>
        <v>YEAR ENDING DECEMBER 31, 2018</v>
      </c>
      <c r="B8" s="1785"/>
      <c r="C8" s="1785"/>
      <c r="D8" s="1785"/>
      <c r="E8" s="1785"/>
      <c r="F8" s="1785"/>
      <c r="G8" s="1785"/>
      <c r="H8" s="1785"/>
      <c r="I8" s="1785"/>
      <c r="J8" s="1785"/>
      <c r="K8" s="1785"/>
      <c r="L8" s="1785"/>
    </row>
    <row r="9" spans="1:12" ht="15.75">
      <c r="A9" s="1493"/>
      <c r="B9" s="1493"/>
      <c r="C9" s="1493"/>
      <c r="D9" s="1493"/>
      <c r="E9" s="1493"/>
      <c r="F9" s="1493"/>
      <c r="G9" s="1493"/>
      <c r="H9" s="1493"/>
      <c r="I9" s="1493"/>
      <c r="J9" s="1493"/>
      <c r="K9" s="1493"/>
      <c r="L9" s="1493"/>
    </row>
    <row r="10" spans="1:12" ht="15.75">
      <c r="A10" s="1800" t="s">
        <v>1714</v>
      </c>
      <c r="B10" s="1800"/>
      <c r="C10" s="1800"/>
      <c r="D10" s="1800"/>
      <c r="E10" s="1800"/>
      <c r="F10" s="1800"/>
      <c r="G10" s="1800"/>
      <c r="H10" s="1800"/>
      <c r="I10" s="1800"/>
      <c r="J10" s="1800"/>
      <c r="K10" s="1800"/>
      <c r="L10" s="1800"/>
    </row>
    <row r="11" spans="1:12" s="313" customFormat="1" ht="15.75">
      <c r="A11" s="1801" t="s">
        <v>1810</v>
      </c>
      <c r="B11" s="1801"/>
      <c r="C11" s="1801"/>
      <c r="D11" s="1801"/>
      <c r="E11" s="1801"/>
      <c r="F11" s="1801"/>
      <c r="G11" s="1801"/>
      <c r="H11" s="1801"/>
      <c r="I11" s="1801"/>
      <c r="J11" s="1801"/>
      <c r="K11" s="1801"/>
      <c r="L11" s="1801"/>
    </row>
    <row r="12" spans="1:12" ht="15.75">
      <c r="A12" s="1799"/>
      <c r="B12" s="1799"/>
      <c r="C12" s="1799"/>
      <c r="D12" s="1799"/>
      <c r="E12" s="1799"/>
      <c r="F12" s="1799"/>
      <c r="G12" s="1799"/>
      <c r="H12" s="1799"/>
      <c r="I12" s="1799"/>
      <c r="J12" s="1799"/>
      <c r="K12" s="1799"/>
      <c r="L12" s="1799"/>
    </row>
    <row r="14" spans="1:12" s="27" customFormat="1" ht="12.75"/>
    <row r="15" spans="1:12" s="27" customFormat="1" ht="15.75">
      <c r="H15" s="1493"/>
    </row>
    <row r="16" spans="1:12" s="933" customFormat="1" ht="15.75">
      <c r="A16" s="21"/>
      <c r="B16" s="21"/>
      <c r="C16" s="21"/>
      <c r="D16" s="1493" t="s">
        <v>834</v>
      </c>
      <c r="E16" s="21"/>
      <c r="F16" s="1493" t="s">
        <v>835</v>
      </c>
      <c r="G16" s="21"/>
      <c r="H16" s="1023" t="s">
        <v>837</v>
      </c>
      <c r="I16" s="21"/>
      <c r="J16" s="1024"/>
    </row>
    <row r="17" spans="1:10" s="933" customFormat="1" ht="15.75">
      <c r="A17" s="21"/>
      <c r="B17" s="893" t="s">
        <v>1</v>
      </c>
      <c r="C17" s="893" t="s">
        <v>54</v>
      </c>
      <c r="D17" s="893" t="s">
        <v>923</v>
      </c>
      <c r="E17" s="1258"/>
      <c r="F17" s="893" t="s">
        <v>924</v>
      </c>
      <c r="G17" s="1258"/>
      <c r="H17" s="1024" t="s">
        <v>836</v>
      </c>
      <c r="I17" s="1258"/>
      <c r="J17" s="1024" t="s">
        <v>55</v>
      </c>
    </row>
    <row r="18" spans="1:10" s="27" customFormat="1" ht="15.75">
      <c r="A18" s="20"/>
      <c r="C18" s="20"/>
      <c r="D18" s="1025" t="s">
        <v>192</v>
      </c>
      <c r="E18" s="20"/>
      <c r="F18" s="1025" t="s">
        <v>193</v>
      </c>
      <c r="G18" s="20"/>
      <c r="H18" s="1025" t="s">
        <v>194</v>
      </c>
      <c r="I18" s="20"/>
      <c r="J18" s="1025" t="s">
        <v>195</v>
      </c>
    </row>
    <row r="19" spans="1:10" s="27" customFormat="1" ht="12.75">
      <c r="C19" s="1417"/>
      <c r="H19" s="1001"/>
    </row>
    <row r="20" spans="1:10" s="27" customFormat="1" ht="12.75">
      <c r="C20" s="1417"/>
    </row>
    <row r="21" spans="1:10" s="27" customFormat="1" ht="12.75">
      <c r="B21" s="27" t="s">
        <v>1727</v>
      </c>
      <c r="C21" s="1417"/>
    </row>
    <row r="22" spans="1:10">
      <c r="C22" s="1419"/>
    </row>
    <row r="23" spans="1:10" ht="15.75">
      <c r="B23" s="1493">
        <v>1</v>
      </c>
      <c r="C23" s="926" t="s">
        <v>1106</v>
      </c>
      <c r="D23" s="1026">
        <f>1-D25</f>
        <v>0.47</v>
      </c>
      <c r="E23" s="368" t="s">
        <v>360</v>
      </c>
      <c r="F23" s="1519">
        <f>'WP-DA'!M14</f>
        <v>5.0521913022541783E-2</v>
      </c>
      <c r="G23" s="1587"/>
      <c r="H23" s="1027">
        <f>D23*F23</f>
        <v>2.3745299120594636E-2</v>
      </c>
      <c r="I23" s="20"/>
      <c r="J23" s="20" t="s">
        <v>750</v>
      </c>
    </row>
    <row r="24" spans="1:10" ht="15">
      <c r="B24" s="21"/>
      <c r="C24" s="903"/>
      <c r="D24" s="1028"/>
      <c r="E24" s="368"/>
      <c r="F24" s="1518"/>
      <c r="G24" s="368"/>
      <c r="H24" s="1029"/>
      <c r="I24" s="20"/>
      <c r="J24" s="20"/>
    </row>
    <row r="25" spans="1:10" ht="15.75">
      <c r="B25" s="1493">
        <v>2</v>
      </c>
      <c r="C25" s="1497" t="s">
        <v>56</v>
      </c>
      <c r="D25" s="1030">
        <f>MIN(53%,'WP-DA'!G18)</f>
        <v>0.53</v>
      </c>
      <c r="E25" s="368" t="s">
        <v>360</v>
      </c>
      <c r="F25" s="1519">
        <f>'WP-DA'!M18</f>
        <v>9.4500000000000001E-2</v>
      </c>
      <c r="G25" s="368" t="s">
        <v>361</v>
      </c>
      <c r="H25" s="1673">
        <f>D25*F25</f>
        <v>5.0085000000000005E-2</v>
      </c>
      <c r="I25" s="20"/>
      <c r="J25" s="20" t="s">
        <v>750</v>
      </c>
    </row>
    <row r="26" spans="1:10" ht="15">
      <c r="B26" s="21"/>
      <c r="C26" s="903"/>
      <c r="D26" s="1028"/>
      <c r="E26" s="20"/>
      <c r="F26" s="20"/>
      <c r="G26" s="20"/>
      <c r="H26" s="1579"/>
      <c r="I26" s="20"/>
      <c r="J26" s="20"/>
    </row>
    <row r="27" spans="1:10" ht="15.75">
      <c r="B27" s="1493">
        <v>3</v>
      </c>
      <c r="C27" s="926" t="s">
        <v>57</v>
      </c>
      <c r="D27" s="1026">
        <f>SUM(D23:D25)</f>
        <v>1</v>
      </c>
      <c r="E27" s="20"/>
      <c r="F27" s="20"/>
      <c r="G27" s="20"/>
      <c r="H27" s="1640">
        <f>SUM(H23:H25)</f>
        <v>7.3830299120594634E-2</v>
      </c>
      <c r="I27" s="20"/>
      <c r="J27" s="20" t="s">
        <v>751</v>
      </c>
    </row>
    <row r="28" spans="1:10">
      <c r="C28" s="1419"/>
      <c r="D28" s="1586"/>
    </row>
    <row r="29" spans="1:10" ht="15.75">
      <c r="B29" s="1493">
        <v>4</v>
      </c>
      <c r="C29" s="926" t="s">
        <v>1716</v>
      </c>
      <c r="H29" s="1500">
        <f>'F1-Proj RR'!I48</f>
        <v>44773416.5</v>
      </c>
      <c r="J29" s="20"/>
    </row>
    <row r="30" spans="1:10" ht="15.75">
      <c r="C30" s="926"/>
      <c r="H30" s="1027"/>
    </row>
    <row r="31" spans="1:10" ht="15.75">
      <c r="B31" s="1493">
        <v>5</v>
      </c>
      <c r="C31" s="926" t="s">
        <v>1717</v>
      </c>
      <c r="H31" s="1498">
        <f>'WP-DA'!O20*H29</f>
        <v>3246563.2566925185</v>
      </c>
      <c r="J31" s="20" t="s">
        <v>1777</v>
      </c>
    </row>
    <row r="32" spans="1:10" ht="15.75">
      <c r="B32" s="1493"/>
      <c r="C32" s="1419"/>
      <c r="H32" s="1498"/>
    </row>
    <row r="33" spans="2:11" ht="15.75">
      <c r="B33" s="1493">
        <v>6</v>
      </c>
      <c r="C33" s="926" t="s">
        <v>1718</v>
      </c>
      <c r="H33" s="1498">
        <f>+H27*H29</f>
        <v>3305634.7328459672</v>
      </c>
      <c r="J33" s="20" t="s">
        <v>1778</v>
      </c>
    </row>
    <row r="34" spans="2:11" ht="15.75">
      <c r="C34" s="1419"/>
      <c r="H34" s="1498"/>
    </row>
    <row r="35" spans="2:11" ht="15.75">
      <c r="B35" s="1493" t="s">
        <v>456</v>
      </c>
      <c r="C35" s="926" t="s">
        <v>1719</v>
      </c>
      <c r="H35" s="1498">
        <f>+H33-H31</f>
        <v>59071.47615344869</v>
      </c>
      <c r="J35" s="20" t="s">
        <v>1824</v>
      </c>
    </row>
    <row r="36" spans="2:11" ht="15.75">
      <c r="B36" s="1516"/>
      <c r="C36" s="926"/>
      <c r="H36" s="1498"/>
      <c r="J36" s="20"/>
    </row>
    <row r="37" spans="2:11">
      <c r="B37" s="1517" t="s">
        <v>1807</v>
      </c>
      <c r="C37" s="1517"/>
      <c r="D37" s="1517"/>
      <c r="E37" s="1517"/>
      <c r="F37" s="1517"/>
      <c r="G37" s="1517"/>
      <c r="H37" s="1517"/>
      <c r="I37" s="1517"/>
      <c r="J37" s="1517"/>
      <c r="K37" s="1517"/>
    </row>
    <row r="38" spans="2:11">
      <c r="B38" s="1517"/>
      <c r="C38" s="1517"/>
      <c r="D38" s="1517"/>
      <c r="E38" s="1517"/>
      <c r="F38" s="1517"/>
      <c r="G38" s="1517"/>
      <c r="H38" s="1517"/>
      <c r="I38" s="1517"/>
      <c r="J38" s="1517"/>
      <c r="K38" s="1517"/>
    </row>
    <row r="39" spans="2:11" ht="15">
      <c r="B39" s="903" t="s">
        <v>341</v>
      </c>
    </row>
    <row r="40" spans="2:11" s="313" customFormat="1"/>
    <row r="41" spans="2:11" s="313" customFormat="1"/>
    <row r="42" spans="2:11" ht="15">
      <c r="B42" s="903" t="s">
        <v>1808</v>
      </c>
    </row>
    <row r="43" spans="2:11" s="100" customFormat="1" ht="15">
      <c r="B43" s="100" t="s">
        <v>1790</v>
      </c>
    </row>
    <row r="44" spans="2:11" ht="15">
      <c r="B44" s="903" t="s">
        <v>1809</v>
      </c>
    </row>
    <row r="45" spans="2:11" s="100" customFormat="1" ht="15.75" customHeight="1">
      <c r="B45" s="100" t="s">
        <v>1788</v>
      </c>
    </row>
    <row r="46" spans="2:11" ht="15">
      <c r="B46" s="907" t="s">
        <v>1818</v>
      </c>
      <c r="C46" s="313"/>
      <c r="D46" s="313"/>
      <c r="E46" s="313"/>
      <c r="F46" s="313"/>
      <c r="G46" s="313"/>
      <c r="H46" s="313"/>
      <c r="I46" s="313"/>
      <c r="J46" s="313"/>
      <c r="K46" s="313"/>
    </row>
    <row r="47" spans="2:11" ht="15">
      <c r="B47" s="1444" t="s">
        <v>1819</v>
      </c>
      <c r="C47" s="313"/>
      <c r="D47" s="313"/>
      <c r="E47" s="313"/>
      <c r="F47" s="313"/>
      <c r="G47" s="313"/>
      <c r="H47" s="313"/>
      <c r="I47" s="313"/>
      <c r="J47" s="313"/>
      <c r="K47" s="313"/>
    </row>
    <row r="48" spans="2:11" ht="15">
      <c r="B48" s="1444"/>
      <c r="C48" s="313"/>
      <c r="D48" s="313"/>
      <c r="E48" s="313"/>
      <c r="F48" s="313"/>
      <c r="G48" s="313"/>
      <c r="H48" s="313"/>
      <c r="I48" s="313"/>
      <c r="J48" s="313"/>
      <c r="K48" s="313"/>
    </row>
  </sheetData>
  <customSheetViews>
    <customSheetView guid="{B321D76C-CDE5-48BB-9CDE-80FF97D58FCF}" colorId="22" showPageBreaks="1" showGridLines="0" fitToPage="1" printArea="1" view="pageBreakPreview" topLeftCell="A19">
      <selection activeCell="D33" sqref="D33"/>
      <pageMargins left="0.25" right="0.25" top="0.25" bottom="0.25" header="0.5" footer="0.5"/>
      <printOptions horizontalCentered="1"/>
      <pageSetup scale="70" orientation="landscape" r:id="rId1"/>
      <headerFooter alignWithMargins="0"/>
    </customSheetView>
  </customSheetViews>
  <mergeCells count="6">
    <mergeCell ref="A12:L12"/>
    <mergeCell ref="A6:L6"/>
    <mergeCell ref="A7:L7"/>
    <mergeCell ref="A8:L8"/>
    <mergeCell ref="A10:L10"/>
    <mergeCell ref="A11:L11"/>
  </mergeCells>
  <printOptions horizontalCentered="1"/>
  <pageMargins left="0.25" right="0.25" top="0.25" bottom="0.25" header="0.5" footer="0.5"/>
  <pageSetup scale="70"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tabColor rgb="FFFFFF00"/>
    <pageSetUpPr fitToPage="1"/>
  </sheetPr>
  <dimension ref="A1:L28"/>
  <sheetViews>
    <sheetView showGridLines="0" tabSelected="1" defaultGridColor="0" view="pageBreakPreview" topLeftCell="A4" colorId="22" zoomScale="74" zoomScaleNormal="100" zoomScaleSheetLayoutView="74" workbookViewId="0">
      <selection activeCell="C30" sqref="C30"/>
    </sheetView>
  </sheetViews>
  <sheetFormatPr defaultColWidth="9.5" defaultRowHeight="12"/>
  <cols>
    <col min="1" max="1" width="10.5" style="13" customWidth="1"/>
    <col min="2" max="2" width="19.5" style="13" customWidth="1"/>
    <col min="3" max="3" width="4" style="13" customWidth="1"/>
    <col min="4" max="4" width="17.375" style="13" customWidth="1"/>
    <col min="5" max="5" width="9.5" style="13"/>
    <col min="6" max="6" width="23.5" style="13" customWidth="1"/>
    <col min="7" max="7" width="11.75" style="13" customWidth="1"/>
    <col min="8" max="8" width="19" style="13" customWidth="1"/>
    <col min="9" max="9" width="7.5" style="13" customWidth="1"/>
    <col min="10" max="10" width="20.125" style="13" customWidth="1"/>
    <col min="11" max="11" width="29.125" style="13" customWidth="1"/>
    <col min="12" max="12" width="16.125" style="13" bestFit="1" customWidth="1"/>
    <col min="13" max="16384" width="9.5" style="13"/>
  </cols>
  <sheetData>
    <row r="1" spans="1:12" s="17" customFormat="1" ht="20.25">
      <c r="A1" s="644" t="s">
        <v>925</v>
      </c>
      <c r="B1" s="101"/>
      <c r="L1" s="159"/>
    </row>
    <row r="2" spans="1:12" ht="15">
      <c r="C2" s="20"/>
      <c r="D2" s="20"/>
      <c r="E2" s="20"/>
      <c r="F2" s="20"/>
      <c r="G2" s="20"/>
      <c r="H2" s="20"/>
      <c r="I2" s="20"/>
    </row>
    <row r="3" spans="1:12" ht="15">
      <c r="A3" s="20"/>
      <c r="C3" s="20"/>
      <c r="D3" s="20"/>
      <c r="E3" s="20"/>
      <c r="F3" s="20"/>
      <c r="G3" s="20"/>
      <c r="H3" s="20"/>
      <c r="I3" s="20"/>
      <c r="J3" s="20"/>
      <c r="K3" s="20"/>
    </row>
    <row r="5" spans="1:12" ht="15">
      <c r="A5" s="20"/>
      <c r="B5" s="20"/>
      <c r="C5" s="20"/>
      <c r="D5" s="20"/>
      <c r="F5" s="20"/>
      <c r="G5" s="20"/>
      <c r="H5" s="20"/>
      <c r="I5" s="20"/>
      <c r="J5" s="20"/>
      <c r="K5" s="20"/>
    </row>
    <row r="6" spans="1:12" ht="15.75">
      <c r="A6" s="309" t="s">
        <v>199</v>
      </c>
      <c r="B6" s="309"/>
      <c r="C6" s="309"/>
      <c r="D6" s="309"/>
      <c r="E6" s="309"/>
      <c r="F6" s="309"/>
      <c r="G6" s="309"/>
      <c r="H6" s="309"/>
      <c r="I6" s="309"/>
      <c r="J6" s="309"/>
      <c r="K6" s="309"/>
      <c r="L6" s="309"/>
    </row>
    <row r="7" spans="1:12" ht="15.75">
      <c r="A7" s="309" t="s">
        <v>103</v>
      </c>
      <c r="B7" s="309"/>
      <c r="C7" s="309"/>
      <c r="D7" s="309"/>
      <c r="E7" s="309"/>
      <c r="F7" s="309"/>
      <c r="G7" s="309"/>
      <c r="H7" s="309"/>
      <c r="I7" s="309"/>
      <c r="J7" s="309"/>
      <c r="K7" s="309"/>
      <c r="L7" s="309"/>
    </row>
    <row r="8" spans="1:12" ht="15.75">
      <c r="A8" s="1785" t="str">
        <f>SUMMARY!A7</f>
        <v>YEAR ENDING DECEMBER 31, 2018</v>
      </c>
      <c r="B8" s="1785"/>
      <c r="C8" s="1785"/>
      <c r="D8" s="1785"/>
      <c r="E8" s="1785"/>
      <c r="F8" s="1785"/>
      <c r="G8" s="1785"/>
      <c r="H8" s="1785"/>
      <c r="I8" s="1785"/>
      <c r="J8" s="1785"/>
      <c r="K8" s="1785"/>
      <c r="L8" s="1785"/>
    </row>
    <row r="9" spans="1:12">
      <c r="A9" s="310"/>
      <c r="B9" s="310"/>
      <c r="C9" s="310"/>
      <c r="D9" s="310"/>
      <c r="E9" s="310"/>
      <c r="F9" s="310"/>
      <c r="G9" s="310"/>
      <c r="H9" s="310"/>
      <c r="I9" s="310"/>
      <c r="J9" s="310"/>
      <c r="K9" s="310"/>
      <c r="L9" s="310"/>
    </row>
    <row r="10" spans="1:12" ht="15.75">
      <c r="A10" s="311" t="s">
        <v>1110</v>
      </c>
      <c r="B10" s="311"/>
      <c r="C10" s="311"/>
      <c r="D10" s="311"/>
      <c r="E10" s="311"/>
      <c r="F10" s="311"/>
      <c r="G10" s="311"/>
      <c r="H10" s="311"/>
      <c r="I10" s="311"/>
      <c r="J10" s="311"/>
      <c r="K10" s="311"/>
      <c r="L10" s="311"/>
    </row>
    <row r="11" spans="1:12" ht="15.75">
      <c r="A11" s="309" t="s">
        <v>1109</v>
      </c>
      <c r="B11" s="309"/>
      <c r="C11" s="309"/>
      <c r="D11" s="309"/>
      <c r="E11" s="309"/>
      <c r="F11" s="309"/>
      <c r="G11" s="309"/>
      <c r="H11" s="309"/>
      <c r="I11" s="309"/>
      <c r="J11" s="309"/>
      <c r="K11" s="309"/>
      <c r="L11" s="309"/>
    </row>
    <row r="12" spans="1:12" s="27" customFormat="1" ht="12.75"/>
    <row r="13" spans="1:12" s="27" customFormat="1" ht="12.75"/>
    <row r="14" spans="1:12" s="27" customFormat="1" ht="15.75">
      <c r="A14" s="21"/>
      <c r="B14" s="21"/>
      <c r="C14" s="21"/>
      <c r="D14" s="21"/>
      <c r="E14" s="21"/>
      <c r="F14" s="21"/>
      <c r="G14" s="21"/>
      <c r="H14" s="759"/>
      <c r="I14" s="21"/>
      <c r="J14" s="21"/>
      <c r="K14" s="21"/>
      <c r="L14" s="933"/>
    </row>
    <row r="15" spans="1:12" s="27" customFormat="1" ht="15.75">
      <c r="A15" s="759" t="s">
        <v>58</v>
      </c>
      <c r="B15" s="21"/>
      <c r="C15" s="21"/>
      <c r="D15" s="759" t="s">
        <v>812</v>
      </c>
      <c r="E15" s="21"/>
      <c r="F15" s="21"/>
      <c r="G15" s="21"/>
      <c r="H15" s="759" t="s">
        <v>26</v>
      </c>
      <c r="I15" s="21"/>
      <c r="J15" s="759" t="s">
        <v>1107</v>
      </c>
      <c r="K15" s="933"/>
      <c r="L15" s="933"/>
    </row>
    <row r="16" spans="1:12" s="27" customFormat="1" ht="31.5">
      <c r="A16" s="893" t="s">
        <v>59</v>
      </c>
      <c r="B16" s="893" t="s">
        <v>60</v>
      </c>
      <c r="C16" s="21"/>
      <c r="D16" s="1024" t="s">
        <v>1068</v>
      </c>
      <c r="E16" s="21"/>
      <c r="F16" s="893" t="s">
        <v>61</v>
      </c>
      <c r="G16" s="21"/>
      <c r="H16" s="893" t="s">
        <v>27</v>
      </c>
      <c r="I16" s="21"/>
      <c r="J16" s="1024" t="s">
        <v>1108</v>
      </c>
      <c r="K16" s="933"/>
      <c r="L16" s="1024" t="s">
        <v>1774</v>
      </c>
    </row>
    <row r="17" spans="1:12" s="27" customFormat="1" ht="15.75">
      <c r="A17" s="21"/>
      <c r="B17" s="21"/>
      <c r="C17" s="21"/>
      <c r="D17" s="759" t="s">
        <v>6</v>
      </c>
      <c r="E17" s="21"/>
      <c r="F17" s="759" t="s">
        <v>7</v>
      </c>
      <c r="G17" s="21"/>
      <c r="H17" s="759" t="s">
        <v>8</v>
      </c>
      <c r="I17" s="21"/>
      <c r="J17" s="759" t="s">
        <v>9</v>
      </c>
      <c r="K17" s="933"/>
      <c r="L17" s="895" t="s">
        <v>196</v>
      </c>
    </row>
    <row r="18" spans="1:12" s="27" customFormat="1" ht="12.75"/>
    <row r="19" spans="1:12" s="27" customFormat="1" ht="15.75">
      <c r="A19" s="759">
        <v>1</v>
      </c>
      <c r="B19" s="20" t="s">
        <v>53</v>
      </c>
      <c r="C19" s="20"/>
      <c r="D19" s="1577">
        <f>'WP-EA'!F38</f>
        <v>96941202.060000002</v>
      </c>
      <c r="E19" s="1577"/>
      <c r="F19" s="1638">
        <f>D19/D23</f>
        <v>0.70497098331780028</v>
      </c>
      <c r="G19" s="1577"/>
      <c r="H19" s="1579"/>
      <c r="I19" s="20"/>
      <c r="J19" s="20"/>
      <c r="L19" s="20" t="s">
        <v>1676</v>
      </c>
    </row>
    <row r="20" spans="1:12" s="27" customFormat="1" ht="15.75">
      <c r="A20" s="759"/>
      <c r="B20" s="20"/>
      <c r="C20" s="20"/>
      <c r="D20" s="1577"/>
      <c r="E20" s="1577"/>
      <c r="F20" s="1578"/>
      <c r="G20" s="1577"/>
      <c r="H20" s="1579"/>
      <c r="I20" s="20"/>
      <c r="J20" s="20"/>
    </row>
    <row r="21" spans="1:12" s="27" customFormat="1" ht="15.75">
      <c r="A21" s="759">
        <f>A19+1</f>
        <v>2</v>
      </c>
      <c r="B21" s="20" t="s">
        <v>27</v>
      </c>
      <c r="C21" s="20"/>
      <c r="D21" s="1580">
        <f>'WP-EA'!F28</f>
        <v>40569708.819999993</v>
      </c>
      <c r="E21" s="1580"/>
      <c r="F21" s="1639">
        <f>D21/D23</f>
        <v>0.29502901668219966</v>
      </c>
      <c r="G21" s="1577"/>
      <c r="H21" s="1640">
        <f>F21</f>
        <v>0.29502901668219966</v>
      </c>
      <c r="I21" s="20"/>
      <c r="J21" s="20" t="s">
        <v>286</v>
      </c>
      <c r="L21" s="20" t="s">
        <v>1675</v>
      </c>
    </row>
    <row r="22" spans="1:12" s="27" customFormat="1" ht="15.75">
      <c r="A22" s="759"/>
      <c r="B22" s="20"/>
      <c r="C22" s="20"/>
      <c r="D22" s="1581"/>
      <c r="E22" s="1577"/>
      <c r="F22" s="1578"/>
      <c r="G22" s="1577"/>
      <c r="H22" s="1582"/>
      <c r="I22" s="20"/>
      <c r="J22" s="20"/>
    </row>
    <row r="23" spans="1:12" s="27" customFormat="1" ht="15.75">
      <c r="A23" s="759">
        <f>A21+1</f>
        <v>3</v>
      </c>
      <c r="B23" s="14" t="s">
        <v>62</v>
      </c>
      <c r="C23" s="14"/>
      <c r="D23" s="1583">
        <f>'WP-EA'!F36</f>
        <v>137510910.88</v>
      </c>
      <c r="E23" s="1577"/>
      <c r="F23" s="1578">
        <v>0</v>
      </c>
      <c r="G23" s="1577"/>
      <c r="H23" s="1579"/>
      <c r="I23" s="20"/>
      <c r="J23" s="20"/>
    </row>
    <row r="24" spans="1:12" s="63" customFormat="1" ht="15.75">
      <c r="A24" s="135"/>
      <c r="B24" s="134"/>
      <c r="C24" s="134"/>
      <c r="D24" s="1584"/>
      <c r="E24" s="1584"/>
      <c r="F24" s="1584"/>
      <c r="G24" s="1584"/>
      <c r="H24" s="1585"/>
      <c r="I24" s="134"/>
      <c r="J24" s="134"/>
    </row>
    <row r="25" spans="1:12" s="63" customFormat="1" ht="15.75">
      <c r="A25" s="135"/>
      <c r="B25" s="138"/>
      <c r="C25" s="134"/>
      <c r="D25" s="137"/>
      <c r="E25" s="134"/>
      <c r="F25" s="142"/>
      <c r="G25" s="134"/>
      <c r="H25" s="155"/>
      <c r="I25" s="134"/>
      <c r="J25" s="134"/>
    </row>
    <row r="26" spans="1:12" s="63" customFormat="1" ht="15.75">
      <c r="A26" s="135"/>
    </row>
    <row r="27" spans="1:12" s="63" customFormat="1" ht="12.75"/>
    <row r="28" spans="1:12" s="63" customFormat="1" ht="12.75"/>
  </sheetData>
  <customSheetViews>
    <customSheetView guid="{B321D76C-CDE5-48BB-9CDE-80FF97D58FCF}" colorId="22" showPageBreaks="1" showGridLines="0" fitToPage="1" printArea="1" view="pageBreakPreview" topLeftCell="A25">
      <selection activeCell="D33" sqref="D33"/>
      <rowBreaks count="1" manualBreakCount="1">
        <brk id="33" max="16383" man="1"/>
      </rowBreaks>
      <colBreaks count="1" manualBreakCount="1">
        <brk id="18" max="1048575" man="1"/>
      </colBreaks>
      <pageMargins left="0.5" right="0.5" top="0.25" bottom="0.25" header="0.75" footer="0.75"/>
      <printOptions horizontalCentered="1"/>
      <pageSetup scale="65" orientation="landscape" r:id="rId1"/>
      <headerFooter alignWithMargins="0"/>
    </customSheetView>
  </customSheetViews>
  <mergeCells count="1">
    <mergeCell ref="A8:L8"/>
  </mergeCells>
  <phoneticPr fontId="0" type="noConversion"/>
  <printOptions horizontalCentered="1"/>
  <pageMargins left="0.5" right="0.5" top="0.25" bottom="0.25" header="0.75" footer="0.75"/>
  <pageSetup scale="65" orientation="landscape" r:id="rId2"/>
  <headerFooter alignWithMargins="0"/>
  <rowBreaks count="1" manualBreakCount="1">
    <brk id="33" max="16383" man="1"/>
  </rowBreaks>
  <colBreaks count="1" manualBreakCount="1">
    <brk id="18"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pageSetUpPr fitToPage="1"/>
  </sheetPr>
  <dimension ref="A1:X92"/>
  <sheetViews>
    <sheetView tabSelected="1" topLeftCell="G19" zoomScale="80" zoomScaleNormal="80" zoomScaleSheetLayoutView="58" workbookViewId="0">
      <selection activeCell="C30" sqref="C30"/>
    </sheetView>
  </sheetViews>
  <sheetFormatPr defaultColWidth="10" defaultRowHeight="12.75"/>
  <cols>
    <col min="1" max="1" width="6.75" style="209" customWidth="1"/>
    <col min="2" max="2" width="1.5" style="209" customWidth="1"/>
    <col min="3" max="3" width="34.375" style="209" customWidth="1"/>
    <col min="4" max="4" width="8.75" style="209" customWidth="1"/>
    <col min="5" max="6" width="23.5" style="209" customWidth="1"/>
    <col min="7" max="7" width="19.5" style="209" customWidth="1"/>
    <col min="8" max="8" width="15" style="209" customWidth="1"/>
    <col min="9" max="9" width="15.5" style="209" customWidth="1"/>
    <col min="10" max="10" width="14.5" style="209" customWidth="1"/>
    <col min="11" max="11" width="29.125" style="209" customWidth="1"/>
    <col min="12" max="12" width="21.125" style="209" customWidth="1"/>
    <col min="13" max="13" width="13.5" style="209" customWidth="1"/>
    <col min="14" max="14" width="10.75" style="209" customWidth="1"/>
    <col min="15" max="15" width="16.25" style="209" customWidth="1"/>
    <col min="16" max="17" width="14.375" style="209" customWidth="1"/>
    <col min="18" max="18" width="14.75" style="209" customWidth="1"/>
    <col min="19" max="19" width="13.5" style="209" customWidth="1"/>
    <col min="20" max="20" width="16" style="209" customWidth="1"/>
    <col min="21" max="21" width="13.5" style="209" customWidth="1"/>
    <col min="22" max="22" width="12.75" style="209" customWidth="1"/>
    <col min="23" max="23" width="11.5" style="209" customWidth="1"/>
    <col min="24" max="24" width="12.5" style="209" customWidth="1"/>
    <col min="25" max="16384" width="10" style="209"/>
  </cols>
  <sheetData>
    <row r="1" spans="1:22" ht="15.75">
      <c r="A1" s="14" t="s">
        <v>927</v>
      </c>
      <c r="R1" s="210"/>
    </row>
    <row r="2" spans="1:22" ht="15">
      <c r="R2" s="210"/>
      <c r="S2" s="756" t="s">
        <v>602</v>
      </c>
    </row>
    <row r="3" spans="1:22" ht="15.75">
      <c r="D3" s="253"/>
      <c r="E3" s="253"/>
      <c r="F3" s="253"/>
      <c r="G3" s="253"/>
      <c r="H3" s="253"/>
      <c r="I3" s="253"/>
      <c r="J3" s="253"/>
      <c r="K3" s="253"/>
      <c r="L3" s="253"/>
    </row>
    <row r="4" spans="1:22" ht="15.75">
      <c r="A4" s="1810" t="s">
        <v>885</v>
      </c>
      <c r="B4" s="1810"/>
      <c r="C4" s="1810"/>
      <c r="D4" s="1810"/>
      <c r="E4" s="1810"/>
      <c r="F4" s="1810"/>
      <c r="G4" s="1810"/>
      <c r="H4" s="1810"/>
      <c r="I4" s="1810"/>
      <c r="J4" s="1810"/>
      <c r="K4" s="1810"/>
      <c r="L4" s="1810"/>
      <c r="M4" s="1810"/>
      <c r="N4" s="1810"/>
      <c r="O4" s="1810"/>
      <c r="P4" s="1810"/>
      <c r="Q4" s="1810"/>
      <c r="R4" s="1810"/>
      <c r="S4" s="1810"/>
    </row>
    <row r="5" spans="1:22" ht="15.75">
      <c r="A5" s="1810" t="s">
        <v>467</v>
      </c>
      <c r="B5" s="1810"/>
      <c r="C5" s="1810"/>
      <c r="D5" s="1810"/>
      <c r="E5" s="1810"/>
      <c r="F5" s="1810"/>
      <c r="G5" s="1810"/>
      <c r="H5" s="1810"/>
      <c r="I5" s="1810"/>
      <c r="J5" s="1810"/>
      <c r="K5" s="1810"/>
      <c r="L5" s="1810"/>
      <c r="M5" s="1810"/>
      <c r="N5" s="1810"/>
      <c r="O5" s="1810"/>
      <c r="P5" s="1810"/>
      <c r="Q5" s="1810"/>
      <c r="R5" s="1810"/>
      <c r="S5" s="1810"/>
      <c r="T5" s="214"/>
      <c r="U5" s="214"/>
      <c r="V5" s="213"/>
    </row>
    <row r="6" spans="1:22" ht="15.75">
      <c r="A6" s="1811" t="str">
        <f>+SUMMARY!A5</f>
        <v>NEW YORK POWER AUTHORITY</v>
      </c>
      <c r="B6" s="1811"/>
      <c r="C6" s="1811"/>
      <c r="D6" s="1811"/>
      <c r="E6" s="1811"/>
      <c r="F6" s="1811"/>
      <c r="G6" s="1811"/>
      <c r="H6" s="1811"/>
      <c r="I6" s="1811"/>
      <c r="J6" s="1811"/>
      <c r="K6" s="1811"/>
      <c r="L6" s="1811"/>
      <c r="M6" s="1811"/>
      <c r="N6" s="1811"/>
      <c r="O6" s="1811"/>
      <c r="P6" s="1811"/>
      <c r="Q6" s="1811"/>
      <c r="R6" s="1811"/>
      <c r="S6" s="1811"/>
      <c r="T6" s="216"/>
      <c r="U6" s="214"/>
      <c r="V6" s="213"/>
    </row>
    <row r="7" spans="1:22" ht="17.25" customHeight="1">
      <c r="A7" s="1812" t="str">
        <f>SUMMARY!A7</f>
        <v>YEAR ENDING DECEMBER 31, 2018</v>
      </c>
      <c r="B7" s="1812"/>
      <c r="C7" s="1812"/>
      <c r="D7" s="1812"/>
      <c r="E7" s="1812"/>
      <c r="F7" s="1812"/>
      <c r="G7" s="1812"/>
      <c r="H7" s="1812"/>
      <c r="I7" s="1812"/>
      <c r="J7" s="1812"/>
      <c r="K7" s="1812"/>
      <c r="L7" s="1812"/>
      <c r="M7" s="1812"/>
      <c r="N7" s="1812"/>
      <c r="O7" s="1812"/>
      <c r="P7" s="1812"/>
      <c r="Q7" s="1812"/>
      <c r="R7" s="1812"/>
      <c r="S7" s="1812"/>
      <c r="T7" s="214"/>
      <c r="U7" s="214"/>
      <c r="V7" s="213"/>
    </row>
    <row r="8" spans="1:22" ht="15.75">
      <c r="A8" s="211"/>
      <c r="C8" s="213"/>
      <c r="D8" s="254"/>
      <c r="E8" s="254"/>
      <c r="F8" s="254"/>
      <c r="G8" s="253"/>
      <c r="H8" s="254"/>
      <c r="I8" s="254"/>
      <c r="J8" s="254"/>
      <c r="K8" s="254"/>
      <c r="L8" s="254"/>
      <c r="M8" s="213"/>
      <c r="N8" s="213"/>
      <c r="O8" s="213"/>
      <c r="P8" s="213"/>
      <c r="Q8" s="213"/>
      <c r="R8" s="213"/>
      <c r="S8" s="213"/>
      <c r="T8" s="214"/>
      <c r="U8" s="214"/>
      <c r="V8" s="213"/>
    </row>
    <row r="9" spans="1:22">
      <c r="A9" s="211"/>
      <c r="C9" s="213"/>
      <c r="D9" s="213"/>
      <c r="E9" s="213"/>
      <c r="F9" s="213"/>
      <c r="G9" s="217"/>
      <c r="H9" s="213"/>
      <c r="I9" s="213"/>
      <c r="J9" s="213"/>
      <c r="K9" s="213"/>
      <c r="L9" s="213"/>
      <c r="M9" s="213"/>
      <c r="N9" s="213"/>
      <c r="O9" s="213"/>
      <c r="P9" s="213"/>
      <c r="Q9" s="213"/>
      <c r="R9" s="213"/>
      <c r="S9" s="213"/>
      <c r="T9" s="214"/>
      <c r="U9" s="214"/>
      <c r="V9" s="213"/>
    </row>
    <row r="10" spans="1:22" ht="15.75">
      <c r="A10" s="249"/>
      <c r="B10" s="250"/>
      <c r="C10" s="251"/>
      <c r="D10" s="251"/>
      <c r="E10" s="251"/>
      <c r="F10" s="251"/>
      <c r="G10" s="251"/>
      <c r="H10" s="251"/>
      <c r="I10" s="251"/>
      <c r="J10" s="252"/>
      <c r="K10" s="252"/>
      <c r="L10" s="251"/>
      <c r="M10" s="251"/>
      <c r="N10" s="251"/>
      <c r="O10" s="251"/>
      <c r="P10" s="251"/>
      <c r="Q10" s="251"/>
      <c r="R10" s="213"/>
      <c r="S10" s="213"/>
      <c r="T10" s="214"/>
      <c r="U10" s="214"/>
      <c r="V10" s="213"/>
    </row>
    <row r="11" spans="1:22" s="1035" customFormat="1" ht="15">
      <c r="A11" s="1032"/>
      <c r="B11" s="756"/>
      <c r="C11" s="219"/>
      <c r="D11" s="219"/>
      <c r="E11" s="219"/>
      <c r="F11" s="219"/>
      <c r="G11" s="219"/>
      <c r="H11" s="219"/>
      <c r="I11" s="219"/>
      <c r="J11" s="1033"/>
      <c r="K11" s="1033"/>
      <c r="L11" s="756"/>
      <c r="M11" s="219"/>
      <c r="N11" s="219"/>
      <c r="O11" s="219"/>
      <c r="P11" s="219"/>
      <c r="Q11" s="219"/>
      <c r="R11" s="1034"/>
      <c r="S11" s="1034"/>
      <c r="T11" s="1034"/>
      <c r="U11" s="1034"/>
      <c r="V11" s="1034"/>
    </row>
    <row r="12" spans="1:22" s="1035" customFormat="1" ht="15">
      <c r="A12" s="1032"/>
      <c r="B12" s="756"/>
      <c r="C12" s="219"/>
      <c r="D12" s="219"/>
      <c r="E12" s="219"/>
      <c r="F12" s="219"/>
      <c r="G12" s="219"/>
      <c r="H12" s="219"/>
      <c r="I12" s="219"/>
      <c r="J12" s="219"/>
      <c r="K12" s="219"/>
      <c r="L12" s="756"/>
      <c r="M12" s="1036"/>
      <c r="N12" s="1036"/>
      <c r="O12" s="1036"/>
      <c r="P12" s="219"/>
      <c r="Q12" s="219"/>
      <c r="R12" s="1034"/>
      <c r="S12" s="1034"/>
      <c r="T12" s="1034"/>
      <c r="U12" s="1034"/>
      <c r="V12" s="1034"/>
    </row>
    <row r="13" spans="1:22" s="1035" customFormat="1" ht="15.75">
      <c r="A13" s="761" t="s">
        <v>468</v>
      </c>
      <c r="B13" s="756"/>
      <c r="C13" s="641"/>
      <c r="D13" s="641"/>
      <c r="E13" s="641"/>
      <c r="F13" s="641"/>
      <c r="G13" s="761"/>
      <c r="H13" s="756"/>
      <c r="I13" s="761"/>
      <c r="J13" s="1037"/>
      <c r="K13" s="1037"/>
      <c r="L13" s="756"/>
      <c r="M13" s="756"/>
      <c r="N13" s="756"/>
      <c r="O13" s="756"/>
      <c r="P13" s="1037"/>
      <c r="Q13" s="1037"/>
      <c r="S13" s="1038"/>
      <c r="T13" s="1039"/>
      <c r="U13" s="1039"/>
      <c r="V13" s="1040"/>
    </row>
    <row r="14" spans="1:22" s="1035" customFormat="1" ht="15.75">
      <c r="A14" s="1041" t="s">
        <v>59</v>
      </c>
      <c r="B14" s="1042"/>
      <c r="C14" s="1041" t="s">
        <v>229</v>
      </c>
      <c r="D14" s="1043"/>
      <c r="E14" s="1043"/>
      <c r="F14" s="1043"/>
      <c r="G14" s="1041" t="s">
        <v>469</v>
      </c>
      <c r="H14" s="1042"/>
      <c r="I14" s="1041"/>
      <c r="K14" s="1044" t="s">
        <v>340</v>
      </c>
      <c r="L14" s="1044"/>
      <c r="M14" s="1044" t="s">
        <v>440</v>
      </c>
      <c r="N14" s="760"/>
      <c r="O14" s="760"/>
      <c r="P14" s="1037"/>
      <c r="Q14" s="1037"/>
      <c r="S14" s="1034"/>
      <c r="T14" s="1045"/>
      <c r="U14" s="1039"/>
      <c r="V14" s="1040"/>
    </row>
    <row r="15" spans="1:22" s="1035" customFormat="1" ht="15">
      <c r="A15" s="756"/>
      <c r="B15" s="756"/>
      <c r="D15" s="1046"/>
      <c r="E15" s="1046"/>
      <c r="F15" s="1046"/>
      <c r="G15" s="1046" t="s">
        <v>192</v>
      </c>
      <c r="H15" s="756"/>
      <c r="I15" s="1046"/>
      <c r="K15" s="1047" t="s">
        <v>193</v>
      </c>
      <c r="L15" s="1046"/>
      <c r="M15" s="1047" t="s">
        <v>194</v>
      </c>
      <c r="N15" s="1047"/>
      <c r="O15" s="1047"/>
      <c r="P15" s="1037"/>
      <c r="Q15" s="1037"/>
      <c r="R15" s="1048"/>
      <c r="S15" s="1038"/>
      <c r="T15" s="1048"/>
      <c r="U15" s="1038"/>
      <c r="V15" s="1040"/>
    </row>
    <row r="16" spans="1:22" s="1035" customFormat="1" ht="15.75">
      <c r="B16" s="756"/>
      <c r="C16" s="1049"/>
      <c r="D16" s="1049"/>
      <c r="E16" s="1049"/>
      <c r="F16" s="1049"/>
      <c r="G16" s="1037"/>
      <c r="H16" s="756"/>
      <c r="I16" s="1037"/>
      <c r="K16" s="1037"/>
      <c r="L16" s="1037"/>
      <c r="M16" s="1037"/>
      <c r="N16" s="1037"/>
      <c r="O16" s="1037"/>
      <c r="P16" s="1037"/>
      <c r="Q16" s="1037"/>
      <c r="R16" s="1038"/>
      <c r="S16" s="1034"/>
      <c r="T16" s="1038"/>
      <c r="U16" s="1038"/>
      <c r="V16" s="1040"/>
    </row>
    <row r="17" spans="1:22" s="1035" customFormat="1" ht="15.75">
      <c r="A17" s="1044"/>
      <c r="B17" s="756"/>
      <c r="C17" s="641"/>
      <c r="D17" s="641"/>
      <c r="E17" s="641"/>
      <c r="F17" s="641"/>
      <c r="G17" s="1037"/>
      <c r="H17" s="756"/>
      <c r="I17" s="1037"/>
      <c r="K17" s="1037"/>
      <c r="L17" s="1037"/>
      <c r="M17" s="1037"/>
      <c r="N17" s="1037"/>
      <c r="O17" s="1037"/>
      <c r="P17" s="1037"/>
      <c r="Q17" s="1037"/>
      <c r="R17" s="1038"/>
      <c r="S17" s="1034"/>
      <c r="T17" s="1038"/>
      <c r="U17" s="1038"/>
      <c r="V17" s="1040"/>
    </row>
    <row r="18" spans="1:22" s="1035" customFormat="1" ht="15">
      <c r="A18" s="1050">
        <v>1</v>
      </c>
      <c r="B18" s="756"/>
      <c r="C18" s="641" t="s">
        <v>470</v>
      </c>
      <c r="D18" s="641"/>
      <c r="E18" s="641"/>
      <c r="F18" s="641"/>
      <c r="G18" s="1051" t="s">
        <v>1066</v>
      </c>
      <c r="H18" s="756"/>
      <c r="I18" s="1050"/>
      <c r="K18" s="1052">
        <f>+'B2-Plant'!Q40</f>
        <v>1764465923.4999998</v>
      </c>
      <c r="L18" s="756"/>
      <c r="M18" s="756"/>
      <c r="N18" s="756"/>
      <c r="O18" s="756"/>
      <c r="P18" s="1037"/>
      <c r="Q18" s="1037"/>
      <c r="R18" s="1038"/>
      <c r="S18" s="1034"/>
      <c r="T18" s="1038"/>
      <c r="U18" s="1038"/>
      <c r="V18" s="1040"/>
    </row>
    <row r="19" spans="1:22" s="1035" customFormat="1" ht="15">
      <c r="A19" s="1050" t="s">
        <v>471</v>
      </c>
      <c r="B19" s="756"/>
      <c r="C19" s="641" t="s">
        <v>472</v>
      </c>
      <c r="D19" s="641"/>
      <c r="E19" s="641"/>
      <c r="F19" s="641"/>
      <c r="G19" s="1051" t="s">
        <v>929</v>
      </c>
      <c r="H19" s="756"/>
      <c r="I19" s="1050"/>
      <c r="K19" s="1053">
        <f>+'B2-Plant'!R40</f>
        <v>1139963653.6022196</v>
      </c>
      <c r="L19" s="756"/>
      <c r="M19" s="756"/>
      <c r="N19" s="756"/>
      <c r="O19" s="756"/>
      <c r="P19" s="1037"/>
      <c r="Q19" s="1037"/>
      <c r="R19" s="1038"/>
      <c r="S19" s="1034"/>
      <c r="T19" s="1038"/>
      <c r="U19" s="1038"/>
      <c r="V19" s="1040"/>
    </row>
    <row r="20" spans="1:22" s="1035" customFormat="1" ht="15">
      <c r="A20" s="1050" t="s">
        <v>473</v>
      </c>
      <c r="B20" s="756"/>
      <c r="C20" s="641" t="s">
        <v>829</v>
      </c>
      <c r="D20" s="641"/>
      <c r="E20" s="641"/>
      <c r="F20" s="641"/>
      <c r="G20" s="1051" t="s">
        <v>934</v>
      </c>
      <c r="H20" s="756"/>
      <c r="I20" s="1050"/>
      <c r="K20" s="1054">
        <f>'C1-Rate Base'!D28+'C1-Rate Base'!D29+'C1-Rate Base'!D27</f>
        <v>0</v>
      </c>
      <c r="L20" s="756"/>
      <c r="M20" s="756"/>
      <c r="N20" s="756"/>
      <c r="O20" s="756"/>
      <c r="P20" s="1037"/>
      <c r="Q20" s="1037"/>
      <c r="R20" s="1038"/>
      <c r="S20" s="1034"/>
      <c r="T20" s="1038"/>
      <c r="U20" s="1038"/>
      <c r="V20" s="1040"/>
    </row>
    <row r="21" spans="1:22" s="1035" customFormat="1" ht="15">
      <c r="A21" s="1050">
        <v>2</v>
      </c>
      <c r="B21" s="756"/>
      <c r="C21" s="641" t="s">
        <v>474</v>
      </c>
      <c r="D21" s="641"/>
      <c r="E21" s="641"/>
      <c r="F21" s="641"/>
      <c r="G21" s="1051" t="s">
        <v>475</v>
      </c>
      <c r="H21" s="756"/>
      <c r="I21" s="1050"/>
      <c r="K21" s="1053">
        <f>+K18-K19+K20</f>
        <v>624502269.89778018</v>
      </c>
      <c r="L21" s="756"/>
      <c r="M21" s="756"/>
      <c r="N21" s="756"/>
      <c r="O21" s="756"/>
      <c r="P21" s="1037"/>
      <c r="Q21" s="1037"/>
      <c r="R21" s="1038"/>
      <c r="S21" s="1034"/>
      <c r="T21" s="1038"/>
      <c r="U21" s="1038"/>
      <c r="V21" s="1040"/>
    </row>
    <row r="22" spans="1:22" s="1035" customFormat="1" ht="15">
      <c r="A22" s="1050"/>
      <c r="B22" s="756"/>
      <c r="C22" s="756"/>
      <c r="D22" s="756"/>
      <c r="E22" s="756"/>
      <c r="F22" s="756"/>
      <c r="G22" s="1051"/>
      <c r="H22" s="756"/>
      <c r="I22" s="1050"/>
      <c r="K22" s="756"/>
      <c r="L22" s="756"/>
      <c r="M22" s="1055"/>
      <c r="N22" s="1037"/>
      <c r="O22" s="1037"/>
      <c r="P22" s="1037"/>
      <c r="Q22" s="1037"/>
      <c r="R22" s="1038"/>
      <c r="S22" s="1038"/>
      <c r="T22" s="1038"/>
      <c r="U22" s="1038"/>
      <c r="V22" s="1040"/>
    </row>
    <row r="23" spans="1:22" s="1035" customFormat="1" ht="15">
      <c r="A23" s="1050"/>
      <c r="B23" s="756"/>
      <c r="C23" s="641" t="s">
        <v>476</v>
      </c>
      <c r="D23" s="641"/>
      <c r="E23" s="641"/>
      <c r="F23" s="641"/>
      <c r="G23" s="1051"/>
      <c r="H23" s="756"/>
      <c r="I23" s="1050"/>
      <c r="K23" s="1037"/>
      <c r="L23" s="1037"/>
      <c r="M23" s="1055"/>
      <c r="N23" s="756"/>
      <c r="O23" s="756"/>
      <c r="P23" s="1037"/>
      <c r="Q23" s="1037"/>
      <c r="R23" s="1038"/>
      <c r="S23" s="1038"/>
      <c r="T23" s="1038"/>
      <c r="U23" s="1038"/>
      <c r="V23" s="1040"/>
    </row>
    <row r="24" spans="1:22" s="1035" customFormat="1" ht="15">
      <c r="A24" s="1050">
        <v>3</v>
      </c>
      <c r="B24" s="756"/>
      <c r="C24" s="641" t="s">
        <v>477</v>
      </c>
      <c r="D24" s="641"/>
      <c r="E24" s="641"/>
      <c r="F24" s="641"/>
      <c r="G24" s="1051" t="s">
        <v>930</v>
      </c>
      <c r="H24" s="756"/>
      <c r="I24" s="1050"/>
      <c r="K24" s="1053">
        <f>+'A1-O&amp;M'!J37+'A2-A&amp;G'!J40</f>
        <v>124151067.9973138</v>
      </c>
      <c r="L24" s="1037"/>
      <c r="M24" s="1055"/>
      <c r="N24" s="1056"/>
      <c r="O24" s="1056"/>
      <c r="P24" s="1037"/>
      <c r="Q24" s="1037"/>
      <c r="R24" s="1057"/>
      <c r="S24" s="1058"/>
      <c r="T24" s="1059"/>
      <c r="U24" s="1038"/>
      <c r="V24" s="1040"/>
    </row>
    <row r="25" spans="1:22" s="1035" customFormat="1" ht="15">
      <c r="A25" s="1050"/>
      <c r="B25" s="756"/>
      <c r="C25" s="641"/>
      <c r="D25" s="641"/>
      <c r="E25" s="641"/>
      <c r="F25" s="641"/>
      <c r="G25" s="1051"/>
      <c r="H25" s="756"/>
      <c r="I25" s="1050"/>
      <c r="K25" s="1060"/>
      <c r="L25" s="1060"/>
      <c r="M25" s="1055"/>
      <c r="N25" s="756"/>
      <c r="O25" s="756"/>
      <c r="P25" s="1037"/>
      <c r="Q25" s="1037"/>
      <c r="R25" s="1045"/>
      <c r="S25" s="1038"/>
      <c r="T25" s="1061"/>
      <c r="U25" s="1039"/>
      <c r="V25" s="1040"/>
    </row>
    <row r="26" spans="1:22" s="1035" customFormat="1" ht="15.75">
      <c r="A26" s="1047"/>
      <c r="B26" s="756"/>
      <c r="C26" s="641" t="s">
        <v>572</v>
      </c>
      <c r="D26" s="641"/>
      <c r="E26" s="641"/>
      <c r="F26" s="641"/>
      <c r="G26" s="1062"/>
      <c r="H26" s="756"/>
      <c r="I26" s="1063"/>
      <c r="K26" s="1060"/>
      <c r="L26" s="1060"/>
      <c r="M26" s="1055"/>
      <c r="N26" s="1064"/>
      <c r="O26" s="1064"/>
      <c r="P26" s="1037"/>
      <c r="Q26" s="1037"/>
      <c r="U26" s="1038"/>
      <c r="V26" s="1040"/>
    </row>
    <row r="27" spans="1:22" s="1035" customFormat="1" ht="15">
      <c r="A27" s="1047" t="s">
        <v>478</v>
      </c>
      <c r="B27" s="756"/>
      <c r="C27" s="641" t="s">
        <v>573</v>
      </c>
      <c r="D27" s="641"/>
      <c r="E27" s="641"/>
      <c r="F27" s="641"/>
      <c r="G27" s="1051" t="s">
        <v>1067</v>
      </c>
      <c r="H27" s="756"/>
      <c r="I27" s="1050"/>
      <c r="K27" s="1053">
        <f>'B1-Depn'!N47</f>
        <v>6324474.8709527897</v>
      </c>
      <c r="L27" s="1060"/>
      <c r="M27" s="1055"/>
      <c r="N27" s="1037"/>
      <c r="O27" s="1037"/>
      <c r="P27" s="1037"/>
      <c r="Q27" s="1037"/>
      <c r="R27" s="1038"/>
      <c r="S27" s="1038"/>
      <c r="T27" s="1065"/>
      <c r="U27" s="1038"/>
      <c r="V27" s="1040"/>
    </row>
    <row r="28" spans="1:22" s="1035" customFormat="1" ht="15">
      <c r="A28" s="1047"/>
      <c r="B28" s="756"/>
      <c r="C28" s="641"/>
      <c r="D28" s="641"/>
      <c r="E28" s="641"/>
      <c r="F28" s="641"/>
      <c r="G28" s="1051"/>
      <c r="H28" s="756"/>
      <c r="I28" s="1050"/>
      <c r="K28" s="1066"/>
      <c r="L28" s="1060"/>
      <c r="M28" s="1055"/>
      <c r="N28" s="1037"/>
      <c r="O28" s="1037"/>
      <c r="P28" s="1037"/>
      <c r="Q28" s="1037"/>
      <c r="R28" s="1038"/>
      <c r="S28" s="1038"/>
      <c r="T28" s="1065"/>
      <c r="U28" s="1038"/>
      <c r="V28" s="1040"/>
    </row>
    <row r="29" spans="1:22" s="1035" customFormat="1" ht="15.75">
      <c r="A29" s="1047" t="s">
        <v>479</v>
      </c>
      <c r="B29" s="756"/>
      <c r="C29" s="1049" t="s">
        <v>575</v>
      </c>
      <c r="D29" s="1049"/>
      <c r="E29" s="641"/>
      <c r="F29" s="641"/>
      <c r="G29" s="1051" t="s">
        <v>1165</v>
      </c>
      <c r="H29" s="756"/>
      <c r="I29" s="1050"/>
      <c r="K29" s="1067">
        <f>(K24+K27)/K18</f>
        <v>7.3946195917150334E-2</v>
      </c>
      <c r="L29" s="1068"/>
      <c r="M29" s="1069">
        <f>K29</f>
        <v>7.3946195917150334E-2</v>
      </c>
      <c r="N29" s="1037"/>
      <c r="O29" s="1037"/>
      <c r="P29" s="1070"/>
      <c r="Q29" s="1070"/>
      <c r="R29" s="1071"/>
      <c r="U29" s="1039"/>
      <c r="V29" s="1038" t="s">
        <v>31</v>
      </c>
    </row>
    <row r="30" spans="1:22" s="1035" customFormat="1" ht="18.75" customHeight="1">
      <c r="A30" s="1047"/>
      <c r="B30" s="756"/>
      <c r="C30" s="641"/>
      <c r="D30" s="641"/>
      <c r="E30" s="641"/>
      <c r="F30" s="641"/>
      <c r="G30" s="1051"/>
      <c r="H30" s="756"/>
      <c r="I30" s="1050"/>
      <c r="K30" s="1060"/>
      <c r="L30" s="1060"/>
      <c r="M30" s="1055"/>
      <c r="N30" s="1037"/>
      <c r="O30" s="1037"/>
      <c r="P30" s="1037"/>
      <c r="Q30" s="1037"/>
      <c r="R30" s="1072"/>
      <c r="S30" s="1038"/>
      <c r="T30" s="1038"/>
      <c r="U30" s="1038"/>
      <c r="V30" s="1040"/>
    </row>
    <row r="31" spans="1:22" s="1035" customFormat="1" ht="15">
      <c r="A31" s="1047"/>
      <c r="B31" s="756"/>
      <c r="C31" s="641" t="s">
        <v>482</v>
      </c>
      <c r="D31" s="641"/>
      <c r="E31" s="641"/>
      <c r="F31" s="641"/>
      <c r="G31" s="1073"/>
      <c r="H31" s="756"/>
      <c r="I31" s="1074"/>
      <c r="K31" s="1060"/>
      <c r="L31" s="1060"/>
      <c r="M31" s="1055"/>
      <c r="N31" s="756"/>
      <c r="O31" s="756"/>
      <c r="P31" s="1075"/>
      <c r="Q31" s="1075"/>
      <c r="R31" s="1076"/>
      <c r="S31" s="1038"/>
      <c r="T31" s="1038"/>
      <c r="U31" s="1038"/>
      <c r="V31" s="1040"/>
    </row>
    <row r="32" spans="1:22" s="1035" customFormat="1" ht="15">
      <c r="A32" s="1047" t="s">
        <v>480</v>
      </c>
      <c r="B32" s="756"/>
      <c r="C32" s="641" t="s">
        <v>96</v>
      </c>
      <c r="D32" s="641"/>
      <c r="E32" s="641"/>
      <c r="F32" s="641"/>
      <c r="G32" s="1051" t="s">
        <v>931</v>
      </c>
      <c r="H32" s="756"/>
      <c r="I32" s="1050"/>
      <c r="K32" s="1053">
        <f>'C1-Rate Base'!P31</f>
        <v>57013802.852485351</v>
      </c>
      <c r="L32" s="1060"/>
      <c r="M32" s="1055"/>
      <c r="N32" s="756"/>
      <c r="O32" s="756"/>
      <c r="P32" s="1075"/>
      <c r="Q32" s="1075"/>
      <c r="R32" s="1076"/>
      <c r="S32" s="1038"/>
      <c r="T32" s="1038"/>
      <c r="U32" s="1038"/>
      <c r="V32" s="1040"/>
    </row>
    <row r="33" spans="1:24" s="1035" customFormat="1" ht="15">
      <c r="A33" s="1047"/>
      <c r="B33" s="756"/>
      <c r="C33" s="641"/>
      <c r="D33" s="641"/>
      <c r="E33" s="641"/>
      <c r="F33" s="641"/>
      <c r="G33" s="1051"/>
      <c r="H33" s="756"/>
      <c r="I33" s="1050"/>
      <c r="K33" s="1060"/>
      <c r="L33" s="1060"/>
      <c r="M33" s="1055"/>
      <c r="N33" s="756"/>
      <c r="O33" s="756"/>
      <c r="P33" s="1075"/>
      <c r="Q33" s="1075"/>
      <c r="R33" s="1076"/>
      <c r="S33" s="1038"/>
      <c r="T33" s="1038"/>
      <c r="U33" s="1038"/>
      <c r="V33" s="1040"/>
    </row>
    <row r="34" spans="1:24" s="1035" customFormat="1" ht="15.75">
      <c r="A34" s="1047" t="s">
        <v>481</v>
      </c>
      <c r="B34" s="1077"/>
      <c r="C34" s="1078" t="s">
        <v>483</v>
      </c>
      <c r="D34" s="1037"/>
      <c r="E34" s="1037"/>
      <c r="F34" s="1037"/>
      <c r="G34" s="1051" t="s">
        <v>1164</v>
      </c>
      <c r="H34" s="756"/>
      <c r="I34" s="1050"/>
      <c r="K34" s="1079">
        <f>IF(K21=0,0,K32/K21)</f>
        <v>9.1294788827296802E-2</v>
      </c>
      <c r="L34" s="1068"/>
      <c r="M34" s="1069">
        <f>K34</f>
        <v>9.1294788827296802E-2</v>
      </c>
      <c r="N34" s="756"/>
      <c r="O34" s="756"/>
      <c r="P34" s="1075"/>
      <c r="Q34" s="1075"/>
      <c r="R34" s="1076"/>
      <c r="S34" s="1038"/>
      <c r="T34" s="1038"/>
      <c r="U34" s="1038"/>
      <c r="V34" s="1040"/>
    </row>
    <row r="35" spans="1:24" s="1035" customFormat="1" ht="15">
      <c r="A35" s="1047"/>
      <c r="B35" s="756"/>
      <c r="C35" s="641"/>
      <c r="D35" s="641"/>
      <c r="E35" s="641"/>
      <c r="F35" s="641"/>
      <c r="G35" s="1051"/>
      <c r="H35" s="756"/>
      <c r="I35" s="1050"/>
      <c r="K35" s="1060"/>
      <c r="L35" s="1060"/>
      <c r="M35" s="1055"/>
      <c r="N35" s="756"/>
      <c r="O35" s="756"/>
      <c r="P35" s="1075"/>
      <c r="Q35" s="1075"/>
      <c r="R35" s="1076"/>
      <c r="S35" s="1038"/>
      <c r="T35" s="1038"/>
      <c r="U35" s="1038"/>
      <c r="V35" s="1040"/>
    </row>
    <row r="36" spans="1:24" s="1035" customFormat="1" ht="15">
      <c r="D36" s="756"/>
      <c r="E36" s="756"/>
      <c r="F36" s="756"/>
      <c r="G36" s="756"/>
      <c r="H36" s="756"/>
      <c r="I36" s="756"/>
      <c r="J36" s="756"/>
      <c r="K36" s="756"/>
      <c r="L36" s="756"/>
      <c r="M36" s="756"/>
      <c r="N36" s="756"/>
      <c r="O36" s="756"/>
      <c r="P36" s="756"/>
      <c r="Q36" s="756"/>
      <c r="R36" s="1080"/>
      <c r="S36" s="756"/>
      <c r="T36" s="756"/>
      <c r="U36" s="756"/>
    </row>
    <row r="37" spans="1:24" s="767" customFormat="1" ht="21">
      <c r="A37" s="769" t="s">
        <v>928</v>
      </c>
      <c r="D37" s="766"/>
      <c r="E37" s="766"/>
      <c r="F37" s="766"/>
      <c r="G37" s="766"/>
      <c r="H37" s="766"/>
      <c r="I37" s="766"/>
      <c r="J37" s="766"/>
      <c r="K37" s="766"/>
      <c r="L37" s="766"/>
      <c r="M37" s="766"/>
      <c r="N37" s="766"/>
      <c r="O37" s="766"/>
      <c r="P37" s="766"/>
      <c r="Q37" s="766"/>
      <c r="R37" s="768"/>
      <c r="S37" s="766" t="s">
        <v>603</v>
      </c>
      <c r="U37" s="766"/>
    </row>
    <row r="38" spans="1:24" s="1035" customFormat="1" ht="15.75">
      <c r="A38" s="1808" t="str">
        <f>A4</f>
        <v>Schedule F1</v>
      </c>
      <c r="B38" s="1808"/>
      <c r="C38" s="1808"/>
      <c r="D38" s="1808"/>
      <c r="E38" s="1808"/>
      <c r="F38" s="1808"/>
      <c r="G38" s="1808"/>
      <c r="H38" s="1808"/>
      <c r="I38" s="1808"/>
      <c r="J38" s="1808"/>
      <c r="K38" s="1808"/>
      <c r="L38" s="1808"/>
      <c r="M38" s="1808"/>
      <c r="N38" s="1808"/>
      <c r="O38" s="1808"/>
      <c r="P38" s="1808"/>
      <c r="Q38" s="1808"/>
      <c r="R38" s="1808"/>
      <c r="S38" s="1808"/>
      <c r="T38" s="756"/>
      <c r="U38" s="756"/>
    </row>
    <row r="39" spans="1:24" s="1035" customFormat="1" ht="15.75">
      <c r="A39" s="1808" t="str">
        <f>A5</f>
        <v>Project Revenue Requirement Worksheet</v>
      </c>
      <c r="B39" s="1808"/>
      <c r="C39" s="1808"/>
      <c r="D39" s="1808"/>
      <c r="E39" s="1808"/>
      <c r="F39" s="1808"/>
      <c r="G39" s="1808"/>
      <c r="H39" s="1808"/>
      <c r="I39" s="1808"/>
      <c r="J39" s="1808"/>
      <c r="K39" s="1808"/>
      <c r="L39" s="1808"/>
      <c r="M39" s="1808"/>
      <c r="N39" s="1808"/>
      <c r="O39" s="1808"/>
      <c r="P39" s="1808"/>
      <c r="Q39" s="1808"/>
      <c r="R39" s="1808"/>
      <c r="S39" s="1808"/>
      <c r="T39" s="219"/>
      <c r="U39" s="1037"/>
      <c r="V39" s="1040"/>
    </row>
    <row r="40" spans="1:24" s="1035" customFormat="1" ht="15.75">
      <c r="A40" s="1809" t="str">
        <f>A6</f>
        <v>NEW YORK POWER AUTHORITY</v>
      </c>
      <c r="B40" s="1809"/>
      <c r="C40" s="1809"/>
      <c r="D40" s="1809"/>
      <c r="E40" s="1809"/>
      <c r="F40" s="1809"/>
      <c r="G40" s="1809"/>
      <c r="H40" s="1809"/>
      <c r="I40" s="1809"/>
      <c r="J40" s="1809"/>
      <c r="K40" s="1809"/>
      <c r="L40" s="1809"/>
      <c r="M40" s="1809"/>
      <c r="N40" s="1809"/>
      <c r="O40" s="1809"/>
      <c r="P40" s="1809"/>
      <c r="Q40" s="1809"/>
      <c r="R40" s="1809"/>
      <c r="S40" s="1809"/>
      <c r="T40" s="219"/>
      <c r="U40" s="1037"/>
      <c r="V40" s="1040"/>
    </row>
    <row r="41" spans="1:24" s="1035" customFormat="1" ht="15">
      <c r="A41" s="1081"/>
      <c r="C41" s="1040"/>
      <c r="D41" s="641"/>
      <c r="E41" s="756"/>
      <c r="F41" s="756"/>
      <c r="G41" s="756"/>
      <c r="H41" s="756"/>
      <c r="I41" s="756"/>
      <c r="J41" s="756"/>
      <c r="K41" s="756"/>
      <c r="L41" s="756"/>
      <c r="M41" s="1037"/>
      <c r="N41" s="1037"/>
      <c r="O41" s="1037"/>
      <c r="P41" s="1037"/>
      <c r="Q41" s="1037"/>
      <c r="R41" s="756"/>
      <c r="S41" s="1037"/>
      <c r="T41" s="219"/>
      <c r="U41" s="1037"/>
      <c r="V41" s="1040"/>
    </row>
    <row r="42" spans="1:24" s="1035" customFormat="1">
      <c r="A42" s="1081"/>
      <c r="E42" s="1082"/>
      <c r="F42" s="1082"/>
      <c r="H42" s="1034"/>
      <c r="I42" s="1034"/>
      <c r="J42" s="1034"/>
      <c r="K42" s="1034"/>
      <c r="L42" s="1034"/>
      <c r="M42" s="1034"/>
      <c r="N42" s="1034"/>
      <c r="O42" s="1034"/>
      <c r="P42" s="1038"/>
      <c r="Q42" s="1038"/>
      <c r="R42" s="1038"/>
      <c r="S42" s="1038"/>
      <c r="T42" s="1034"/>
      <c r="U42" s="1038"/>
      <c r="V42" s="1040"/>
    </row>
    <row r="43" spans="1:24" s="1035" customFormat="1">
      <c r="A43" s="1081"/>
      <c r="C43" s="1083">
        <v>-1</v>
      </c>
      <c r="D43" s="1083">
        <v>-2</v>
      </c>
      <c r="E43" s="1083">
        <v>-3</v>
      </c>
      <c r="F43" s="1083">
        <v>-4</v>
      </c>
      <c r="G43" s="1083">
        <v>-5</v>
      </c>
      <c r="H43" s="1083">
        <v>-6</v>
      </c>
      <c r="I43" s="1083">
        <v>-7</v>
      </c>
      <c r="J43" s="1083">
        <v>-8</v>
      </c>
      <c r="K43" s="1083">
        <v>-9</v>
      </c>
      <c r="L43" s="1083">
        <v>-10</v>
      </c>
      <c r="M43" s="1083">
        <v>-11</v>
      </c>
      <c r="N43" s="1083">
        <v>-12</v>
      </c>
      <c r="O43" s="1083">
        <v>-13</v>
      </c>
      <c r="P43" s="1084" t="s">
        <v>485</v>
      </c>
      <c r="Q43" s="1084" t="s">
        <v>1724</v>
      </c>
      <c r="R43" s="1084" t="s">
        <v>486</v>
      </c>
      <c r="S43" s="1084" t="s">
        <v>487</v>
      </c>
      <c r="T43" s="1084">
        <v>-17</v>
      </c>
      <c r="U43" s="1084"/>
      <c r="V43" s="1084"/>
      <c r="W43" s="1084"/>
      <c r="X43" s="1084"/>
    </row>
    <row r="44" spans="1:24" s="1035" customFormat="1" ht="95.25" customHeight="1">
      <c r="A44" s="1085" t="s">
        <v>1</v>
      </c>
      <c r="B44" s="1086"/>
      <c r="C44" s="1086" t="s">
        <v>488</v>
      </c>
      <c r="D44" s="1087" t="s">
        <v>489</v>
      </c>
      <c r="E44" s="1088" t="s">
        <v>801</v>
      </c>
      <c r="F44" s="1087" t="s">
        <v>802</v>
      </c>
      <c r="G44" s="1087" t="str">
        <f>+C29</f>
        <v>Annual Allocation Factor for Expenses</v>
      </c>
      <c r="H44" s="1088" t="s">
        <v>803</v>
      </c>
      <c r="I44" s="1089" t="s">
        <v>804</v>
      </c>
      <c r="J44" s="1089" t="s">
        <v>484</v>
      </c>
      <c r="K44" s="1090" t="s">
        <v>805</v>
      </c>
      <c r="L44" s="1089" t="s">
        <v>806</v>
      </c>
      <c r="M44" s="1091" t="s">
        <v>807</v>
      </c>
      <c r="N44" s="1091" t="s">
        <v>490</v>
      </c>
      <c r="O44" s="1467" t="s">
        <v>808</v>
      </c>
      <c r="P44" s="1477" t="s">
        <v>1726</v>
      </c>
      <c r="Q44" s="1477" t="str">
        <f>Index!D19</f>
        <v xml:space="preserve">PROJECT SPECIFIC CAPITAL STRUCTURE AND COST OF CAPITAL </v>
      </c>
      <c r="R44" s="1091" t="s">
        <v>809</v>
      </c>
      <c r="S44" s="1091" t="s">
        <v>810</v>
      </c>
      <c r="T44" s="1091" t="s">
        <v>811</v>
      </c>
    </row>
    <row r="45" spans="1:24" s="1035" customFormat="1" ht="58.5" customHeight="1">
      <c r="A45" s="1092"/>
      <c r="B45" s="1093"/>
      <c r="C45" s="1094"/>
      <c r="D45" s="1094"/>
      <c r="E45" s="1095" t="s">
        <v>1149</v>
      </c>
      <c r="F45" s="1095"/>
      <c r="G45" s="1095" t="s">
        <v>1163</v>
      </c>
      <c r="H45" s="1096" t="s">
        <v>491</v>
      </c>
      <c r="I45" s="1095" t="s">
        <v>1150</v>
      </c>
      <c r="J45" s="1095" t="s">
        <v>776</v>
      </c>
      <c r="K45" s="1097" t="s">
        <v>777</v>
      </c>
      <c r="L45" s="1095" t="s">
        <v>492</v>
      </c>
      <c r="M45" s="1097" t="s">
        <v>576</v>
      </c>
      <c r="N45" s="1095" t="s">
        <v>587</v>
      </c>
      <c r="O45" s="1468" t="s">
        <v>932</v>
      </c>
      <c r="P45" s="1478" t="s">
        <v>1666</v>
      </c>
      <c r="Q45" s="1478" t="s">
        <v>1721</v>
      </c>
      <c r="R45" s="1098" t="s">
        <v>1725</v>
      </c>
      <c r="S45" s="1099" t="s">
        <v>493</v>
      </c>
      <c r="T45" s="1098" t="s">
        <v>1670</v>
      </c>
    </row>
    <row r="46" spans="1:24" s="1035" customFormat="1">
      <c r="A46" s="1100"/>
      <c r="B46" s="1101"/>
      <c r="C46" s="1101"/>
      <c r="D46" s="1101"/>
      <c r="E46" s="1101"/>
      <c r="F46" s="1102"/>
      <c r="G46" s="1101"/>
      <c r="H46" s="1102"/>
      <c r="I46" s="1101"/>
      <c r="J46" s="1101"/>
      <c r="K46" s="1103"/>
      <c r="L46" s="1101"/>
      <c r="M46" s="1103"/>
      <c r="N46" s="1103"/>
      <c r="O46" s="1469"/>
      <c r="P46" s="1470"/>
      <c r="Q46" s="1470"/>
      <c r="R46" s="1103"/>
      <c r="S46" s="1104"/>
      <c r="T46" s="1105"/>
    </row>
    <row r="47" spans="1:24" s="1035" customFormat="1">
      <c r="A47" s="1106" t="s">
        <v>471</v>
      </c>
      <c r="B47" s="1107"/>
      <c r="C47" s="1108" t="str">
        <f>+'F3-True-Up'!B20</f>
        <v>NTAC Facilities</v>
      </c>
      <c r="D47" s="1109">
        <v>0</v>
      </c>
      <c r="E47" s="1776">
        <f>+'B2-Plant'!Q40-SUM(E48:E65)</f>
        <v>1718389646.8099997</v>
      </c>
      <c r="F47" s="1110">
        <f>+'B2-Plant'!R40-SUM(F48:F65)</f>
        <v>1138660793.4122195</v>
      </c>
      <c r="G47" s="1111">
        <f>+K29</f>
        <v>7.3946195917150334E-2</v>
      </c>
      <c r="H47" s="1112">
        <f>+E47*G47</f>
        <v>127068377.485015</v>
      </c>
      <c r="I47" s="1110">
        <f>'B2-Plant'!T40-SUM(I48:I65)</f>
        <v>579728853.39778006</v>
      </c>
      <c r="J47" s="1111">
        <f>+M34</f>
        <v>9.1294788827296802E-2</v>
      </c>
      <c r="K47" s="1113">
        <f>I47*J47</f>
        <v>52926223.248041235</v>
      </c>
      <c r="L47" s="1116">
        <f>'B1-Depn'!H47-SUM(L48:L65)</f>
        <v>34771349.63000001</v>
      </c>
      <c r="M47" s="1113">
        <f>+H47+K47+L47</f>
        <v>214765950.36305624</v>
      </c>
      <c r="N47" s="1113">
        <v>0</v>
      </c>
      <c r="O47" s="1115">
        <f>+'F2-Incentives'!K$25*'F1-Proj RR'!N47/100*'F1-Proj RR'!I47</f>
        <v>0</v>
      </c>
      <c r="P47" s="1216"/>
      <c r="Q47" s="1216"/>
      <c r="R47" s="1113">
        <f>+M47+O47+P47+Q47</f>
        <v>214765950.36305624</v>
      </c>
      <c r="S47" s="1116">
        <f>'F3-True-Up'!J20</f>
        <v>9797238.9166236483</v>
      </c>
      <c r="T47" s="1113">
        <f>+R47+S47</f>
        <v>224563189.27967989</v>
      </c>
    </row>
    <row r="48" spans="1:24" s="1035" customFormat="1">
      <c r="A48" s="1106" t="s">
        <v>473</v>
      </c>
      <c r="B48" s="1107"/>
      <c r="C48" s="1109" t="s">
        <v>2019</v>
      </c>
      <c r="D48" s="1109">
        <v>0</v>
      </c>
      <c r="E48" s="1116">
        <v>46076276.690000005</v>
      </c>
      <c r="F48" s="1110">
        <v>1302860.19</v>
      </c>
      <c r="G48" s="1111">
        <f>+G47</f>
        <v>7.3946195917150334E-2</v>
      </c>
      <c r="H48" s="1112">
        <f t="shared" ref="H48:H65" si="0">+E48*G48</f>
        <v>3407165.3832515674</v>
      </c>
      <c r="I48" s="1110">
        <v>44773416.5</v>
      </c>
      <c r="J48" s="1111">
        <f>+J47</f>
        <v>9.1294788827296802E-2</v>
      </c>
      <c r="K48" s="1113">
        <f t="shared" ref="K48:K65" si="1">I48*J48</f>
        <v>4087579.6044441061</v>
      </c>
      <c r="L48" s="1116">
        <v>612566.31999999995</v>
      </c>
      <c r="M48" s="1113">
        <f t="shared" ref="M48:M65" si="2">+H48+K48+L48</f>
        <v>8107311.3076956738</v>
      </c>
      <c r="N48" s="1117">
        <v>0</v>
      </c>
      <c r="O48" s="1115">
        <f>+'F2-Incentives'!K$25*'F1-Proj RR'!N48/100*'F1-Proj RR'!I48</f>
        <v>0</v>
      </c>
      <c r="P48" s="1216"/>
      <c r="Q48" s="1777">
        <f>'D2-Project Cap Structures'!H35</f>
        <v>59071.47615344869</v>
      </c>
      <c r="R48" s="1113">
        <f t="shared" ref="R48:R65" si="3">+M48+O48+P48+Q48</f>
        <v>8166382.783849122</v>
      </c>
      <c r="S48" s="1116">
        <f>'F3-True-Up'!J21</f>
        <v>4990770.1938778497</v>
      </c>
      <c r="T48" s="1113">
        <f>+R48+S48</f>
        <v>13157152.977726972</v>
      </c>
    </row>
    <row r="49" spans="1:20" s="1035" customFormat="1">
      <c r="A49" s="1106" t="s">
        <v>494</v>
      </c>
      <c r="B49" s="1107"/>
      <c r="C49" s="1109"/>
      <c r="D49" s="1109">
        <v>0</v>
      </c>
      <c r="E49" s="1116">
        <v>0</v>
      </c>
      <c r="F49" s="1110">
        <v>0</v>
      </c>
      <c r="G49" s="1111">
        <f>+G48</f>
        <v>7.3946195917150334E-2</v>
      </c>
      <c r="H49" s="1112">
        <f t="shared" si="0"/>
        <v>0</v>
      </c>
      <c r="I49" s="1110">
        <v>0</v>
      </c>
      <c r="J49" s="1111">
        <f>+J48</f>
        <v>9.1294788827296802E-2</v>
      </c>
      <c r="K49" s="1113">
        <f t="shared" si="1"/>
        <v>0</v>
      </c>
      <c r="L49" s="1114">
        <v>0</v>
      </c>
      <c r="M49" s="1113">
        <f t="shared" si="2"/>
        <v>0</v>
      </c>
      <c r="N49" s="1117">
        <v>0</v>
      </c>
      <c r="O49" s="1115">
        <f>+'F2-Incentives'!K$25*'F1-Proj RR'!N49/100*'F1-Proj RR'!I49</f>
        <v>0</v>
      </c>
      <c r="P49" s="1216"/>
      <c r="Q49" s="1216"/>
      <c r="R49" s="1113">
        <f t="shared" si="3"/>
        <v>0</v>
      </c>
      <c r="S49" s="1116">
        <v>0</v>
      </c>
      <c r="T49" s="1113">
        <f>+R49+S49</f>
        <v>0</v>
      </c>
    </row>
    <row r="50" spans="1:20" s="1035" customFormat="1">
      <c r="A50" s="1106" t="s">
        <v>495</v>
      </c>
      <c r="B50" s="1107"/>
      <c r="C50" s="1109">
        <v>0</v>
      </c>
      <c r="D50" s="1109">
        <v>0</v>
      </c>
      <c r="E50" s="1116">
        <v>0</v>
      </c>
      <c r="F50" s="1110">
        <v>0</v>
      </c>
      <c r="G50" s="1111">
        <f t="shared" ref="G50:G65" si="4">+G49</f>
        <v>7.3946195917150334E-2</v>
      </c>
      <c r="H50" s="1112">
        <f t="shared" si="0"/>
        <v>0</v>
      </c>
      <c r="I50" s="1110">
        <v>0</v>
      </c>
      <c r="J50" s="1111">
        <f t="shared" ref="J50:J65" si="5">+J49</f>
        <v>9.1294788827296802E-2</v>
      </c>
      <c r="K50" s="1113">
        <f t="shared" si="1"/>
        <v>0</v>
      </c>
      <c r="L50" s="1114">
        <v>0</v>
      </c>
      <c r="M50" s="1113">
        <f t="shared" si="2"/>
        <v>0</v>
      </c>
      <c r="N50" s="1117">
        <v>0</v>
      </c>
      <c r="O50" s="1115">
        <f>+'F2-Incentives'!K$25*'F1-Proj RR'!N50/100*'F1-Proj RR'!I50</f>
        <v>0</v>
      </c>
      <c r="P50" s="1216"/>
      <c r="Q50" s="1216"/>
      <c r="R50" s="1113">
        <f t="shared" si="3"/>
        <v>0</v>
      </c>
      <c r="S50" s="1116">
        <v>0</v>
      </c>
      <c r="T50" s="1113">
        <f>+R50+S50</f>
        <v>0</v>
      </c>
    </row>
    <row r="51" spans="1:20" s="1035" customFormat="1">
      <c r="A51" s="1106" t="s">
        <v>496</v>
      </c>
      <c r="B51" s="1107"/>
      <c r="C51" s="1109">
        <v>0</v>
      </c>
      <c r="D51" s="1109">
        <v>0</v>
      </c>
      <c r="E51" s="1116">
        <v>0</v>
      </c>
      <c r="F51" s="1110">
        <v>0</v>
      </c>
      <c r="G51" s="1111">
        <f t="shared" si="4"/>
        <v>7.3946195917150334E-2</v>
      </c>
      <c r="H51" s="1112">
        <f t="shared" si="0"/>
        <v>0</v>
      </c>
      <c r="I51" s="1110">
        <v>0</v>
      </c>
      <c r="J51" s="1111">
        <f t="shared" si="5"/>
        <v>9.1294788827296802E-2</v>
      </c>
      <c r="K51" s="1113">
        <f t="shared" si="1"/>
        <v>0</v>
      </c>
      <c r="L51" s="1114">
        <v>0</v>
      </c>
      <c r="M51" s="1113">
        <f t="shared" si="2"/>
        <v>0</v>
      </c>
      <c r="N51" s="1117">
        <v>0</v>
      </c>
      <c r="O51" s="1115">
        <f>+'F2-Incentives'!K$25*'F1-Proj RR'!N51/100*'F1-Proj RR'!I51</f>
        <v>0</v>
      </c>
      <c r="P51" s="1216"/>
      <c r="Q51" s="1216"/>
      <c r="R51" s="1113">
        <f t="shared" si="3"/>
        <v>0</v>
      </c>
      <c r="S51" s="1116">
        <v>0</v>
      </c>
      <c r="T51" s="1113">
        <f>+R51+S51</f>
        <v>0</v>
      </c>
    </row>
    <row r="52" spans="1:20" s="1035" customFormat="1">
      <c r="A52" s="1106" t="s">
        <v>497</v>
      </c>
      <c r="B52" s="1107"/>
      <c r="C52" s="1109">
        <v>0</v>
      </c>
      <c r="D52" s="1109">
        <v>0</v>
      </c>
      <c r="E52" s="1116">
        <v>0</v>
      </c>
      <c r="F52" s="1110">
        <v>0</v>
      </c>
      <c r="G52" s="1111">
        <f t="shared" si="4"/>
        <v>7.3946195917150334E-2</v>
      </c>
      <c r="H52" s="1112">
        <f t="shared" si="0"/>
        <v>0</v>
      </c>
      <c r="I52" s="1110">
        <v>0</v>
      </c>
      <c r="J52" s="1111">
        <f t="shared" si="5"/>
        <v>9.1294788827296802E-2</v>
      </c>
      <c r="K52" s="1113">
        <f t="shared" si="1"/>
        <v>0</v>
      </c>
      <c r="L52" s="1114">
        <v>0</v>
      </c>
      <c r="M52" s="1113">
        <f t="shared" si="2"/>
        <v>0</v>
      </c>
      <c r="N52" s="1117">
        <v>0</v>
      </c>
      <c r="O52" s="1115">
        <f>+'F2-Incentives'!K$25*'F1-Proj RR'!N52/100*'F1-Proj RR'!I52</f>
        <v>0</v>
      </c>
      <c r="P52" s="1216"/>
      <c r="Q52" s="1216"/>
      <c r="R52" s="1113">
        <f t="shared" si="3"/>
        <v>0</v>
      </c>
      <c r="S52" s="1116">
        <v>0</v>
      </c>
      <c r="T52" s="1113">
        <f t="shared" ref="T52:T66" si="6">M52+S52</f>
        <v>0</v>
      </c>
    </row>
    <row r="53" spans="1:20" s="1035" customFormat="1">
      <c r="A53" s="1106" t="s">
        <v>498</v>
      </c>
      <c r="B53" s="1107"/>
      <c r="C53" s="1109">
        <v>0</v>
      </c>
      <c r="D53" s="1109">
        <v>0</v>
      </c>
      <c r="E53" s="1116">
        <v>0</v>
      </c>
      <c r="F53" s="1110">
        <v>0</v>
      </c>
      <c r="G53" s="1111">
        <f t="shared" si="4"/>
        <v>7.3946195917150334E-2</v>
      </c>
      <c r="H53" s="1112">
        <f t="shared" si="0"/>
        <v>0</v>
      </c>
      <c r="I53" s="1110">
        <v>0</v>
      </c>
      <c r="J53" s="1111">
        <f t="shared" si="5"/>
        <v>9.1294788827296802E-2</v>
      </c>
      <c r="K53" s="1113">
        <f t="shared" si="1"/>
        <v>0</v>
      </c>
      <c r="L53" s="1114">
        <v>0</v>
      </c>
      <c r="M53" s="1113">
        <f t="shared" si="2"/>
        <v>0</v>
      </c>
      <c r="N53" s="1117">
        <v>0</v>
      </c>
      <c r="O53" s="1115">
        <f>+'F2-Incentives'!K$25*'F1-Proj RR'!N53/100*'F1-Proj RR'!I53</f>
        <v>0</v>
      </c>
      <c r="P53" s="1216"/>
      <c r="Q53" s="1216"/>
      <c r="R53" s="1113">
        <f t="shared" si="3"/>
        <v>0</v>
      </c>
      <c r="S53" s="1116">
        <v>0</v>
      </c>
      <c r="T53" s="1113">
        <f t="shared" si="6"/>
        <v>0</v>
      </c>
    </row>
    <row r="54" spans="1:20" s="1035" customFormat="1">
      <c r="A54" s="1106" t="s">
        <v>499</v>
      </c>
      <c r="B54" s="1107"/>
      <c r="C54" s="1109">
        <v>0</v>
      </c>
      <c r="D54" s="1109">
        <v>0</v>
      </c>
      <c r="E54" s="1116">
        <v>0</v>
      </c>
      <c r="F54" s="1110">
        <v>0</v>
      </c>
      <c r="G54" s="1111">
        <f t="shared" si="4"/>
        <v>7.3946195917150334E-2</v>
      </c>
      <c r="H54" s="1112">
        <f t="shared" si="0"/>
        <v>0</v>
      </c>
      <c r="I54" s="1110">
        <v>0</v>
      </c>
      <c r="J54" s="1111">
        <f t="shared" si="5"/>
        <v>9.1294788827296802E-2</v>
      </c>
      <c r="K54" s="1113">
        <f t="shared" si="1"/>
        <v>0</v>
      </c>
      <c r="L54" s="1114">
        <v>0</v>
      </c>
      <c r="M54" s="1113">
        <f t="shared" si="2"/>
        <v>0</v>
      </c>
      <c r="N54" s="1117">
        <v>0</v>
      </c>
      <c r="O54" s="1115">
        <f>+'F2-Incentives'!K$25*'F1-Proj RR'!N54/100*'F1-Proj RR'!I54</f>
        <v>0</v>
      </c>
      <c r="P54" s="1216"/>
      <c r="Q54" s="1216"/>
      <c r="R54" s="1113">
        <f t="shared" si="3"/>
        <v>0</v>
      </c>
      <c r="S54" s="1116">
        <v>0</v>
      </c>
      <c r="T54" s="1113">
        <f t="shared" si="6"/>
        <v>0</v>
      </c>
    </row>
    <row r="55" spans="1:20" s="1035" customFormat="1">
      <c r="A55" s="1106" t="s">
        <v>500</v>
      </c>
      <c r="B55" s="1107"/>
      <c r="C55" s="1109">
        <v>0</v>
      </c>
      <c r="D55" s="1109">
        <v>0</v>
      </c>
      <c r="E55" s="1116">
        <v>0</v>
      </c>
      <c r="F55" s="1110">
        <v>0</v>
      </c>
      <c r="G55" s="1111">
        <f t="shared" si="4"/>
        <v>7.3946195917150334E-2</v>
      </c>
      <c r="H55" s="1112">
        <f t="shared" si="0"/>
        <v>0</v>
      </c>
      <c r="I55" s="1110">
        <v>0</v>
      </c>
      <c r="J55" s="1111">
        <f t="shared" si="5"/>
        <v>9.1294788827296802E-2</v>
      </c>
      <c r="K55" s="1113">
        <f t="shared" si="1"/>
        <v>0</v>
      </c>
      <c r="L55" s="1114">
        <v>0</v>
      </c>
      <c r="M55" s="1113">
        <f t="shared" si="2"/>
        <v>0</v>
      </c>
      <c r="N55" s="1117">
        <v>0</v>
      </c>
      <c r="O55" s="1115">
        <f>+'F2-Incentives'!K$25*'F1-Proj RR'!N55/100*'F1-Proj RR'!I55</f>
        <v>0</v>
      </c>
      <c r="P55" s="1216"/>
      <c r="Q55" s="1216"/>
      <c r="R55" s="1113">
        <f t="shared" si="3"/>
        <v>0</v>
      </c>
      <c r="S55" s="1116">
        <v>0</v>
      </c>
      <c r="T55" s="1113">
        <f t="shared" si="6"/>
        <v>0</v>
      </c>
    </row>
    <row r="56" spans="1:20" s="1035" customFormat="1">
      <c r="A56" s="1106" t="s">
        <v>501</v>
      </c>
      <c r="B56" s="1107"/>
      <c r="C56" s="1109">
        <v>0</v>
      </c>
      <c r="D56" s="1109">
        <v>0</v>
      </c>
      <c r="E56" s="1109">
        <v>0</v>
      </c>
      <c r="F56" s="1110">
        <v>0</v>
      </c>
      <c r="G56" s="1111">
        <f t="shared" si="4"/>
        <v>7.3946195917150334E-2</v>
      </c>
      <c r="H56" s="1112">
        <f t="shared" si="0"/>
        <v>0</v>
      </c>
      <c r="I56" s="1110">
        <v>0</v>
      </c>
      <c r="J56" s="1111">
        <f t="shared" si="5"/>
        <v>9.1294788827296802E-2</v>
      </c>
      <c r="K56" s="1113">
        <f t="shared" si="1"/>
        <v>0</v>
      </c>
      <c r="L56" s="1114">
        <v>0</v>
      </c>
      <c r="M56" s="1113">
        <f t="shared" si="2"/>
        <v>0</v>
      </c>
      <c r="N56" s="1117">
        <v>0</v>
      </c>
      <c r="O56" s="1115">
        <f>+'F2-Incentives'!K$25*'F1-Proj RR'!N56/100*'F1-Proj RR'!I56</f>
        <v>0</v>
      </c>
      <c r="P56" s="1216"/>
      <c r="Q56" s="1216"/>
      <c r="R56" s="1113">
        <f t="shared" si="3"/>
        <v>0</v>
      </c>
      <c r="S56" s="1116">
        <v>0</v>
      </c>
      <c r="T56" s="1113">
        <f t="shared" si="6"/>
        <v>0</v>
      </c>
    </row>
    <row r="57" spans="1:20" s="1035" customFormat="1">
      <c r="A57" s="1106" t="s">
        <v>502</v>
      </c>
      <c r="B57" s="1107"/>
      <c r="C57" s="1109">
        <v>0</v>
      </c>
      <c r="D57" s="1109">
        <v>0</v>
      </c>
      <c r="E57" s="1109">
        <v>0</v>
      </c>
      <c r="F57" s="1110">
        <v>0</v>
      </c>
      <c r="G57" s="1111">
        <f t="shared" si="4"/>
        <v>7.3946195917150334E-2</v>
      </c>
      <c r="H57" s="1112">
        <f t="shared" si="0"/>
        <v>0</v>
      </c>
      <c r="I57" s="1110">
        <v>0</v>
      </c>
      <c r="J57" s="1111">
        <f t="shared" si="5"/>
        <v>9.1294788827296802E-2</v>
      </c>
      <c r="K57" s="1113">
        <f t="shared" si="1"/>
        <v>0</v>
      </c>
      <c r="L57" s="1114">
        <v>0</v>
      </c>
      <c r="M57" s="1113">
        <f t="shared" si="2"/>
        <v>0</v>
      </c>
      <c r="N57" s="1117">
        <v>0</v>
      </c>
      <c r="O57" s="1115">
        <f>+'F2-Incentives'!K$25*'F1-Proj RR'!N57/100*'F1-Proj RR'!I57</f>
        <v>0</v>
      </c>
      <c r="P57" s="1216"/>
      <c r="Q57" s="1216"/>
      <c r="R57" s="1113">
        <f t="shared" si="3"/>
        <v>0</v>
      </c>
      <c r="S57" s="1116">
        <v>0</v>
      </c>
      <c r="T57" s="1113">
        <f t="shared" si="6"/>
        <v>0</v>
      </c>
    </row>
    <row r="58" spans="1:20" s="1035" customFormat="1">
      <c r="A58" s="1106" t="s">
        <v>503</v>
      </c>
      <c r="B58" s="1107"/>
      <c r="C58" s="1109">
        <v>0</v>
      </c>
      <c r="D58" s="1109">
        <v>0</v>
      </c>
      <c r="E58" s="1109">
        <v>0</v>
      </c>
      <c r="F58" s="1110">
        <v>0</v>
      </c>
      <c r="G58" s="1111">
        <f t="shared" si="4"/>
        <v>7.3946195917150334E-2</v>
      </c>
      <c r="H58" s="1112">
        <f t="shared" si="0"/>
        <v>0</v>
      </c>
      <c r="I58" s="1110">
        <v>0</v>
      </c>
      <c r="J58" s="1111">
        <f t="shared" si="5"/>
        <v>9.1294788827296802E-2</v>
      </c>
      <c r="K58" s="1113">
        <f t="shared" si="1"/>
        <v>0</v>
      </c>
      <c r="L58" s="1114">
        <v>0</v>
      </c>
      <c r="M58" s="1113">
        <f t="shared" si="2"/>
        <v>0</v>
      </c>
      <c r="N58" s="1117">
        <v>0</v>
      </c>
      <c r="O58" s="1115">
        <f>+'F2-Incentives'!K$25*'F1-Proj RR'!N58/100*'F1-Proj RR'!I58</f>
        <v>0</v>
      </c>
      <c r="P58" s="1216"/>
      <c r="Q58" s="1216"/>
      <c r="R58" s="1113">
        <f t="shared" si="3"/>
        <v>0</v>
      </c>
      <c r="S58" s="1116">
        <v>0</v>
      </c>
      <c r="T58" s="1113">
        <f t="shared" si="6"/>
        <v>0</v>
      </c>
    </row>
    <row r="59" spans="1:20" s="1035" customFormat="1">
      <c r="A59" s="1106" t="s">
        <v>504</v>
      </c>
      <c r="B59" s="1107"/>
      <c r="C59" s="1109">
        <v>0</v>
      </c>
      <c r="D59" s="1109">
        <v>0</v>
      </c>
      <c r="E59" s="1109">
        <v>0</v>
      </c>
      <c r="F59" s="1110">
        <v>0</v>
      </c>
      <c r="G59" s="1111">
        <f t="shared" si="4"/>
        <v>7.3946195917150334E-2</v>
      </c>
      <c r="H59" s="1112">
        <f t="shared" si="0"/>
        <v>0</v>
      </c>
      <c r="I59" s="1110">
        <v>0</v>
      </c>
      <c r="J59" s="1111">
        <f t="shared" si="5"/>
        <v>9.1294788827296802E-2</v>
      </c>
      <c r="K59" s="1113">
        <f t="shared" si="1"/>
        <v>0</v>
      </c>
      <c r="L59" s="1114">
        <v>0</v>
      </c>
      <c r="M59" s="1113">
        <f t="shared" si="2"/>
        <v>0</v>
      </c>
      <c r="N59" s="1117">
        <v>0</v>
      </c>
      <c r="O59" s="1115">
        <f>+'F2-Incentives'!K$25*'F1-Proj RR'!N59/100*'F1-Proj RR'!I59</f>
        <v>0</v>
      </c>
      <c r="P59" s="1216"/>
      <c r="Q59" s="1216"/>
      <c r="R59" s="1113">
        <f t="shared" si="3"/>
        <v>0</v>
      </c>
      <c r="S59" s="1116">
        <v>0</v>
      </c>
      <c r="T59" s="1113">
        <f t="shared" si="6"/>
        <v>0</v>
      </c>
    </row>
    <row r="60" spans="1:20" s="1035" customFormat="1">
      <c r="A60" s="1106" t="s">
        <v>505</v>
      </c>
      <c r="B60" s="1107"/>
      <c r="C60" s="1109">
        <v>0</v>
      </c>
      <c r="D60" s="1109">
        <v>0</v>
      </c>
      <c r="E60" s="1109">
        <v>0</v>
      </c>
      <c r="F60" s="1110">
        <v>0</v>
      </c>
      <c r="G60" s="1111">
        <f t="shared" si="4"/>
        <v>7.3946195917150334E-2</v>
      </c>
      <c r="H60" s="1112">
        <f t="shared" si="0"/>
        <v>0</v>
      </c>
      <c r="I60" s="1110">
        <v>0</v>
      </c>
      <c r="J60" s="1111">
        <f t="shared" si="5"/>
        <v>9.1294788827296802E-2</v>
      </c>
      <c r="K60" s="1113">
        <f t="shared" si="1"/>
        <v>0</v>
      </c>
      <c r="L60" s="1116">
        <v>0</v>
      </c>
      <c r="M60" s="1113">
        <f t="shared" si="2"/>
        <v>0</v>
      </c>
      <c r="N60" s="1117">
        <v>0</v>
      </c>
      <c r="O60" s="1115">
        <f>+'F2-Incentives'!K$25*'F1-Proj RR'!N60/100*'F1-Proj RR'!I60</f>
        <v>0</v>
      </c>
      <c r="P60" s="1216"/>
      <c r="Q60" s="1216"/>
      <c r="R60" s="1113">
        <f t="shared" si="3"/>
        <v>0</v>
      </c>
      <c r="S60" s="1116">
        <v>0</v>
      </c>
      <c r="T60" s="1113">
        <f t="shared" si="6"/>
        <v>0</v>
      </c>
    </row>
    <row r="61" spans="1:20" s="1035" customFormat="1">
      <c r="A61" s="1106" t="s">
        <v>506</v>
      </c>
      <c r="B61" s="1107"/>
      <c r="C61" s="1109">
        <v>0</v>
      </c>
      <c r="D61" s="1109">
        <v>0</v>
      </c>
      <c r="E61" s="1109">
        <v>0</v>
      </c>
      <c r="F61" s="1110">
        <v>0</v>
      </c>
      <c r="G61" s="1111">
        <f t="shared" si="4"/>
        <v>7.3946195917150334E-2</v>
      </c>
      <c r="H61" s="1112">
        <f t="shared" si="0"/>
        <v>0</v>
      </c>
      <c r="I61" s="1110">
        <v>0</v>
      </c>
      <c r="J61" s="1111">
        <f t="shared" si="5"/>
        <v>9.1294788827296802E-2</v>
      </c>
      <c r="K61" s="1113">
        <f t="shared" si="1"/>
        <v>0</v>
      </c>
      <c r="L61" s="1116">
        <v>0</v>
      </c>
      <c r="M61" s="1118">
        <f t="shared" si="2"/>
        <v>0</v>
      </c>
      <c r="N61" s="1117">
        <v>0</v>
      </c>
      <c r="O61" s="1115">
        <f>+'F2-Incentives'!K$25*'F1-Proj RR'!N61/100*'F1-Proj RR'!I61</f>
        <v>0</v>
      </c>
      <c r="P61" s="1216"/>
      <c r="Q61" s="1216"/>
      <c r="R61" s="1113">
        <f t="shared" si="3"/>
        <v>0</v>
      </c>
      <c r="S61" s="1116">
        <v>0</v>
      </c>
      <c r="T61" s="1113">
        <f t="shared" si="6"/>
        <v>0</v>
      </c>
    </row>
    <row r="62" spans="1:20" s="1035" customFormat="1">
      <c r="A62" s="1119"/>
      <c r="C62" s="1109">
        <v>0</v>
      </c>
      <c r="D62" s="1109">
        <v>0</v>
      </c>
      <c r="E62" s="1109">
        <v>0</v>
      </c>
      <c r="F62" s="1110">
        <v>0</v>
      </c>
      <c r="G62" s="1111">
        <f t="shared" si="4"/>
        <v>7.3946195917150334E-2</v>
      </c>
      <c r="H62" s="1112">
        <f t="shared" si="0"/>
        <v>0</v>
      </c>
      <c r="I62" s="1110">
        <v>0</v>
      </c>
      <c r="J62" s="1111">
        <f t="shared" si="5"/>
        <v>9.1294788827296802E-2</v>
      </c>
      <c r="K62" s="1113">
        <f t="shared" si="1"/>
        <v>0</v>
      </c>
      <c r="L62" s="1116">
        <v>0</v>
      </c>
      <c r="M62" s="1118">
        <f t="shared" si="2"/>
        <v>0</v>
      </c>
      <c r="N62" s="1117">
        <v>0</v>
      </c>
      <c r="O62" s="1115">
        <f>+'F2-Incentives'!K$25*'F1-Proj RR'!N62/100*'F1-Proj RR'!I62</f>
        <v>0</v>
      </c>
      <c r="P62" s="1216"/>
      <c r="Q62" s="1216"/>
      <c r="R62" s="1113">
        <f t="shared" si="3"/>
        <v>0</v>
      </c>
      <c r="S62" s="1116">
        <v>0</v>
      </c>
      <c r="T62" s="1113">
        <f t="shared" si="6"/>
        <v>0</v>
      </c>
    </row>
    <row r="63" spans="1:20" s="1035" customFormat="1">
      <c r="A63" s="1119"/>
      <c r="C63" s="1109">
        <v>0</v>
      </c>
      <c r="D63" s="1109">
        <v>0</v>
      </c>
      <c r="E63" s="1109">
        <v>0</v>
      </c>
      <c r="F63" s="1110">
        <v>0</v>
      </c>
      <c r="G63" s="1111">
        <f t="shared" si="4"/>
        <v>7.3946195917150334E-2</v>
      </c>
      <c r="H63" s="1112">
        <f t="shared" si="0"/>
        <v>0</v>
      </c>
      <c r="I63" s="1110">
        <v>0</v>
      </c>
      <c r="J63" s="1111">
        <f t="shared" si="5"/>
        <v>9.1294788827296802E-2</v>
      </c>
      <c r="K63" s="1113">
        <f t="shared" si="1"/>
        <v>0</v>
      </c>
      <c r="L63" s="1116">
        <v>0</v>
      </c>
      <c r="M63" s="1118">
        <f t="shared" si="2"/>
        <v>0</v>
      </c>
      <c r="N63" s="1117">
        <v>0</v>
      </c>
      <c r="O63" s="1115">
        <f>+'F2-Incentives'!K$25*'F1-Proj RR'!N63/100*'F1-Proj RR'!I63</f>
        <v>0</v>
      </c>
      <c r="P63" s="1216"/>
      <c r="Q63" s="1216"/>
      <c r="R63" s="1113">
        <f t="shared" si="3"/>
        <v>0</v>
      </c>
      <c r="S63" s="1116">
        <v>0</v>
      </c>
      <c r="T63" s="1113">
        <f t="shared" si="6"/>
        <v>0</v>
      </c>
    </row>
    <row r="64" spans="1:20" s="1035" customFormat="1">
      <c r="A64" s="1119"/>
      <c r="C64" s="1109">
        <v>0</v>
      </c>
      <c r="D64" s="1109">
        <v>0</v>
      </c>
      <c r="E64" s="1109">
        <v>0</v>
      </c>
      <c r="F64" s="1110">
        <v>0</v>
      </c>
      <c r="G64" s="1111">
        <f t="shared" si="4"/>
        <v>7.3946195917150334E-2</v>
      </c>
      <c r="H64" s="1112">
        <f t="shared" si="0"/>
        <v>0</v>
      </c>
      <c r="I64" s="1110">
        <v>0</v>
      </c>
      <c r="J64" s="1111">
        <f t="shared" si="5"/>
        <v>9.1294788827296802E-2</v>
      </c>
      <c r="K64" s="1113">
        <f t="shared" si="1"/>
        <v>0</v>
      </c>
      <c r="L64" s="1116">
        <v>0</v>
      </c>
      <c r="M64" s="1118">
        <f t="shared" si="2"/>
        <v>0</v>
      </c>
      <c r="N64" s="1117">
        <v>0</v>
      </c>
      <c r="O64" s="1115">
        <f>+'F2-Incentives'!K$25*'F1-Proj RR'!N64/100*'F1-Proj RR'!I64</f>
        <v>0</v>
      </c>
      <c r="P64" s="1216"/>
      <c r="Q64" s="1216"/>
      <c r="R64" s="1113">
        <f t="shared" si="3"/>
        <v>0</v>
      </c>
      <c r="S64" s="1116">
        <v>0</v>
      </c>
      <c r="T64" s="1113">
        <f t="shared" si="6"/>
        <v>0</v>
      </c>
    </row>
    <row r="65" spans="1:24" s="1035" customFormat="1">
      <c r="A65" s="1119"/>
      <c r="C65" s="1109">
        <v>0</v>
      </c>
      <c r="D65" s="1109">
        <v>0</v>
      </c>
      <c r="E65" s="1109">
        <v>0</v>
      </c>
      <c r="F65" s="1110">
        <v>0</v>
      </c>
      <c r="G65" s="1111">
        <f t="shared" si="4"/>
        <v>7.3946195917150334E-2</v>
      </c>
      <c r="H65" s="1112">
        <f t="shared" si="0"/>
        <v>0</v>
      </c>
      <c r="I65" s="1110">
        <v>0</v>
      </c>
      <c r="J65" s="1111">
        <f t="shared" si="5"/>
        <v>9.1294788827296802E-2</v>
      </c>
      <c r="K65" s="1113">
        <f t="shared" si="1"/>
        <v>0</v>
      </c>
      <c r="L65" s="1116">
        <v>0</v>
      </c>
      <c r="M65" s="1118">
        <f t="shared" si="2"/>
        <v>0</v>
      </c>
      <c r="N65" s="1117">
        <v>0</v>
      </c>
      <c r="O65" s="1115">
        <f>+'F2-Incentives'!K$25*'F1-Proj RR'!N65/100*'F1-Proj RR'!I65</f>
        <v>0</v>
      </c>
      <c r="P65" s="1216"/>
      <c r="Q65" s="1216"/>
      <c r="R65" s="1113">
        <f t="shared" si="3"/>
        <v>0</v>
      </c>
      <c r="S65" s="1116">
        <v>0</v>
      </c>
      <c r="T65" s="1113">
        <f t="shared" si="6"/>
        <v>0</v>
      </c>
    </row>
    <row r="66" spans="1:24" s="1035" customFormat="1">
      <c r="A66" s="1120"/>
      <c r="B66" s="1121"/>
      <c r="C66" s="1121"/>
      <c r="D66" s="1121"/>
      <c r="E66" s="1121"/>
      <c r="F66" s="1121"/>
      <c r="G66" s="1122"/>
      <c r="H66" s="1123"/>
      <c r="I66" s="1121"/>
      <c r="J66" s="1121"/>
      <c r="K66" s="1124"/>
      <c r="L66" s="1121"/>
      <c r="M66" s="1125"/>
      <c r="N66" s="1126"/>
      <c r="O66" s="1127"/>
      <c r="P66" s="1124"/>
      <c r="Q66" s="1124"/>
      <c r="R66" s="1126"/>
      <c r="S66" s="1121"/>
      <c r="T66" s="1128">
        <f t="shared" si="6"/>
        <v>0</v>
      </c>
    </row>
    <row r="67" spans="1:24" s="1035" customFormat="1">
      <c r="A67" s="1048" t="s">
        <v>507</v>
      </c>
      <c r="B67" s="1071"/>
      <c r="C67" s="1040" t="s">
        <v>4</v>
      </c>
      <c r="D67" s="1040"/>
      <c r="E67" s="1129">
        <f>SUM(E47:E65)</f>
        <v>1764465923.4999998</v>
      </c>
      <c r="F67" s="1129">
        <f>SUM(F47:F65)</f>
        <v>1139963653.6022196</v>
      </c>
      <c r="G67" s="1129"/>
      <c r="H67" s="1129">
        <f>SUM(H47:H65)</f>
        <v>130475542.86826657</v>
      </c>
      <c r="I67" s="1129">
        <f>SUM(I47:I65)</f>
        <v>624502269.89778006</v>
      </c>
      <c r="J67" s="1038"/>
      <c r="K67" s="1038"/>
      <c r="L67" s="1112">
        <f>SUM(L47:L66)</f>
        <v>35383915.95000001</v>
      </c>
      <c r="M67" s="1112">
        <f>SUM(M47:M66)</f>
        <v>222873261.67075193</v>
      </c>
      <c r="N67" s="1130"/>
      <c r="O67" s="1112">
        <f>SUM(O47:O66)</f>
        <v>0</v>
      </c>
      <c r="R67" s="1112">
        <f>SUM(R47:R66)</f>
        <v>222932333.14690536</v>
      </c>
      <c r="S67" s="1112">
        <f>SUM(S47:S66)</f>
        <v>14788009.110501498</v>
      </c>
      <c r="T67" s="1112">
        <f>SUM(T47:T66)</f>
        <v>237720342.25740686</v>
      </c>
    </row>
    <row r="68" spans="1:24" s="1035" customFormat="1">
      <c r="E68" s="1112"/>
      <c r="F68" s="1112"/>
      <c r="H68" s="1112"/>
      <c r="K68" s="1112"/>
      <c r="L68" s="1112"/>
      <c r="O68" s="1112"/>
      <c r="P68" s="1112"/>
      <c r="Q68" s="1112"/>
      <c r="T68" s="1132"/>
      <c r="X68" s="1112"/>
    </row>
    <row r="69" spans="1:24" s="1035" customFormat="1">
      <c r="A69" s="1131"/>
      <c r="L69" s="1108"/>
      <c r="M69" s="1130"/>
      <c r="N69" s="1130"/>
      <c r="O69" s="1130"/>
      <c r="T69" s="1132"/>
      <c r="U69" s="1708"/>
    </row>
    <row r="70" spans="1:24" s="1035" customFormat="1">
      <c r="K70" s="1071"/>
      <c r="L70" s="1071"/>
      <c r="M70" s="1071"/>
      <c r="N70" s="1071"/>
      <c r="O70" s="1071"/>
    </row>
    <row r="71" spans="1:24" s="1035" customFormat="1">
      <c r="K71" s="1071"/>
      <c r="L71" s="1071"/>
      <c r="M71" s="1071"/>
      <c r="N71" s="1071"/>
      <c r="O71" s="1071"/>
      <c r="T71" s="1132"/>
    </row>
    <row r="72" spans="1:24" s="1035" customFormat="1">
      <c r="A72" s="1035" t="s">
        <v>508</v>
      </c>
    </row>
    <row r="73" spans="1:24" s="1035" customFormat="1" ht="13.5" thickBot="1">
      <c r="A73" s="1133" t="s">
        <v>509</v>
      </c>
    </row>
    <row r="74" spans="1:24" s="1035" customFormat="1" ht="12.75" customHeight="1">
      <c r="A74" s="1134" t="s">
        <v>456</v>
      </c>
      <c r="C74" s="1806" t="s">
        <v>1794</v>
      </c>
      <c r="D74" s="1806"/>
      <c r="E74" s="1806"/>
      <c r="F74" s="1806"/>
      <c r="G74" s="1806"/>
      <c r="H74" s="1806"/>
      <c r="I74" s="1806"/>
      <c r="J74" s="1806"/>
      <c r="K74" s="1806"/>
      <c r="L74" s="1806"/>
      <c r="M74" s="1806"/>
      <c r="N74" s="1806"/>
      <c r="O74" s="1806"/>
      <c r="P74" s="1806"/>
      <c r="Q74" s="1806"/>
      <c r="R74" s="1806"/>
    </row>
    <row r="75" spans="1:24" s="1035" customFormat="1" ht="12.75" customHeight="1">
      <c r="A75" s="1134" t="s">
        <v>457</v>
      </c>
      <c r="C75" s="1806" t="s">
        <v>830</v>
      </c>
      <c r="D75" s="1806"/>
      <c r="E75" s="1806"/>
      <c r="F75" s="1806"/>
      <c r="G75" s="1806"/>
      <c r="H75" s="1806"/>
      <c r="I75" s="1806"/>
      <c r="J75" s="1806"/>
      <c r="K75" s="1806"/>
      <c r="L75" s="1806"/>
      <c r="M75" s="1806"/>
      <c r="N75" s="1806"/>
      <c r="O75" s="1806"/>
      <c r="P75" s="1806"/>
      <c r="Q75" s="1806"/>
      <c r="R75" s="1806"/>
    </row>
    <row r="76" spans="1:24" s="1035" customFormat="1" ht="27" customHeight="1">
      <c r="A76" s="1134" t="s">
        <v>458</v>
      </c>
      <c r="C76" s="1807" t="s">
        <v>1162</v>
      </c>
      <c r="D76" s="1807"/>
      <c r="E76" s="1807"/>
      <c r="F76" s="1807"/>
      <c r="G76" s="1807"/>
      <c r="H76" s="1807"/>
      <c r="I76" s="1807"/>
      <c r="J76" s="1807"/>
      <c r="K76" s="1807"/>
      <c r="L76" s="1807"/>
      <c r="M76" s="1807"/>
      <c r="N76" s="1807"/>
      <c r="O76" s="1807"/>
      <c r="P76" s="1807"/>
      <c r="Q76" s="1496"/>
      <c r="R76" s="1282"/>
    </row>
    <row r="77" spans="1:24" s="1035" customFormat="1">
      <c r="A77" s="1134" t="s">
        <v>459</v>
      </c>
      <c r="C77" s="1806" t="s">
        <v>831</v>
      </c>
      <c r="D77" s="1806"/>
      <c r="E77" s="1806"/>
      <c r="F77" s="1806"/>
      <c r="G77" s="1806"/>
      <c r="H77" s="1806"/>
      <c r="I77" s="1806"/>
      <c r="J77" s="1806"/>
      <c r="K77" s="1806"/>
      <c r="L77" s="1806"/>
      <c r="M77" s="1806"/>
      <c r="N77" s="1806"/>
      <c r="O77" s="1806"/>
      <c r="P77" s="1806"/>
      <c r="Q77" s="1806"/>
      <c r="R77" s="1806"/>
    </row>
    <row r="78" spans="1:24" s="1035" customFormat="1" ht="25.5" customHeight="1">
      <c r="A78" s="1134" t="s">
        <v>460</v>
      </c>
      <c r="C78" s="1807" t="s">
        <v>1795</v>
      </c>
      <c r="D78" s="1807"/>
      <c r="E78" s="1807"/>
      <c r="F78" s="1807"/>
      <c r="G78" s="1807"/>
      <c r="H78" s="1807"/>
      <c r="I78" s="1807"/>
      <c r="J78" s="1807"/>
      <c r="K78" s="1807"/>
      <c r="L78" s="1807"/>
      <c r="M78" s="1807"/>
      <c r="N78" s="1807"/>
      <c r="O78" s="1807"/>
      <c r="P78" s="1807"/>
      <c r="Q78" s="1496"/>
      <c r="R78" s="1282"/>
    </row>
    <row r="79" spans="1:24" s="1035" customFormat="1" ht="12.75" customHeight="1">
      <c r="A79" s="1135" t="s">
        <v>461</v>
      </c>
      <c r="C79" s="1805" t="s">
        <v>589</v>
      </c>
      <c r="D79" s="1805"/>
      <c r="E79" s="1805"/>
      <c r="F79" s="1805"/>
      <c r="G79" s="1805"/>
      <c r="H79" s="1805"/>
      <c r="I79" s="1805"/>
      <c r="J79" s="1805"/>
      <c r="K79" s="1805"/>
      <c r="L79" s="1805"/>
      <c r="M79" s="1805"/>
      <c r="N79" s="1805"/>
      <c r="O79" s="1805"/>
      <c r="P79" s="1805"/>
      <c r="Q79" s="1805"/>
      <c r="R79" s="1805"/>
    </row>
    <row r="80" spans="1:24" s="1035" customFormat="1" ht="13.5" customHeight="1">
      <c r="A80" s="1135" t="s">
        <v>244</v>
      </c>
      <c r="C80" s="1136" t="s">
        <v>588</v>
      </c>
      <c r="D80" s="1136"/>
      <c r="E80" s="1136"/>
      <c r="F80" s="1136"/>
      <c r="G80" s="1136"/>
      <c r="H80" s="1136"/>
      <c r="I80" s="1136"/>
      <c r="J80" s="1136"/>
      <c r="K80" s="1136"/>
      <c r="L80" s="1136"/>
      <c r="M80" s="1136"/>
      <c r="N80" s="1136"/>
      <c r="O80" s="1136"/>
      <c r="P80" s="1136"/>
      <c r="Q80" s="1495"/>
      <c r="R80" s="1136"/>
    </row>
    <row r="81" spans="1:24" s="1035" customFormat="1">
      <c r="A81" s="1134" t="s">
        <v>462</v>
      </c>
      <c r="C81" s="1035" t="s">
        <v>1667</v>
      </c>
      <c r="D81" s="1137"/>
      <c r="E81" s="1137"/>
      <c r="F81" s="1137"/>
      <c r="G81" s="1137"/>
      <c r="H81" s="1137"/>
      <c r="I81" s="1137"/>
      <c r="J81" s="1137"/>
      <c r="K81" s="1137"/>
      <c r="L81" s="1137"/>
      <c r="M81" s="1137"/>
      <c r="N81" s="1137"/>
      <c r="O81" s="1137"/>
      <c r="P81" s="1137"/>
      <c r="Q81" s="1137"/>
      <c r="R81" s="1137"/>
    </row>
    <row r="82" spans="1:24" s="767" customFormat="1" ht="12.75" customHeight="1">
      <c r="A82" s="1475" t="s">
        <v>1668</v>
      </c>
      <c r="C82" s="1476" t="s">
        <v>1669</v>
      </c>
    </row>
    <row r="83" spans="1:24" s="224" customFormat="1">
      <c r="A83" s="226"/>
      <c r="D83" s="226"/>
      <c r="E83" s="227"/>
      <c r="F83" s="227"/>
      <c r="G83" s="225"/>
      <c r="J83" s="229"/>
      <c r="P83" s="225"/>
      <c r="Q83" s="225"/>
      <c r="R83" s="230"/>
    </row>
    <row r="84" spans="1:24" s="224" customFormat="1">
      <c r="A84" s="231"/>
      <c r="C84" s="1803"/>
      <c r="D84" s="1803"/>
      <c r="E84" s="1803"/>
      <c r="F84" s="1803"/>
      <c r="G84" s="1803"/>
      <c r="H84" s="1803"/>
      <c r="I84" s="1803"/>
      <c r="J84" s="1803"/>
      <c r="K84" s="1803"/>
      <c r="L84" s="1803"/>
      <c r="M84" s="1803"/>
      <c r="N84" s="1803"/>
      <c r="O84" s="1803"/>
      <c r="P84" s="1803"/>
      <c r="Q84" s="1803"/>
      <c r="R84" s="1803"/>
    </row>
    <row r="85" spans="1:24" s="224" customFormat="1">
      <c r="C85" s="1803"/>
      <c r="D85" s="1803"/>
      <c r="E85" s="1803"/>
      <c r="F85" s="1803"/>
      <c r="G85" s="1803"/>
      <c r="H85" s="1803"/>
      <c r="I85" s="1803"/>
      <c r="J85" s="1803"/>
      <c r="K85" s="1803"/>
      <c r="L85" s="1803"/>
      <c r="M85" s="1803"/>
      <c r="N85" s="1803"/>
      <c r="O85" s="1803"/>
      <c r="P85" s="1803"/>
      <c r="Q85" s="1803"/>
      <c r="R85" s="1803"/>
    </row>
    <row r="86" spans="1:24" s="224" customFormat="1">
      <c r="C86" s="1804"/>
      <c r="D86" s="1804"/>
      <c r="E86" s="1804"/>
      <c r="F86" s="1804"/>
      <c r="G86" s="1804"/>
      <c r="H86" s="1804"/>
      <c r="I86" s="1804"/>
      <c r="J86" s="1804"/>
      <c r="K86" s="1804"/>
      <c r="L86" s="1804"/>
      <c r="M86" s="1804"/>
      <c r="N86" s="1804"/>
      <c r="O86" s="1804"/>
      <c r="P86" s="1804"/>
      <c r="Q86" s="1804"/>
      <c r="R86" s="1804"/>
      <c r="S86" s="1804"/>
      <c r="T86" s="1804"/>
      <c r="U86" s="1804"/>
      <c r="V86" s="1804"/>
      <c r="W86" s="1804"/>
      <c r="X86" s="1804"/>
    </row>
    <row r="87" spans="1:24">
      <c r="C87" s="1804"/>
      <c r="D87" s="1804"/>
      <c r="E87" s="1804"/>
      <c r="F87" s="1804"/>
      <c r="G87" s="1804"/>
      <c r="H87" s="1804"/>
      <c r="I87" s="1804"/>
      <c r="J87" s="1804"/>
      <c r="K87" s="1804"/>
      <c r="L87" s="1804"/>
      <c r="M87" s="1804"/>
      <c r="N87" s="1804"/>
      <c r="O87" s="1804"/>
      <c r="P87" s="1804"/>
      <c r="Q87" s="1804"/>
      <c r="R87" s="1804"/>
      <c r="S87" s="224"/>
      <c r="T87" s="224"/>
      <c r="U87" s="224"/>
      <c r="V87" s="224"/>
      <c r="W87" s="224"/>
      <c r="X87" s="224"/>
    </row>
    <row r="88" spans="1:24">
      <c r="C88" s="1804"/>
      <c r="D88" s="1804"/>
      <c r="E88" s="1804"/>
      <c r="F88" s="1804"/>
      <c r="G88" s="1804"/>
      <c r="H88" s="1804"/>
      <c r="I88" s="1804"/>
      <c r="J88" s="1804"/>
      <c r="K88" s="1804"/>
      <c r="L88" s="1804"/>
      <c r="M88" s="1804"/>
      <c r="N88" s="1804"/>
      <c r="O88" s="1804"/>
      <c r="P88" s="1804"/>
      <c r="Q88" s="1804"/>
      <c r="R88" s="1804"/>
      <c r="S88" s="1804"/>
      <c r="T88" s="1804"/>
      <c r="U88" s="1804"/>
      <c r="V88" s="1804"/>
      <c r="W88" s="1804"/>
      <c r="X88" s="1804"/>
    </row>
    <row r="89" spans="1:24">
      <c r="C89" s="1802"/>
      <c r="D89" s="1802"/>
      <c r="E89" s="1802"/>
      <c r="F89" s="1802"/>
      <c r="G89" s="1802"/>
      <c r="H89" s="1802"/>
      <c r="I89" s="1802"/>
      <c r="J89" s="1802"/>
      <c r="K89" s="1802"/>
      <c r="L89" s="1802"/>
      <c r="M89" s="1802"/>
      <c r="N89" s="1802"/>
      <c r="O89" s="1802"/>
      <c r="P89" s="1802"/>
      <c r="Q89" s="1802"/>
      <c r="R89" s="1802"/>
      <c r="S89" s="224"/>
      <c r="T89" s="224"/>
      <c r="U89" s="224"/>
      <c r="V89" s="224"/>
      <c r="W89" s="224"/>
      <c r="X89" s="224"/>
    </row>
    <row r="90" spans="1:24">
      <c r="C90" s="228"/>
      <c r="D90" s="228"/>
      <c r="E90" s="228"/>
      <c r="F90" s="228"/>
      <c r="G90" s="228"/>
      <c r="H90" s="228"/>
      <c r="I90" s="228"/>
      <c r="J90" s="228"/>
      <c r="K90" s="228"/>
      <c r="L90" s="228"/>
      <c r="M90" s="228"/>
      <c r="N90" s="228"/>
      <c r="O90" s="228"/>
      <c r="P90" s="228"/>
      <c r="Q90" s="1494"/>
      <c r="R90" s="228"/>
      <c r="S90" s="224"/>
      <c r="T90" s="224"/>
      <c r="U90" s="224"/>
      <c r="V90" s="224"/>
      <c r="W90" s="224"/>
      <c r="X90" s="224"/>
    </row>
    <row r="91" spans="1:24">
      <c r="C91" s="232"/>
      <c r="D91" s="224"/>
      <c r="E91" s="224"/>
      <c r="F91" s="224"/>
      <c r="G91" s="224"/>
      <c r="H91" s="224"/>
      <c r="I91" s="224"/>
      <c r="J91" s="224"/>
      <c r="K91" s="224"/>
      <c r="L91" s="224"/>
      <c r="M91" s="224"/>
      <c r="N91" s="224"/>
      <c r="O91" s="224"/>
      <c r="P91" s="224"/>
      <c r="Q91" s="224"/>
      <c r="R91" s="224"/>
      <c r="S91" s="224"/>
      <c r="T91" s="224"/>
      <c r="U91" s="224"/>
      <c r="V91" s="224"/>
      <c r="W91" s="224"/>
      <c r="X91" s="224"/>
    </row>
    <row r="92" spans="1:24">
      <c r="C92" s="224"/>
      <c r="D92" s="224"/>
      <c r="E92" s="224"/>
      <c r="F92" s="224"/>
      <c r="G92" s="224"/>
      <c r="H92" s="224"/>
      <c r="I92" s="224"/>
      <c r="J92" s="224"/>
      <c r="K92" s="224"/>
      <c r="L92" s="224"/>
      <c r="M92" s="224"/>
      <c r="N92" s="224"/>
      <c r="O92" s="224"/>
      <c r="P92" s="224"/>
      <c r="Q92" s="224"/>
      <c r="R92" s="224"/>
      <c r="S92" s="224"/>
      <c r="T92" s="224"/>
      <c r="U92" s="224"/>
      <c r="V92" s="224"/>
      <c r="W92" s="224"/>
      <c r="X92" s="224"/>
    </row>
  </sheetData>
  <customSheetViews>
    <customSheetView guid="{B321D76C-CDE5-48BB-9CDE-80FF97D58FCF}" scale="115" showPageBreaks="1" fitToPage="1" printArea="1" view="pageBreakPreview" topLeftCell="A64">
      <selection activeCell="D33" sqref="D33"/>
      <rowBreaks count="1" manualBreakCount="1">
        <brk id="36" max="16383" man="1"/>
      </rowBreaks>
      <colBreaks count="1" manualBreakCount="1">
        <brk id="12" max="82" man="1"/>
      </colBreaks>
      <pageMargins left="0.7" right="0.7" top="0.75" bottom="0.75" header="0.3" footer="0.3"/>
      <pageSetup scale="40" fitToHeight="0" orientation="landscape" r:id="rId1"/>
    </customSheetView>
  </customSheetViews>
  <mergeCells count="19">
    <mergeCell ref="A38:S38"/>
    <mergeCell ref="A39:S39"/>
    <mergeCell ref="A40:S40"/>
    <mergeCell ref="A4:S4"/>
    <mergeCell ref="A5:S5"/>
    <mergeCell ref="A6:S6"/>
    <mergeCell ref="A7:S7"/>
    <mergeCell ref="C79:R79"/>
    <mergeCell ref="C74:R74"/>
    <mergeCell ref="C75:R75"/>
    <mergeCell ref="C77:R77"/>
    <mergeCell ref="C76:P76"/>
    <mergeCell ref="C78:P78"/>
    <mergeCell ref="C89:R89"/>
    <mergeCell ref="C84:R84"/>
    <mergeCell ref="C85:R85"/>
    <mergeCell ref="C86:X86"/>
    <mergeCell ref="C87:R87"/>
    <mergeCell ref="C88:X88"/>
  </mergeCells>
  <pageMargins left="0.7" right="0.7" top="0.75" bottom="0.75" header="0.3" footer="0.3"/>
  <pageSetup scale="37" fitToHeight="0" orientation="landscape" r:id="rId2"/>
  <rowBreaks count="1" manualBreakCount="1">
    <brk id="36" max="16383" man="1"/>
  </rowBreaks>
  <colBreaks count="1" manualBreakCount="1">
    <brk id="12" max="82"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fitToPage="1"/>
  </sheetPr>
  <dimension ref="A1:XFD33"/>
  <sheetViews>
    <sheetView tabSelected="1" view="pageBreakPreview" zoomScale="90" zoomScaleNormal="100" zoomScaleSheetLayoutView="90" workbookViewId="0">
      <selection activeCell="C30" sqref="C30"/>
    </sheetView>
  </sheetViews>
  <sheetFormatPr defaultColWidth="9" defaultRowHeight="15.75"/>
  <cols>
    <col min="1" max="1" width="6.25" style="233" customWidth="1"/>
    <col min="2" max="2" width="27.5" style="234" customWidth="1"/>
    <col min="3" max="4" width="34.375" style="234" customWidth="1"/>
    <col min="5" max="5" width="15.25" style="234" customWidth="1"/>
    <col min="6" max="6" width="23.5" style="234" customWidth="1"/>
    <col min="7" max="7" width="4.75" style="234" customWidth="1"/>
    <col min="8" max="8" width="10.125" style="234" bestFit="1" customWidth="1"/>
    <col min="9" max="9" width="4.5" style="234" customWidth="1"/>
    <col min="10" max="10" width="13.75" style="234" customWidth="1"/>
    <col min="11" max="11" width="29.125" style="240" customWidth="1"/>
    <col min="12" max="16384" width="9" style="238"/>
  </cols>
  <sheetData>
    <row r="1" spans="1:16384">
      <c r="A1" s="14" t="s">
        <v>936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c r="IW1" s="182"/>
      <c r="IX1" s="182"/>
      <c r="IY1" s="182"/>
      <c r="IZ1" s="182"/>
      <c r="JA1" s="182"/>
      <c r="JB1" s="182"/>
      <c r="JC1" s="182"/>
      <c r="JD1" s="182"/>
      <c r="JE1" s="182"/>
      <c r="JF1" s="182"/>
      <c r="JG1" s="182"/>
      <c r="JH1" s="182"/>
      <c r="JI1" s="182"/>
      <c r="JJ1" s="182"/>
      <c r="JK1" s="182"/>
      <c r="JL1" s="182"/>
      <c r="JM1" s="182"/>
      <c r="JN1" s="182"/>
      <c r="JO1" s="182"/>
      <c r="JP1" s="182"/>
      <c r="JQ1" s="182"/>
      <c r="JR1" s="182"/>
      <c r="JS1" s="182"/>
      <c r="JT1" s="182"/>
      <c r="JU1" s="182"/>
      <c r="JV1" s="182"/>
      <c r="JW1" s="182"/>
      <c r="JX1" s="182"/>
      <c r="JY1" s="182"/>
      <c r="JZ1" s="182"/>
      <c r="KA1" s="182"/>
      <c r="KB1" s="182"/>
      <c r="KC1" s="182"/>
      <c r="KD1" s="182"/>
      <c r="KE1" s="182"/>
      <c r="KF1" s="182"/>
      <c r="KG1" s="182"/>
      <c r="KH1" s="182"/>
      <c r="KI1" s="182"/>
      <c r="KJ1" s="182"/>
      <c r="KK1" s="182"/>
      <c r="KL1" s="182"/>
      <c r="KM1" s="182"/>
      <c r="KN1" s="182"/>
      <c r="KO1" s="182"/>
      <c r="KP1" s="182"/>
      <c r="KQ1" s="182"/>
      <c r="KR1" s="182"/>
      <c r="KS1" s="182"/>
      <c r="KT1" s="182"/>
      <c r="KU1" s="182"/>
      <c r="KV1" s="182"/>
      <c r="KW1" s="182"/>
      <c r="KX1" s="182"/>
      <c r="KY1" s="182"/>
      <c r="KZ1" s="182"/>
      <c r="LA1" s="182"/>
      <c r="LB1" s="182"/>
      <c r="LC1" s="182"/>
      <c r="LD1" s="182"/>
      <c r="LE1" s="182"/>
      <c r="LF1" s="182"/>
      <c r="LG1" s="182"/>
      <c r="LH1" s="182"/>
      <c r="LI1" s="182"/>
      <c r="LJ1" s="182"/>
      <c r="LK1" s="182"/>
      <c r="LL1" s="182"/>
      <c r="LM1" s="182"/>
      <c r="LN1" s="182"/>
      <c r="LO1" s="182"/>
      <c r="LP1" s="182"/>
      <c r="LQ1" s="182"/>
      <c r="LR1" s="182"/>
      <c r="LS1" s="182"/>
      <c r="LT1" s="182"/>
      <c r="LU1" s="182"/>
      <c r="LV1" s="182"/>
      <c r="LW1" s="182"/>
      <c r="LX1" s="182"/>
      <c r="LY1" s="182"/>
      <c r="LZ1" s="182"/>
      <c r="MA1" s="182"/>
      <c r="MB1" s="182"/>
      <c r="MC1" s="182"/>
      <c r="MD1" s="182"/>
      <c r="ME1" s="182"/>
      <c r="MF1" s="182"/>
      <c r="MG1" s="182"/>
      <c r="MH1" s="182"/>
      <c r="MI1" s="182"/>
      <c r="MJ1" s="182"/>
      <c r="MK1" s="182"/>
      <c r="ML1" s="182"/>
      <c r="MM1" s="182"/>
      <c r="MN1" s="182"/>
      <c r="MO1" s="182"/>
      <c r="MP1" s="182"/>
      <c r="MQ1" s="182"/>
      <c r="MR1" s="182"/>
      <c r="MS1" s="182"/>
      <c r="MT1" s="182"/>
      <c r="MU1" s="182"/>
      <c r="MV1" s="182"/>
      <c r="MW1" s="182"/>
      <c r="MX1" s="182"/>
      <c r="MY1" s="182"/>
      <c r="MZ1" s="182"/>
      <c r="NA1" s="182"/>
      <c r="NB1" s="182"/>
      <c r="NC1" s="182"/>
      <c r="ND1" s="182"/>
      <c r="NE1" s="182"/>
      <c r="NF1" s="182"/>
      <c r="NG1" s="182"/>
      <c r="NH1" s="182"/>
      <c r="NI1" s="182"/>
      <c r="NJ1" s="182"/>
      <c r="NK1" s="182"/>
      <c r="NL1" s="182"/>
      <c r="NM1" s="182"/>
      <c r="NN1" s="182"/>
      <c r="NO1" s="182"/>
      <c r="NP1" s="182"/>
      <c r="NQ1" s="182"/>
      <c r="NR1" s="182"/>
      <c r="NS1" s="182"/>
      <c r="NT1" s="182"/>
      <c r="NU1" s="182"/>
      <c r="NV1" s="182"/>
      <c r="NW1" s="182"/>
      <c r="NX1" s="182"/>
      <c r="NY1" s="182"/>
      <c r="NZ1" s="182"/>
      <c r="OA1" s="182"/>
      <c r="OB1" s="182"/>
      <c r="OC1" s="182"/>
      <c r="OD1" s="182"/>
      <c r="OE1" s="182"/>
      <c r="OF1" s="182"/>
      <c r="OG1" s="182"/>
      <c r="OH1" s="182"/>
      <c r="OI1" s="182"/>
      <c r="OJ1" s="182"/>
      <c r="OK1" s="182"/>
      <c r="OL1" s="182"/>
      <c r="OM1" s="182"/>
      <c r="ON1" s="182"/>
      <c r="OO1" s="182"/>
      <c r="OP1" s="182"/>
      <c r="OQ1" s="182"/>
      <c r="OR1" s="182"/>
      <c r="OS1" s="182"/>
      <c r="OT1" s="182"/>
      <c r="OU1" s="182"/>
      <c r="OV1" s="182"/>
      <c r="OW1" s="182"/>
      <c r="OX1" s="182"/>
      <c r="OY1" s="182"/>
      <c r="OZ1" s="182"/>
      <c r="PA1" s="182"/>
      <c r="PB1" s="182"/>
      <c r="PC1" s="182"/>
      <c r="PD1" s="182"/>
      <c r="PE1" s="182"/>
      <c r="PF1" s="182"/>
      <c r="PG1" s="182"/>
      <c r="PH1" s="182"/>
      <c r="PI1" s="182"/>
      <c r="PJ1" s="182"/>
      <c r="PK1" s="182"/>
      <c r="PL1" s="182"/>
      <c r="PM1" s="182"/>
      <c r="PN1" s="182"/>
      <c r="PO1" s="182"/>
      <c r="PP1" s="182"/>
      <c r="PQ1" s="182"/>
      <c r="PR1" s="182"/>
      <c r="PS1" s="182"/>
      <c r="PT1" s="182"/>
      <c r="PU1" s="182"/>
      <c r="PV1" s="182"/>
      <c r="PW1" s="182"/>
      <c r="PX1" s="182"/>
      <c r="PY1" s="182"/>
      <c r="PZ1" s="182"/>
      <c r="QA1" s="182"/>
      <c r="QB1" s="182"/>
      <c r="QC1" s="182"/>
      <c r="QD1" s="182"/>
      <c r="QE1" s="182"/>
      <c r="QF1" s="182"/>
      <c r="QG1" s="182"/>
      <c r="QH1" s="182"/>
      <c r="QI1" s="182"/>
      <c r="QJ1" s="182"/>
      <c r="QK1" s="182"/>
      <c r="QL1" s="182"/>
      <c r="QM1" s="182"/>
      <c r="QN1" s="182"/>
      <c r="QO1" s="182"/>
      <c r="QP1" s="182"/>
      <c r="QQ1" s="182"/>
      <c r="QR1" s="182"/>
      <c r="QS1" s="182"/>
      <c r="QT1" s="182"/>
      <c r="QU1" s="182"/>
      <c r="QV1" s="182"/>
      <c r="QW1" s="182"/>
      <c r="QX1" s="182"/>
      <c r="QY1" s="182"/>
      <c r="QZ1" s="182"/>
      <c r="RA1" s="182"/>
      <c r="RB1" s="182"/>
      <c r="RC1" s="182"/>
      <c r="RD1" s="182"/>
      <c r="RE1" s="182"/>
      <c r="RF1" s="182"/>
      <c r="RG1" s="182"/>
      <c r="RH1" s="182"/>
      <c r="RI1" s="182"/>
      <c r="RJ1" s="182"/>
      <c r="RK1" s="182"/>
      <c r="RL1" s="182"/>
      <c r="RM1" s="182"/>
      <c r="RN1" s="182"/>
      <c r="RO1" s="182"/>
      <c r="RP1" s="182"/>
      <c r="RQ1" s="182"/>
      <c r="RR1" s="182"/>
      <c r="RS1" s="182"/>
      <c r="RT1" s="182"/>
      <c r="RU1" s="182"/>
      <c r="RV1" s="182"/>
      <c r="RW1" s="182"/>
      <c r="RX1" s="182"/>
      <c r="RY1" s="182"/>
      <c r="RZ1" s="182"/>
      <c r="SA1" s="182"/>
      <c r="SB1" s="182"/>
      <c r="SC1" s="182"/>
      <c r="SD1" s="182"/>
      <c r="SE1" s="182"/>
      <c r="SF1" s="182"/>
      <c r="SG1" s="182"/>
      <c r="SH1" s="182"/>
      <c r="SI1" s="182"/>
      <c r="SJ1" s="182"/>
      <c r="SK1" s="182"/>
      <c r="SL1" s="182"/>
      <c r="SM1" s="182"/>
      <c r="SN1" s="182"/>
      <c r="SO1" s="182"/>
      <c r="SP1" s="182"/>
      <c r="SQ1" s="182"/>
      <c r="SR1" s="182"/>
      <c r="SS1" s="182"/>
      <c r="ST1" s="182"/>
      <c r="SU1" s="182"/>
      <c r="SV1" s="182"/>
      <c r="SW1" s="182"/>
      <c r="SX1" s="182"/>
      <c r="SY1" s="182"/>
      <c r="SZ1" s="182"/>
      <c r="TA1" s="182"/>
      <c r="TB1" s="182"/>
      <c r="TC1" s="182"/>
      <c r="TD1" s="182"/>
      <c r="TE1" s="182"/>
      <c r="TF1" s="182"/>
      <c r="TG1" s="182"/>
      <c r="TH1" s="182"/>
      <c r="TI1" s="182"/>
      <c r="TJ1" s="182"/>
      <c r="TK1" s="182"/>
      <c r="TL1" s="182"/>
      <c r="TM1" s="182"/>
      <c r="TN1" s="182"/>
      <c r="TO1" s="182"/>
      <c r="TP1" s="182"/>
      <c r="TQ1" s="182"/>
      <c r="TR1" s="182"/>
      <c r="TS1" s="182"/>
      <c r="TT1" s="182"/>
      <c r="TU1" s="182"/>
      <c r="TV1" s="182"/>
      <c r="TW1" s="182"/>
      <c r="TX1" s="182"/>
      <c r="TY1" s="182"/>
      <c r="TZ1" s="182"/>
      <c r="UA1" s="182"/>
      <c r="UB1" s="182"/>
      <c r="UC1" s="182"/>
      <c r="UD1" s="182"/>
      <c r="UE1" s="182"/>
      <c r="UF1" s="182"/>
      <c r="UG1" s="182"/>
      <c r="UH1" s="182"/>
      <c r="UI1" s="182"/>
      <c r="UJ1" s="182"/>
      <c r="UK1" s="182"/>
      <c r="UL1" s="182"/>
      <c r="UM1" s="182"/>
      <c r="UN1" s="182"/>
      <c r="UO1" s="182"/>
      <c r="UP1" s="182"/>
      <c r="UQ1" s="182"/>
      <c r="UR1" s="182"/>
      <c r="US1" s="182"/>
      <c r="UT1" s="182"/>
      <c r="UU1" s="182"/>
      <c r="UV1" s="182"/>
      <c r="UW1" s="182"/>
      <c r="UX1" s="182"/>
      <c r="UY1" s="182"/>
      <c r="UZ1" s="182"/>
      <c r="VA1" s="182"/>
      <c r="VB1" s="182"/>
      <c r="VC1" s="182"/>
      <c r="VD1" s="182"/>
      <c r="VE1" s="182"/>
      <c r="VF1" s="182"/>
      <c r="VG1" s="182"/>
      <c r="VH1" s="182"/>
      <c r="VI1" s="182"/>
      <c r="VJ1" s="182"/>
      <c r="VK1" s="182"/>
      <c r="VL1" s="182"/>
      <c r="VM1" s="182"/>
      <c r="VN1" s="182"/>
      <c r="VO1" s="182"/>
      <c r="VP1" s="182"/>
      <c r="VQ1" s="182"/>
      <c r="VR1" s="182"/>
      <c r="VS1" s="182"/>
      <c r="VT1" s="182"/>
      <c r="VU1" s="182"/>
      <c r="VV1" s="182"/>
      <c r="VW1" s="182"/>
      <c r="VX1" s="182"/>
      <c r="VY1" s="182"/>
      <c r="VZ1" s="182"/>
      <c r="WA1" s="182"/>
      <c r="WB1" s="182"/>
      <c r="WC1" s="182"/>
      <c r="WD1" s="182"/>
      <c r="WE1" s="182"/>
      <c r="WF1" s="182"/>
      <c r="WG1" s="182"/>
      <c r="WH1" s="182"/>
      <c r="WI1" s="182"/>
      <c r="WJ1" s="182"/>
      <c r="WK1" s="182"/>
      <c r="WL1" s="182"/>
      <c r="WM1" s="182"/>
      <c r="WN1" s="182"/>
      <c r="WO1" s="182"/>
      <c r="WP1" s="182"/>
      <c r="WQ1" s="182"/>
      <c r="WR1" s="182"/>
      <c r="WS1" s="182"/>
      <c r="WT1" s="182"/>
      <c r="WU1" s="182"/>
      <c r="WV1" s="182"/>
      <c r="WW1" s="182"/>
      <c r="WX1" s="182"/>
      <c r="WY1" s="182"/>
      <c r="WZ1" s="182"/>
      <c r="XA1" s="182"/>
      <c r="XB1" s="182"/>
      <c r="XC1" s="182"/>
      <c r="XD1" s="182"/>
      <c r="XE1" s="182"/>
      <c r="XF1" s="182"/>
      <c r="XG1" s="182"/>
      <c r="XH1" s="182"/>
      <c r="XI1" s="182"/>
      <c r="XJ1" s="182"/>
      <c r="XK1" s="182"/>
      <c r="XL1" s="182"/>
      <c r="XM1" s="182"/>
      <c r="XN1" s="182"/>
      <c r="XO1" s="182"/>
      <c r="XP1" s="182"/>
      <c r="XQ1" s="182"/>
      <c r="XR1" s="182"/>
      <c r="XS1" s="182"/>
      <c r="XT1" s="182"/>
      <c r="XU1" s="182"/>
      <c r="XV1" s="182"/>
      <c r="XW1" s="182"/>
      <c r="XX1" s="182"/>
      <c r="XY1" s="182"/>
      <c r="XZ1" s="182"/>
      <c r="YA1" s="182"/>
      <c r="YB1" s="182"/>
      <c r="YC1" s="182"/>
      <c r="YD1" s="182"/>
      <c r="YE1" s="182"/>
      <c r="YF1" s="182"/>
      <c r="YG1" s="182"/>
      <c r="YH1" s="182"/>
      <c r="YI1" s="182"/>
      <c r="YJ1" s="182"/>
      <c r="YK1" s="182"/>
      <c r="YL1" s="182"/>
      <c r="YM1" s="182"/>
      <c r="YN1" s="182"/>
      <c r="YO1" s="182"/>
      <c r="YP1" s="182"/>
      <c r="YQ1" s="182"/>
      <c r="YR1" s="182"/>
      <c r="YS1" s="182"/>
      <c r="YT1" s="182"/>
      <c r="YU1" s="182"/>
      <c r="YV1" s="182"/>
      <c r="YW1" s="182"/>
      <c r="YX1" s="182"/>
      <c r="YY1" s="182"/>
      <c r="YZ1" s="182"/>
      <c r="ZA1" s="182"/>
      <c r="ZB1" s="182"/>
      <c r="ZC1" s="182"/>
      <c r="ZD1" s="182"/>
      <c r="ZE1" s="182"/>
      <c r="ZF1" s="182"/>
      <c r="ZG1" s="182"/>
      <c r="ZH1" s="182"/>
      <c r="ZI1" s="182"/>
      <c r="ZJ1" s="182"/>
      <c r="ZK1" s="182"/>
      <c r="ZL1" s="182"/>
      <c r="ZM1" s="182"/>
      <c r="ZN1" s="182"/>
      <c r="ZO1" s="182"/>
      <c r="ZP1" s="182"/>
      <c r="ZQ1" s="182"/>
      <c r="ZR1" s="182"/>
      <c r="ZS1" s="182"/>
      <c r="ZT1" s="182"/>
      <c r="ZU1" s="182"/>
      <c r="ZV1" s="182"/>
      <c r="ZW1" s="182"/>
      <c r="ZX1" s="182"/>
      <c r="ZY1" s="182"/>
      <c r="ZZ1" s="182"/>
      <c r="AAA1" s="182"/>
      <c r="AAB1" s="182"/>
      <c r="AAC1" s="182"/>
      <c r="AAD1" s="182"/>
      <c r="AAE1" s="182"/>
      <c r="AAF1" s="182"/>
      <c r="AAG1" s="182"/>
      <c r="AAH1" s="182"/>
      <c r="AAI1" s="182"/>
      <c r="AAJ1" s="182"/>
      <c r="AAK1" s="182"/>
      <c r="AAL1" s="182"/>
      <c r="AAM1" s="182"/>
      <c r="AAN1" s="182"/>
      <c r="AAO1" s="182"/>
      <c r="AAP1" s="182"/>
      <c r="AAQ1" s="182"/>
      <c r="AAR1" s="182"/>
      <c r="AAS1" s="182"/>
      <c r="AAT1" s="182"/>
      <c r="AAU1" s="182"/>
      <c r="AAV1" s="182"/>
      <c r="AAW1" s="182"/>
      <c r="AAX1" s="182"/>
      <c r="AAY1" s="182"/>
      <c r="AAZ1" s="182"/>
      <c r="ABA1" s="182"/>
      <c r="ABB1" s="182"/>
      <c r="ABC1" s="182"/>
      <c r="ABD1" s="182"/>
      <c r="ABE1" s="182"/>
      <c r="ABF1" s="182"/>
      <c r="ABG1" s="182"/>
      <c r="ABH1" s="182"/>
      <c r="ABI1" s="182"/>
      <c r="ABJ1" s="182"/>
      <c r="ABK1" s="182"/>
      <c r="ABL1" s="182"/>
      <c r="ABM1" s="182"/>
      <c r="ABN1" s="182"/>
      <c r="ABO1" s="182"/>
      <c r="ABP1" s="182"/>
      <c r="ABQ1" s="182"/>
      <c r="ABR1" s="182"/>
      <c r="ABS1" s="182"/>
      <c r="ABT1" s="182"/>
      <c r="ABU1" s="182"/>
      <c r="ABV1" s="182"/>
      <c r="ABW1" s="182"/>
      <c r="ABX1" s="182"/>
      <c r="ABY1" s="182"/>
      <c r="ABZ1" s="182"/>
      <c r="ACA1" s="182"/>
      <c r="ACB1" s="182"/>
      <c r="ACC1" s="182"/>
      <c r="ACD1" s="182"/>
      <c r="ACE1" s="182"/>
      <c r="ACF1" s="182"/>
      <c r="ACG1" s="182"/>
      <c r="ACH1" s="182"/>
      <c r="ACI1" s="182"/>
      <c r="ACJ1" s="182"/>
      <c r="ACK1" s="182"/>
      <c r="ACL1" s="182"/>
      <c r="ACM1" s="182"/>
      <c r="ACN1" s="182"/>
      <c r="ACO1" s="182"/>
      <c r="ACP1" s="182"/>
      <c r="ACQ1" s="182"/>
      <c r="ACR1" s="182"/>
      <c r="ACS1" s="182"/>
      <c r="ACT1" s="182"/>
      <c r="ACU1" s="182"/>
      <c r="ACV1" s="182"/>
      <c r="ACW1" s="182"/>
      <c r="ACX1" s="182"/>
      <c r="ACY1" s="182"/>
      <c r="ACZ1" s="182"/>
      <c r="ADA1" s="182"/>
      <c r="ADB1" s="182"/>
      <c r="ADC1" s="182"/>
      <c r="ADD1" s="182"/>
      <c r="ADE1" s="182"/>
      <c r="ADF1" s="182"/>
      <c r="ADG1" s="182"/>
      <c r="ADH1" s="182"/>
      <c r="ADI1" s="182"/>
      <c r="ADJ1" s="182"/>
      <c r="ADK1" s="182"/>
      <c r="ADL1" s="182"/>
      <c r="ADM1" s="182"/>
      <c r="ADN1" s="182"/>
      <c r="ADO1" s="182"/>
      <c r="ADP1" s="182"/>
      <c r="ADQ1" s="182"/>
      <c r="ADR1" s="182"/>
      <c r="ADS1" s="182"/>
      <c r="ADT1" s="182"/>
      <c r="ADU1" s="182"/>
      <c r="ADV1" s="182"/>
      <c r="ADW1" s="182"/>
      <c r="ADX1" s="182"/>
      <c r="ADY1" s="182"/>
      <c r="ADZ1" s="182"/>
      <c r="AEA1" s="182"/>
      <c r="AEB1" s="182"/>
      <c r="AEC1" s="182"/>
      <c r="AED1" s="182"/>
      <c r="AEE1" s="182"/>
      <c r="AEF1" s="182"/>
      <c r="AEG1" s="182"/>
      <c r="AEH1" s="182"/>
      <c r="AEI1" s="182"/>
      <c r="AEJ1" s="182"/>
      <c r="AEK1" s="182"/>
      <c r="AEL1" s="182"/>
      <c r="AEM1" s="182"/>
      <c r="AEN1" s="182"/>
      <c r="AEO1" s="182"/>
      <c r="AEP1" s="182"/>
      <c r="AEQ1" s="182"/>
      <c r="AER1" s="182"/>
      <c r="AES1" s="182"/>
      <c r="AET1" s="182"/>
      <c r="AEU1" s="182"/>
      <c r="AEV1" s="182"/>
      <c r="AEW1" s="182"/>
      <c r="AEX1" s="182"/>
      <c r="AEY1" s="182"/>
      <c r="AEZ1" s="182"/>
      <c r="AFA1" s="182"/>
      <c r="AFB1" s="182"/>
      <c r="AFC1" s="182"/>
      <c r="AFD1" s="182"/>
      <c r="AFE1" s="182"/>
      <c r="AFF1" s="182"/>
      <c r="AFG1" s="182"/>
      <c r="AFH1" s="182"/>
      <c r="AFI1" s="182"/>
      <c r="AFJ1" s="182"/>
      <c r="AFK1" s="182"/>
      <c r="AFL1" s="182"/>
      <c r="AFM1" s="182"/>
      <c r="AFN1" s="182"/>
      <c r="AFO1" s="182"/>
      <c r="AFP1" s="182"/>
      <c r="AFQ1" s="182"/>
      <c r="AFR1" s="182"/>
      <c r="AFS1" s="182"/>
      <c r="AFT1" s="182"/>
      <c r="AFU1" s="182"/>
      <c r="AFV1" s="182"/>
      <c r="AFW1" s="182"/>
      <c r="AFX1" s="182"/>
      <c r="AFY1" s="182"/>
      <c r="AFZ1" s="182"/>
      <c r="AGA1" s="182"/>
      <c r="AGB1" s="182"/>
      <c r="AGC1" s="182"/>
      <c r="AGD1" s="182"/>
      <c r="AGE1" s="182"/>
      <c r="AGF1" s="182"/>
      <c r="AGG1" s="182"/>
      <c r="AGH1" s="182"/>
      <c r="AGI1" s="182"/>
      <c r="AGJ1" s="182"/>
      <c r="AGK1" s="182"/>
      <c r="AGL1" s="182"/>
      <c r="AGM1" s="182"/>
      <c r="AGN1" s="182"/>
      <c r="AGO1" s="182"/>
      <c r="AGP1" s="182"/>
      <c r="AGQ1" s="182"/>
      <c r="AGR1" s="182"/>
      <c r="AGS1" s="182"/>
      <c r="AGT1" s="182"/>
      <c r="AGU1" s="182"/>
      <c r="AGV1" s="182"/>
      <c r="AGW1" s="182"/>
      <c r="AGX1" s="182"/>
      <c r="AGY1" s="182"/>
      <c r="AGZ1" s="182"/>
      <c r="AHA1" s="182"/>
      <c r="AHB1" s="182"/>
      <c r="AHC1" s="182"/>
      <c r="AHD1" s="182"/>
      <c r="AHE1" s="182"/>
      <c r="AHF1" s="182"/>
      <c r="AHG1" s="182"/>
      <c r="AHH1" s="182"/>
      <c r="AHI1" s="182"/>
      <c r="AHJ1" s="182"/>
      <c r="AHK1" s="182"/>
      <c r="AHL1" s="182"/>
      <c r="AHM1" s="182"/>
      <c r="AHN1" s="182"/>
      <c r="AHO1" s="182"/>
      <c r="AHP1" s="182"/>
      <c r="AHQ1" s="182"/>
      <c r="AHR1" s="182"/>
      <c r="AHS1" s="182"/>
      <c r="AHT1" s="182"/>
      <c r="AHU1" s="182"/>
      <c r="AHV1" s="182"/>
      <c r="AHW1" s="182"/>
      <c r="AHX1" s="182"/>
      <c r="AHY1" s="182"/>
      <c r="AHZ1" s="182"/>
      <c r="AIA1" s="182"/>
      <c r="AIB1" s="182"/>
      <c r="AIC1" s="182"/>
      <c r="AID1" s="182"/>
      <c r="AIE1" s="182"/>
      <c r="AIF1" s="182"/>
      <c r="AIG1" s="182"/>
      <c r="AIH1" s="182"/>
      <c r="AII1" s="182"/>
      <c r="AIJ1" s="182"/>
      <c r="AIK1" s="182"/>
      <c r="AIL1" s="182"/>
      <c r="AIM1" s="182"/>
      <c r="AIN1" s="182"/>
      <c r="AIO1" s="182"/>
      <c r="AIP1" s="182"/>
      <c r="AIQ1" s="182"/>
      <c r="AIR1" s="182"/>
      <c r="AIS1" s="182"/>
      <c r="AIT1" s="182"/>
      <c r="AIU1" s="182"/>
      <c r="AIV1" s="182"/>
      <c r="AIW1" s="182"/>
      <c r="AIX1" s="182"/>
      <c r="AIY1" s="182"/>
      <c r="AIZ1" s="182"/>
      <c r="AJA1" s="182"/>
      <c r="AJB1" s="182"/>
      <c r="AJC1" s="182"/>
      <c r="AJD1" s="182"/>
      <c r="AJE1" s="182"/>
      <c r="AJF1" s="182"/>
      <c r="AJG1" s="182"/>
      <c r="AJH1" s="182"/>
      <c r="AJI1" s="182"/>
      <c r="AJJ1" s="182"/>
      <c r="AJK1" s="182"/>
      <c r="AJL1" s="182"/>
      <c r="AJM1" s="182"/>
      <c r="AJN1" s="182"/>
      <c r="AJO1" s="182"/>
      <c r="AJP1" s="182"/>
      <c r="AJQ1" s="182"/>
      <c r="AJR1" s="182"/>
      <c r="AJS1" s="182"/>
      <c r="AJT1" s="182"/>
      <c r="AJU1" s="182"/>
      <c r="AJV1" s="182"/>
      <c r="AJW1" s="182"/>
      <c r="AJX1" s="182"/>
      <c r="AJY1" s="182"/>
      <c r="AJZ1" s="182"/>
      <c r="AKA1" s="182"/>
      <c r="AKB1" s="182"/>
      <c r="AKC1" s="182"/>
      <c r="AKD1" s="182"/>
      <c r="AKE1" s="182"/>
      <c r="AKF1" s="182"/>
      <c r="AKG1" s="182"/>
      <c r="AKH1" s="182"/>
      <c r="AKI1" s="182"/>
      <c r="AKJ1" s="182"/>
      <c r="AKK1" s="182"/>
      <c r="AKL1" s="182"/>
      <c r="AKM1" s="182"/>
      <c r="AKN1" s="182"/>
      <c r="AKO1" s="182"/>
      <c r="AKP1" s="182"/>
      <c r="AKQ1" s="182"/>
      <c r="AKR1" s="182"/>
      <c r="AKS1" s="182"/>
      <c r="AKT1" s="182"/>
      <c r="AKU1" s="182"/>
      <c r="AKV1" s="182"/>
      <c r="AKW1" s="182"/>
      <c r="AKX1" s="182"/>
      <c r="AKY1" s="182"/>
      <c r="AKZ1" s="182"/>
      <c r="ALA1" s="182"/>
      <c r="ALB1" s="182"/>
      <c r="ALC1" s="182"/>
      <c r="ALD1" s="182"/>
      <c r="ALE1" s="182"/>
      <c r="ALF1" s="182"/>
      <c r="ALG1" s="182"/>
      <c r="ALH1" s="182"/>
      <c r="ALI1" s="182"/>
      <c r="ALJ1" s="182"/>
      <c r="ALK1" s="182"/>
      <c r="ALL1" s="182"/>
      <c r="ALM1" s="182"/>
      <c r="ALN1" s="182"/>
      <c r="ALO1" s="182"/>
      <c r="ALP1" s="182"/>
      <c r="ALQ1" s="182"/>
      <c r="ALR1" s="182"/>
      <c r="ALS1" s="182"/>
      <c r="ALT1" s="182"/>
      <c r="ALU1" s="182"/>
      <c r="ALV1" s="182"/>
      <c r="ALW1" s="182"/>
      <c r="ALX1" s="182"/>
      <c r="ALY1" s="182"/>
      <c r="ALZ1" s="182"/>
      <c r="AMA1" s="182"/>
      <c r="AMB1" s="182"/>
      <c r="AMC1" s="182"/>
      <c r="AMD1" s="182"/>
      <c r="AME1" s="182"/>
      <c r="AMF1" s="182"/>
      <c r="AMG1" s="182"/>
      <c r="AMH1" s="182"/>
      <c r="AMI1" s="182"/>
      <c r="AMJ1" s="182"/>
      <c r="AMK1" s="182"/>
      <c r="AML1" s="182"/>
      <c r="AMM1" s="182"/>
      <c r="AMN1" s="182"/>
      <c r="AMO1" s="182"/>
      <c r="AMP1" s="182"/>
      <c r="AMQ1" s="182"/>
      <c r="AMR1" s="182"/>
      <c r="AMS1" s="182"/>
      <c r="AMT1" s="182"/>
      <c r="AMU1" s="182"/>
      <c r="AMV1" s="182"/>
      <c r="AMW1" s="182"/>
      <c r="AMX1" s="182"/>
      <c r="AMY1" s="182"/>
      <c r="AMZ1" s="182"/>
      <c r="ANA1" s="182"/>
      <c r="ANB1" s="182"/>
      <c r="ANC1" s="182"/>
      <c r="AND1" s="182"/>
      <c r="ANE1" s="182"/>
      <c r="ANF1" s="182"/>
      <c r="ANG1" s="182"/>
      <c r="ANH1" s="182"/>
      <c r="ANI1" s="182"/>
      <c r="ANJ1" s="182"/>
      <c r="ANK1" s="182"/>
      <c r="ANL1" s="182"/>
      <c r="ANM1" s="182"/>
      <c r="ANN1" s="182"/>
      <c r="ANO1" s="182"/>
      <c r="ANP1" s="182"/>
      <c r="ANQ1" s="182"/>
      <c r="ANR1" s="182"/>
      <c r="ANS1" s="182"/>
      <c r="ANT1" s="182"/>
      <c r="ANU1" s="182"/>
      <c r="ANV1" s="182"/>
      <c r="ANW1" s="182"/>
      <c r="ANX1" s="182"/>
      <c r="ANY1" s="182"/>
      <c r="ANZ1" s="182"/>
      <c r="AOA1" s="182"/>
      <c r="AOB1" s="182"/>
      <c r="AOC1" s="182"/>
      <c r="AOD1" s="182"/>
      <c r="AOE1" s="182"/>
      <c r="AOF1" s="182"/>
      <c r="AOG1" s="182"/>
      <c r="AOH1" s="182"/>
      <c r="AOI1" s="182"/>
      <c r="AOJ1" s="182"/>
      <c r="AOK1" s="182"/>
      <c r="AOL1" s="182"/>
      <c r="AOM1" s="182"/>
      <c r="AON1" s="182"/>
      <c r="AOO1" s="182"/>
      <c r="AOP1" s="182"/>
      <c r="AOQ1" s="182"/>
      <c r="AOR1" s="182"/>
      <c r="AOS1" s="182"/>
      <c r="AOT1" s="182"/>
      <c r="AOU1" s="182"/>
      <c r="AOV1" s="182"/>
      <c r="AOW1" s="182"/>
      <c r="AOX1" s="182"/>
      <c r="AOY1" s="182"/>
      <c r="AOZ1" s="182"/>
      <c r="APA1" s="182"/>
      <c r="APB1" s="182"/>
      <c r="APC1" s="182"/>
      <c r="APD1" s="182"/>
      <c r="APE1" s="182"/>
      <c r="APF1" s="182"/>
      <c r="APG1" s="182"/>
      <c r="APH1" s="182"/>
      <c r="API1" s="182"/>
      <c r="APJ1" s="182"/>
      <c r="APK1" s="182"/>
      <c r="APL1" s="182"/>
      <c r="APM1" s="182"/>
      <c r="APN1" s="182"/>
      <c r="APO1" s="182"/>
      <c r="APP1" s="182"/>
      <c r="APQ1" s="182"/>
      <c r="APR1" s="182"/>
      <c r="APS1" s="182"/>
      <c r="APT1" s="182"/>
      <c r="APU1" s="182"/>
      <c r="APV1" s="182"/>
      <c r="APW1" s="182"/>
      <c r="APX1" s="182"/>
      <c r="APY1" s="182"/>
      <c r="APZ1" s="182"/>
      <c r="AQA1" s="182"/>
      <c r="AQB1" s="182"/>
      <c r="AQC1" s="182"/>
      <c r="AQD1" s="182"/>
      <c r="AQE1" s="182"/>
      <c r="AQF1" s="182"/>
      <c r="AQG1" s="182"/>
      <c r="AQH1" s="182"/>
      <c r="AQI1" s="182"/>
      <c r="AQJ1" s="182"/>
      <c r="AQK1" s="182"/>
      <c r="AQL1" s="182"/>
      <c r="AQM1" s="182"/>
      <c r="AQN1" s="182"/>
      <c r="AQO1" s="182"/>
      <c r="AQP1" s="182"/>
      <c r="AQQ1" s="182"/>
      <c r="AQR1" s="182"/>
      <c r="AQS1" s="182"/>
      <c r="AQT1" s="182"/>
      <c r="AQU1" s="182"/>
      <c r="AQV1" s="182"/>
      <c r="AQW1" s="182"/>
      <c r="AQX1" s="182"/>
      <c r="AQY1" s="182"/>
      <c r="AQZ1" s="182"/>
      <c r="ARA1" s="182"/>
      <c r="ARB1" s="182"/>
      <c r="ARC1" s="182"/>
      <c r="ARD1" s="182"/>
      <c r="ARE1" s="182"/>
      <c r="ARF1" s="182"/>
      <c r="ARG1" s="182"/>
      <c r="ARH1" s="182"/>
      <c r="ARI1" s="182"/>
      <c r="ARJ1" s="182"/>
      <c r="ARK1" s="182"/>
      <c r="ARL1" s="182"/>
      <c r="ARM1" s="182"/>
      <c r="ARN1" s="182"/>
      <c r="ARO1" s="182"/>
      <c r="ARP1" s="182"/>
      <c r="ARQ1" s="182"/>
      <c r="ARR1" s="182"/>
      <c r="ARS1" s="182"/>
      <c r="ART1" s="182"/>
      <c r="ARU1" s="182"/>
      <c r="ARV1" s="182"/>
      <c r="ARW1" s="182"/>
      <c r="ARX1" s="182"/>
      <c r="ARY1" s="182"/>
      <c r="ARZ1" s="182"/>
      <c r="ASA1" s="182"/>
      <c r="ASB1" s="182"/>
      <c r="ASC1" s="182"/>
      <c r="ASD1" s="182"/>
      <c r="ASE1" s="182"/>
      <c r="ASF1" s="182"/>
      <c r="ASG1" s="182"/>
      <c r="ASH1" s="182"/>
      <c r="ASI1" s="182"/>
      <c r="ASJ1" s="182"/>
      <c r="ASK1" s="182"/>
      <c r="ASL1" s="182"/>
      <c r="ASM1" s="182"/>
      <c r="ASN1" s="182"/>
      <c r="ASO1" s="182"/>
      <c r="ASP1" s="182"/>
      <c r="ASQ1" s="182"/>
      <c r="ASR1" s="182"/>
      <c r="ASS1" s="182"/>
      <c r="AST1" s="182"/>
      <c r="ASU1" s="182"/>
      <c r="ASV1" s="182"/>
      <c r="ASW1" s="182"/>
      <c r="ASX1" s="182"/>
      <c r="ASY1" s="182"/>
      <c r="ASZ1" s="182"/>
      <c r="ATA1" s="182"/>
      <c r="ATB1" s="182"/>
      <c r="ATC1" s="182"/>
      <c r="ATD1" s="182"/>
      <c r="ATE1" s="182"/>
      <c r="ATF1" s="182"/>
      <c r="ATG1" s="182"/>
      <c r="ATH1" s="182"/>
      <c r="ATI1" s="182"/>
      <c r="ATJ1" s="182"/>
      <c r="ATK1" s="182"/>
      <c r="ATL1" s="182"/>
      <c r="ATM1" s="182"/>
      <c r="ATN1" s="182"/>
      <c r="ATO1" s="182"/>
      <c r="ATP1" s="182"/>
      <c r="ATQ1" s="182"/>
      <c r="ATR1" s="182"/>
      <c r="ATS1" s="182"/>
      <c r="ATT1" s="182"/>
      <c r="ATU1" s="182"/>
      <c r="ATV1" s="182"/>
      <c r="ATW1" s="182"/>
      <c r="ATX1" s="182"/>
      <c r="ATY1" s="182"/>
      <c r="ATZ1" s="182"/>
      <c r="AUA1" s="182"/>
      <c r="AUB1" s="182"/>
      <c r="AUC1" s="182"/>
      <c r="AUD1" s="182"/>
      <c r="AUE1" s="182"/>
      <c r="AUF1" s="182"/>
      <c r="AUG1" s="182"/>
      <c r="AUH1" s="182"/>
      <c r="AUI1" s="182"/>
      <c r="AUJ1" s="182"/>
      <c r="AUK1" s="182"/>
      <c r="AUL1" s="182"/>
      <c r="AUM1" s="182"/>
      <c r="AUN1" s="182"/>
      <c r="AUO1" s="182"/>
      <c r="AUP1" s="182"/>
      <c r="AUQ1" s="182"/>
      <c r="AUR1" s="182"/>
      <c r="AUS1" s="182"/>
      <c r="AUT1" s="182"/>
      <c r="AUU1" s="182"/>
      <c r="AUV1" s="182"/>
      <c r="AUW1" s="182"/>
      <c r="AUX1" s="182"/>
      <c r="AUY1" s="182"/>
      <c r="AUZ1" s="182"/>
      <c r="AVA1" s="182"/>
      <c r="AVB1" s="182"/>
      <c r="AVC1" s="182"/>
      <c r="AVD1" s="182"/>
      <c r="AVE1" s="182"/>
      <c r="AVF1" s="182"/>
      <c r="AVG1" s="182"/>
      <c r="AVH1" s="182"/>
      <c r="AVI1" s="182"/>
      <c r="AVJ1" s="182"/>
      <c r="AVK1" s="182"/>
      <c r="AVL1" s="182"/>
      <c r="AVM1" s="182"/>
      <c r="AVN1" s="182"/>
      <c r="AVO1" s="182"/>
      <c r="AVP1" s="182"/>
      <c r="AVQ1" s="182"/>
      <c r="AVR1" s="182"/>
      <c r="AVS1" s="182"/>
      <c r="AVT1" s="182"/>
      <c r="AVU1" s="182"/>
      <c r="AVV1" s="182"/>
      <c r="AVW1" s="182"/>
      <c r="AVX1" s="182"/>
      <c r="AVY1" s="182"/>
      <c r="AVZ1" s="182"/>
      <c r="AWA1" s="182"/>
      <c r="AWB1" s="182"/>
      <c r="AWC1" s="182"/>
      <c r="AWD1" s="182"/>
      <c r="AWE1" s="182"/>
      <c r="AWF1" s="182"/>
      <c r="AWG1" s="182"/>
      <c r="AWH1" s="182"/>
      <c r="AWI1" s="182"/>
      <c r="AWJ1" s="182"/>
      <c r="AWK1" s="182"/>
      <c r="AWL1" s="182"/>
      <c r="AWM1" s="182"/>
      <c r="AWN1" s="182"/>
      <c r="AWO1" s="182"/>
      <c r="AWP1" s="182"/>
      <c r="AWQ1" s="182"/>
      <c r="AWR1" s="182"/>
      <c r="AWS1" s="182"/>
      <c r="AWT1" s="182"/>
      <c r="AWU1" s="182"/>
      <c r="AWV1" s="182"/>
      <c r="AWW1" s="182"/>
      <c r="AWX1" s="182"/>
      <c r="AWY1" s="182"/>
      <c r="AWZ1" s="182"/>
      <c r="AXA1" s="182"/>
      <c r="AXB1" s="182"/>
      <c r="AXC1" s="182"/>
      <c r="AXD1" s="182"/>
      <c r="AXE1" s="182"/>
      <c r="AXF1" s="182"/>
      <c r="AXG1" s="182"/>
      <c r="AXH1" s="182"/>
      <c r="AXI1" s="182"/>
      <c r="AXJ1" s="182"/>
      <c r="AXK1" s="182"/>
      <c r="AXL1" s="182"/>
      <c r="AXM1" s="182"/>
      <c r="AXN1" s="182"/>
      <c r="AXO1" s="182"/>
      <c r="AXP1" s="182"/>
      <c r="AXQ1" s="182"/>
      <c r="AXR1" s="182"/>
      <c r="AXS1" s="182"/>
      <c r="AXT1" s="182"/>
      <c r="AXU1" s="182"/>
      <c r="AXV1" s="182"/>
      <c r="AXW1" s="182"/>
      <c r="AXX1" s="182"/>
      <c r="AXY1" s="182"/>
      <c r="AXZ1" s="182"/>
      <c r="AYA1" s="182"/>
      <c r="AYB1" s="182"/>
      <c r="AYC1" s="182"/>
      <c r="AYD1" s="182"/>
      <c r="AYE1" s="182"/>
      <c r="AYF1" s="182"/>
      <c r="AYG1" s="182"/>
      <c r="AYH1" s="182"/>
      <c r="AYI1" s="182"/>
      <c r="AYJ1" s="182"/>
      <c r="AYK1" s="182"/>
      <c r="AYL1" s="182"/>
      <c r="AYM1" s="182"/>
      <c r="AYN1" s="182"/>
      <c r="AYO1" s="182"/>
      <c r="AYP1" s="182"/>
      <c r="AYQ1" s="182"/>
      <c r="AYR1" s="182"/>
      <c r="AYS1" s="182"/>
      <c r="AYT1" s="182"/>
      <c r="AYU1" s="182"/>
      <c r="AYV1" s="182"/>
      <c r="AYW1" s="182"/>
      <c r="AYX1" s="182"/>
      <c r="AYY1" s="182"/>
      <c r="AYZ1" s="182"/>
      <c r="AZA1" s="182"/>
      <c r="AZB1" s="182"/>
      <c r="AZC1" s="182"/>
      <c r="AZD1" s="182"/>
      <c r="AZE1" s="182"/>
      <c r="AZF1" s="182"/>
      <c r="AZG1" s="182"/>
      <c r="AZH1" s="182"/>
      <c r="AZI1" s="182"/>
      <c r="AZJ1" s="182"/>
      <c r="AZK1" s="182"/>
      <c r="AZL1" s="182"/>
      <c r="AZM1" s="182"/>
      <c r="AZN1" s="182"/>
      <c r="AZO1" s="182"/>
      <c r="AZP1" s="182"/>
      <c r="AZQ1" s="182"/>
      <c r="AZR1" s="182"/>
      <c r="AZS1" s="182"/>
      <c r="AZT1" s="182"/>
      <c r="AZU1" s="182"/>
      <c r="AZV1" s="182"/>
      <c r="AZW1" s="182"/>
      <c r="AZX1" s="182"/>
      <c r="AZY1" s="182"/>
      <c r="AZZ1" s="182"/>
      <c r="BAA1" s="182"/>
      <c r="BAB1" s="182"/>
      <c r="BAC1" s="182"/>
      <c r="BAD1" s="182"/>
      <c r="BAE1" s="182"/>
      <c r="BAF1" s="182"/>
      <c r="BAG1" s="182"/>
      <c r="BAH1" s="182"/>
      <c r="BAI1" s="182"/>
      <c r="BAJ1" s="182"/>
      <c r="BAK1" s="182"/>
      <c r="BAL1" s="182"/>
      <c r="BAM1" s="182"/>
      <c r="BAN1" s="182"/>
      <c r="BAO1" s="182"/>
      <c r="BAP1" s="182"/>
      <c r="BAQ1" s="182"/>
      <c r="BAR1" s="182"/>
      <c r="BAS1" s="182"/>
      <c r="BAT1" s="182"/>
      <c r="BAU1" s="182"/>
      <c r="BAV1" s="182"/>
      <c r="BAW1" s="182"/>
      <c r="BAX1" s="182"/>
      <c r="BAY1" s="182"/>
      <c r="BAZ1" s="182"/>
      <c r="BBA1" s="182"/>
      <c r="BBB1" s="182"/>
      <c r="BBC1" s="182"/>
      <c r="BBD1" s="182"/>
      <c r="BBE1" s="182"/>
      <c r="BBF1" s="182"/>
      <c r="BBG1" s="182"/>
      <c r="BBH1" s="182"/>
      <c r="BBI1" s="182"/>
      <c r="BBJ1" s="182"/>
      <c r="BBK1" s="182"/>
      <c r="BBL1" s="182"/>
      <c r="BBM1" s="182"/>
      <c r="BBN1" s="182"/>
      <c r="BBO1" s="182"/>
      <c r="BBP1" s="182"/>
      <c r="BBQ1" s="182"/>
      <c r="BBR1" s="182"/>
      <c r="BBS1" s="182"/>
      <c r="BBT1" s="182"/>
      <c r="BBU1" s="182"/>
      <c r="BBV1" s="182"/>
      <c r="BBW1" s="182"/>
      <c r="BBX1" s="182"/>
      <c r="BBY1" s="182"/>
      <c r="BBZ1" s="182"/>
      <c r="BCA1" s="182"/>
      <c r="BCB1" s="182"/>
      <c r="BCC1" s="182"/>
      <c r="BCD1" s="182"/>
      <c r="BCE1" s="182"/>
      <c r="BCF1" s="182"/>
      <c r="BCG1" s="182"/>
      <c r="BCH1" s="182"/>
      <c r="BCI1" s="182"/>
      <c r="BCJ1" s="182"/>
      <c r="BCK1" s="182"/>
      <c r="BCL1" s="182"/>
      <c r="BCM1" s="182"/>
      <c r="BCN1" s="182"/>
      <c r="BCO1" s="182"/>
      <c r="BCP1" s="182"/>
      <c r="BCQ1" s="182"/>
      <c r="BCR1" s="182"/>
      <c r="BCS1" s="182"/>
      <c r="BCT1" s="182"/>
      <c r="BCU1" s="182"/>
      <c r="BCV1" s="182"/>
      <c r="BCW1" s="182"/>
      <c r="BCX1" s="182"/>
      <c r="BCY1" s="182"/>
      <c r="BCZ1" s="182"/>
      <c r="BDA1" s="182"/>
      <c r="BDB1" s="182"/>
      <c r="BDC1" s="182"/>
      <c r="BDD1" s="182"/>
      <c r="BDE1" s="182"/>
      <c r="BDF1" s="182"/>
      <c r="BDG1" s="182"/>
      <c r="BDH1" s="182"/>
      <c r="BDI1" s="182"/>
      <c r="BDJ1" s="182"/>
      <c r="BDK1" s="182"/>
      <c r="BDL1" s="182"/>
      <c r="BDM1" s="182"/>
      <c r="BDN1" s="182"/>
      <c r="BDO1" s="182"/>
      <c r="BDP1" s="182"/>
      <c r="BDQ1" s="182"/>
      <c r="BDR1" s="182"/>
      <c r="BDS1" s="182"/>
      <c r="BDT1" s="182"/>
      <c r="BDU1" s="182"/>
      <c r="BDV1" s="182"/>
      <c r="BDW1" s="182"/>
      <c r="BDX1" s="182"/>
      <c r="BDY1" s="182"/>
      <c r="BDZ1" s="182"/>
      <c r="BEA1" s="182"/>
      <c r="BEB1" s="182"/>
      <c r="BEC1" s="182"/>
      <c r="BED1" s="182"/>
      <c r="BEE1" s="182"/>
      <c r="BEF1" s="182"/>
      <c r="BEG1" s="182"/>
      <c r="BEH1" s="182"/>
      <c r="BEI1" s="182"/>
      <c r="BEJ1" s="182"/>
      <c r="BEK1" s="182"/>
      <c r="BEL1" s="182"/>
      <c r="BEM1" s="182"/>
      <c r="BEN1" s="182"/>
      <c r="BEO1" s="182"/>
      <c r="BEP1" s="182"/>
      <c r="BEQ1" s="182"/>
      <c r="BER1" s="182"/>
      <c r="BES1" s="182"/>
      <c r="BET1" s="182"/>
      <c r="BEU1" s="182"/>
      <c r="BEV1" s="182"/>
      <c r="BEW1" s="182"/>
      <c r="BEX1" s="182"/>
      <c r="BEY1" s="182"/>
      <c r="BEZ1" s="182"/>
      <c r="BFA1" s="182"/>
      <c r="BFB1" s="182"/>
      <c r="BFC1" s="182"/>
      <c r="BFD1" s="182"/>
      <c r="BFE1" s="182"/>
      <c r="BFF1" s="182"/>
      <c r="BFG1" s="182"/>
      <c r="BFH1" s="182"/>
      <c r="BFI1" s="182"/>
      <c r="BFJ1" s="182"/>
      <c r="BFK1" s="182"/>
      <c r="BFL1" s="182"/>
      <c r="BFM1" s="182"/>
      <c r="BFN1" s="182"/>
      <c r="BFO1" s="182"/>
      <c r="BFP1" s="182"/>
      <c r="BFQ1" s="182"/>
      <c r="BFR1" s="182"/>
      <c r="BFS1" s="182"/>
      <c r="BFT1" s="182"/>
      <c r="BFU1" s="182"/>
      <c r="BFV1" s="182"/>
      <c r="BFW1" s="182"/>
      <c r="BFX1" s="182"/>
      <c r="BFY1" s="182"/>
      <c r="BFZ1" s="182"/>
      <c r="BGA1" s="182"/>
      <c r="BGB1" s="182"/>
      <c r="BGC1" s="182"/>
      <c r="BGD1" s="182"/>
      <c r="BGE1" s="182"/>
      <c r="BGF1" s="182"/>
      <c r="BGG1" s="182"/>
      <c r="BGH1" s="182"/>
      <c r="BGI1" s="182"/>
      <c r="BGJ1" s="182"/>
      <c r="BGK1" s="182"/>
      <c r="BGL1" s="182"/>
      <c r="BGM1" s="182"/>
      <c r="BGN1" s="182"/>
      <c r="BGO1" s="182"/>
      <c r="BGP1" s="182"/>
      <c r="BGQ1" s="182"/>
      <c r="BGR1" s="182"/>
      <c r="BGS1" s="182"/>
      <c r="BGT1" s="182"/>
      <c r="BGU1" s="182"/>
      <c r="BGV1" s="182"/>
      <c r="BGW1" s="182"/>
      <c r="BGX1" s="182"/>
      <c r="BGY1" s="182"/>
      <c r="BGZ1" s="182"/>
      <c r="BHA1" s="182"/>
      <c r="BHB1" s="182"/>
      <c r="BHC1" s="182"/>
      <c r="BHD1" s="182"/>
      <c r="BHE1" s="182"/>
      <c r="BHF1" s="182"/>
      <c r="BHG1" s="182"/>
      <c r="BHH1" s="182"/>
      <c r="BHI1" s="182"/>
      <c r="BHJ1" s="182"/>
      <c r="BHK1" s="182"/>
      <c r="BHL1" s="182"/>
      <c r="BHM1" s="182"/>
      <c r="BHN1" s="182"/>
      <c r="BHO1" s="182"/>
      <c r="BHP1" s="182"/>
      <c r="BHQ1" s="182"/>
      <c r="BHR1" s="182"/>
      <c r="BHS1" s="182"/>
      <c r="BHT1" s="182"/>
      <c r="BHU1" s="182"/>
      <c r="BHV1" s="182"/>
      <c r="BHW1" s="182"/>
      <c r="BHX1" s="182"/>
      <c r="BHY1" s="182"/>
      <c r="BHZ1" s="182"/>
      <c r="BIA1" s="182"/>
      <c r="BIB1" s="182"/>
      <c r="BIC1" s="182"/>
      <c r="BID1" s="182"/>
      <c r="BIE1" s="182"/>
      <c r="BIF1" s="182"/>
      <c r="BIG1" s="182"/>
      <c r="BIH1" s="182"/>
      <c r="BII1" s="182"/>
      <c r="BIJ1" s="182"/>
      <c r="BIK1" s="182"/>
      <c r="BIL1" s="182"/>
      <c r="BIM1" s="182"/>
      <c r="BIN1" s="182"/>
      <c r="BIO1" s="182"/>
      <c r="BIP1" s="182"/>
      <c r="BIQ1" s="182"/>
      <c r="BIR1" s="182"/>
      <c r="BIS1" s="182"/>
      <c r="BIT1" s="182"/>
      <c r="BIU1" s="182"/>
      <c r="BIV1" s="182"/>
      <c r="BIW1" s="182"/>
      <c r="BIX1" s="182"/>
      <c r="BIY1" s="182"/>
      <c r="BIZ1" s="182"/>
      <c r="BJA1" s="182"/>
      <c r="BJB1" s="182"/>
      <c r="BJC1" s="182"/>
      <c r="BJD1" s="182"/>
      <c r="BJE1" s="182"/>
      <c r="BJF1" s="182"/>
      <c r="BJG1" s="182"/>
      <c r="BJH1" s="182"/>
      <c r="BJI1" s="182"/>
      <c r="BJJ1" s="182"/>
      <c r="BJK1" s="182"/>
      <c r="BJL1" s="182"/>
      <c r="BJM1" s="182"/>
      <c r="BJN1" s="182"/>
      <c r="BJO1" s="182"/>
      <c r="BJP1" s="182"/>
      <c r="BJQ1" s="182"/>
      <c r="BJR1" s="182"/>
      <c r="BJS1" s="182"/>
      <c r="BJT1" s="182"/>
      <c r="BJU1" s="182"/>
      <c r="BJV1" s="182"/>
      <c r="BJW1" s="182"/>
      <c r="BJX1" s="182"/>
      <c r="BJY1" s="182"/>
      <c r="BJZ1" s="182"/>
      <c r="BKA1" s="182"/>
      <c r="BKB1" s="182"/>
      <c r="BKC1" s="182"/>
      <c r="BKD1" s="182"/>
      <c r="BKE1" s="182"/>
      <c r="BKF1" s="182"/>
      <c r="BKG1" s="182"/>
      <c r="BKH1" s="182"/>
      <c r="BKI1" s="182"/>
      <c r="BKJ1" s="182"/>
      <c r="BKK1" s="182"/>
      <c r="BKL1" s="182"/>
      <c r="BKM1" s="182"/>
      <c r="BKN1" s="182"/>
      <c r="BKO1" s="182"/>
      <c r="BKP1" s="182"/>
      <c r="BKQ1" s="182"/>
      <c r="BKR1" s="182"/>
      <c r="BKS1" s="182"/>
      <c r="BKT1" s="182"/>
      <c r="BKU1" s="182"/>
      <c r="BKV1" s="182"/>
      <c r="BKW1" s="182"/>
      <c r="BKX1" s="182"/>
      <c r="BKY1" s="182"/>
      <c r="BKZ1" s="182"/>
      <c r="BLA1" s="182"/>
      <c r="BLB1" s="182"/>
      <c r="BLC1" s="182"/>
      <c r="BLD1" s="182"/>
      <c r="BLE1" s="182"/>
      <c r="BLF1" s="182"/>
      <c r="BLG1" s="182"/>
      <c r="BLH1" s="182"/>
      <c r="BLI1" s="182"/>
      <c r="BLJ1" s="182"/>
      <c r="BLK1" s="182"/>
      <c r="BLL1" s="182"/>
      <c r="BLM1" s="182"/>
      <c r="BLN1" s="182"/>
      <c r="BLO1" s="182"/>
      <c r="BLP1" s="182"/>
      <c r="BLQ1" s="182"/>
      <c r="BLR1" s="182"/>
      <c r="BLS1" s="182"/>
      <c r="BLT1" s="182"/>
      <c r="BLU1" s="182"/>
      <c r="BLV1" s="182"/>
      <c r="BLW1" s="182"/>
      <c r="BLX1" s="182"/>
      <c r="BLY1" s="182"/>
      <c r="BLZ1" s="182"/>
      <c r="BMA1" s="182"/>
      <c r="BMB1" s="182"/>
      <c r="BMC1" s="182"/>
      <c r="BMD1" s="182"/>
      <c r="BME1" s="182"/>
      <c r="BMF1" s="182"/>
      <c r="BMG1" s="182"/>
      <c r="BMH1" s="182"/>
      <c r="BMI1" s="182"/>
      <c r="BMJ1" s="182"/>
      <c r="BMK1" s="182"/>
      <c r="BML1" s="182"/>
      <c r="BMM1" s="182"/>
      <c r="BMN1" s="182"/>
      <c r="BMO1" s="182"/>
      <c r="BMP1" s="182"/>
      <c r="BMQ1" s="182"/>
      <c r="BMR1" s="182"/>
      <c r="BMS1" s="182"/>
      <c r="BMT1" s="182"/>
      <c r="BMU1" s="182"/>
      <c r="BMV1" s="182"/>
      <c r="BMW1" s="182"/>
      <c r="BMX1" s="182"/>
      <c r="BMY1" s="182"/>
      <c r="BMZ1" s="182"/>
      <c r="BNA1" s="182"/>
      <c r="BNB1" s="182"/>
      <c r="BNC1" s="182"/>
      <c r="BND1" s="182"/>
      <c r="BNE1" s="182"/>
      <c r="BNF1" s="182"/>
      <c r="BNG1" s="182"/>
      <c r="BNH1" s="182"/>
      <c r="BNI1" s="182"/>
      <c r="BNJ1" s="182"/>
      <c r="BNK1" s="182"/>
      <c r="BNL1" s="182"/>
      <c r="BNM1" s="182"/>
      <c r="BNN1" s="182"/>
      <c r="BNO1" s="182"/>
      <c r="BNP1" s="182"/>
      <c r="BNQ1" s="182"/>
      <c r="BNR1" s="182"/>
      <c r="BNS1" s="182"/>
      <c r="BNT1" s="182"/>
      <c r="BNU1" s="182"/>
      <c r="BNV1" s="182"/>
      <c r="BNW1" s="182"/>
      <c r="BNX1" s="182"/>
      <c r="BNY1" s="182"/>
      <c r="BNZ1" s="182"/>
      <c r="BOA1" s="182"/>
      <c r="BOB1" s="182"/>
      <c r="BOC1" s="182"/>
      <c r="BOD1" s="182"/>
      <c r="BOE1" s="182"/>
      <c r="BOF1" s="182"/>
      <c r="BOG1" s="182"/>
      <c r="BOH1" s="182"/>
      <c r="BOI1" s="182"/>
      <c r="BOJ1" s="182"/>
      <c r="BOK1" s="182"/>
      <c r="BOL1" s="182"/>
      <c r="BOM1" s="182"/>
      <c r="BON1" s="182"/>
      <c r="BOO1" s="182"/>
      <c r="BOP1" s="182"/>
      <c r="BOQ1" s="182"/>
      <c r="BOR1" s="182"/>
      <c r="BOS1" s="182"/>
      <c r="BOT1" s="182"/>
      <c r="BOU1" s="182"/>
      <c r="BOV1" s="182"/>
      <c r="BOW1" s="182"/>
      <c r="BOX1" s="182"/>
      <c r="BOY1" s="182"/>
      <c r="BOZ1" s="182"/>
      <c r="BPA1" s="182"/>
      <c r="BPB1" s="182"/>
      <c r="BPC1" s="182"/>
      <c r="BPD1" s="182"/>
      <c r="BPE1" s="182"/>
      <c r="BPF1" s="182"/>
      <c r="BPG1" s="182"/>
      <c r="BPH1" s="182"/>
      <c r="BPI1" s="182"/>
      <c r="BPJ1" s="182"/>
      <c r="BPK1" s="182"/>
      <c r="BPL1" s="182"/>
      <c r="BPM1" s="182"/>
      <c r="BPN1" s="182"/>
      <c r="BPO1" s="182"/>
      <c r="BPP1" s="182"/>
      <c r="BPQ1" s="182"/>
      <c r="BPR1" s="182"/>
      <c r="BPS1" s="182"/>
      <c r="BPT1" s="182"/>
      <c r="BPU1" s="182"/>
      <c r="BPV1" s="182"/>
      <c r="BPW1" s="182"/>
      <c r="BPX1" s="182"/>
      <c r="BPY1" s="182"/>
      <c r="BPZ1" s="182"/>
      <c r="BQA1" s="182"/>
      <c r="BQB1" s="182"/>
      <c r="BQC1" s="182"/>
      <c r="BQD1" s="182"/>
      <c r="BQE1" s="182"/>
      <c r="BQF1" s="182"/>
      <c r="BQG1" s="182"/>
      <c r="BQH1" s="182"/>
      <c r="BQI1" s="182"/>
      <c r="BQJ1" s="182"/>
      <c r="BQK1" s="182"/>
      <c r="BQL1" s="182"/>
      <c r="BQM1" s="182"/>
      <c r="BQN1" s="182"/>
      <c r="BQO1" s="182"/>
      <c r="BQP1" s="182"/>
      <c r="BQQ1" s="182"/>
      <c r="BQR1" s="182"/>
      <c r="BQS1" s="182"/>
      <c r="BQT1" s="182"/>
      <c r="BQU1" s="182"/>
      <c r="BQV1" s="182"/>
      <c r="BQW1" s="182"/>
      <c r="BQX1" s="182"/>
      <c r="BQY1" s="182"/>
      <c r="BQZ1" s="182"/>
      <c r="BRA1" s="182"/>
      <c r="BRB1" s="182"/>
      <c r="BRC1" s="182"/>
      <c r="BRD1" s="182"/>
      <c r="BRE1" s="182"/>
      <c r="BRF1" s="182"/>
      <c r="BRG1" s="182"/>
      <c r="BRH1" s="182"/>
      <c r="BRI1" s="182"/>
      <c r="BRJ1" s="182"/>
      <c r="BRK1" s="182"/>
      <c r="BRL1" s="182"/>
      <c r="BRM1" s="182"/>
      <c r="BRN1" s="182"/>
      <c r="BRO1" s="182"/>
      <c r="BRP1" s="182"/>
      <c r="BRQ1" s="182"/>
      <c r="BRR1" s="182"/>
      <c r="BRS1" s="182"/>
      <c r="BRT1" s="182"/>
      <c r="BRU1" s="182"/>
      <c r="BRV1" s="182"/>
      <c r="BRW1" s="182"/>
      <c r="BRX1" s="182"/>
      <c r="BRY1" s="182"/>
      <c r="BRZ1" s="182"/>
      <c r="BSA1" s="182"/>
      <c r="BSB1" s="182"/>
      <c r="BSC1" s="182"/>
      <c r="BSD1" s="182"/>
      <c r="BSE1" s="182"/>
      <c r="BSF1" s="182"/>
      <c r="BSG1" s="182"/>
      <c r="BSH1" s="182"/>
      <c r="BSI1" s="182"/>
      <c r="BSJ1" s="182"/>
      <c r="BSK1" s="182"/>
      <c r="BSL1" s="182"/>
      <c r="BSM1" s="182"/>
      <c r="BSN1" s="182"/>
      <c r="BSO1" s="182"/>
      <c r="BSP1" s="182"/>
      <c r="BSQ1" s="182"/>
      <c r="BSR1" s="182"/>
      <c r="BSS1" s="182"/>
      <c r="BST1" s="182"/>
      <c r="BSU1" s="182"/>
      <c r="BSV1" s="182"/>
      <c r="BSW1" s="182"/>
      <c r="BSX1" s="182"/>
      <c r="BSY1" s="182"/>
      <c r="BSZ1" s="182"/>
      <c r="BTA1" s="182"/>
      <c r="BTB1" s="182"/>
      <c r="BTC1" s="182"/>
      <c r="BTD1" s="182"/>
      <c r="BTE1" s="182"/>
      <c r="BTF1" s="182"/>
      <c r="BTG1" s="182"/>
      <c r="BTH1" s="182"/>
      <c r="BTI1" s="182"/>
      <c r="BTJ1" s="182"/>
      <c r="BTK1" s="182"/>
      <c r="BTL1" s="182"/>
      <c r="BTM1" s="182"/>
      <c r="BTN1" s="182"/>
      <c r="BTO1" s="182"/>
      <c r="BTP1" s="182"/>
      <c r="BTQ1" s="182"/>
      <c r="BTR1" s="182"/>
      <c r="BTS1" s="182"/>
      <c r="BTT1" s="182"/>
      <c r="BTU1" s="182"/>
      <c r="BTV1" s="182"/>
      <c r="BTW1" s="182"/>
      <c r="BTX1" s="182"/>
      <c r="BTY1" s="182"/>
      <c r="BTZ1" s="182"/>
      <c r="BUA1" s="182"/>
      <c r="BUB1" s="182"/>
      <c r="BUC1" s="182"/>
      <c r="BUD1" s="182"/>
      <c r="BUE1" s="182"/>
      <c r="BUF1" s="182"/>
      <c r="BUG1" s="182"/>
      <c r="BUH1" s="182"/>
      <c r="BUI1" s="182"/>
      <c r="BUJ1" s="182"/>
      <c r="BUK1" s="182"/>
      <c r="BUL1" s="182"/>
      <c r="BUM1" s="182"/>
      <c r="BUN1" s="182"/>
      <c r="BUO1" s="182"/>
      <c r="BUP1" s="182"/>
      <c r="BUQ1" s="182"/>
      <c r="BUR1" s="182"/>
      <c r="BUS1" s="182"/>
      <c r="BUT1" s="182"/>
      <c r="BUU1" s="182"/>
      <c r="BUV1" s="182"/>
      <c r="BUW1" s="182"/>
      <c r="BUX1" s="182"/>
      <c r="BUY1" s="182"/>
      <c r="BUZ1" s="182"/>
      <c r="BVA1" s="182"/>
      <c r="BVB1" s="182"/>
      <c r="BVC1" s="182"/>
      <c r="BVD1" s="182"/>
      <c r="BVE1" s="182"/>
      <c r="BVF1" s="182"/>
      <c r="BVG1" s="182"/>
      <c r="BVH1" s="182"/>
      <c r="BVI1" s="182"/>
      <c r="BVJ1" s="182"/>
      <c r="BVK1" s="182"/>
      <c r="BVL1" s="182"/>
      <c r="BVM1" s="182"/>
      <c r="BVN1" s="182"/>
      <c r="BVO1" s="182"/>
      <c r="BVP1" s="182"/>
      <c r="BVQ1" s="182"/>
      <c r="BVR1" s="182"/>
      <c r="BVS1" s="182"/>
      <c r="BVT1" s="182"/>
      <c r="BVU1" s="182"/>
      <c r="BVV1" s="182"/>
      <c r="BVW1" s="182"/>
      <c r="BVX1" s="182"/>
      <c r="BVY1" s="182"/>
      <c r="BVZ1" s="182"/>
      <c r="BWA1" s="182"/>
      <c r="BWB1" s="182"/>
      <c r="BWC1" s="182"/>
      <c r="BWD1" s="182"/>
      <c r="BWE1" s="182"/>
      <c r="BWF1" s="182"/>
      <c r="BWG1" s="182"/>
      <c r="BWH1" s="182"/>
      <c r="BWI1" s="182"/>
      <c r="BWJ1" s="182"/>
      <c r="BWK1" s="182"/>
      <c r="BWL1" s="182"/>
      <c r="BWM1" s="182"/>
      <c r="BWN1" s="182"/>
      <c r="BWO1" s="182"/>
      <c r="BWP1" s="182"/>
      <c r="BWQ1" s="182"/>
      <c r="BWR1" s="182"/>
      <c r="BWS1" s="182"/>
      <c r="BWT1" s="182"/>
      <c r="BWU1" s="182"/>
      <c r="BWV1" s="182"/>
      <c r="BWW1" s="182"/>
      <c r="BWX1" s="182"/>
      <c r="BWY1" s="182"/>
      <c r="BWZ1" s="182"/>
      <c r="BXA1" s="182"/>
      <c r="BXB1" s="182"/>
      <c r="BXC1" s="182"/>
      <c r="BXD1" s="182"/>
      <c r="BXE1" s="182"/>
      <c r="BXF1" s="182"/>
      <c r="BXG1" s="182"/>
      <c r="BXH1" s="182"/>
      <c r="BXI1" s="182"/>
      <c r="BXJ1" s="182"/>
      <c r="BXK1" s="182"/>
      <c r="BXL1" s="182"/>
      <c r="BXM1" s="182"/>
      <c r="BXN1" s="182"/>
      <c r="BXO1" s="182"/>
      <c r="BXP1" s="182"/>
      <c r="BXQ1" s="182"/>
      <c r="BXR1" s="182"/>
      <c r="BXS1" s="182"/>
      <c r="BXT1" s="182"/>
      <c r="BXU1" s="182"/>
      <c r="BXV1" s="182"/>
      <c r="BXW1" s="182"/>
      <c r="BXX1" s="182"/>
      <c r="BXY1" s="182"/>
      <c r="BXZ1" s="182"/>
      <c r="BYA1" s="182"/>
      <c r="BYB1" s="182"/>
      <c r="BYC1" s="182"/>
      <c r="BYD1" s="182"/>
      <c r="BYE1" s="182"/>
      <c r="BYF1" s="182"/>
      <c r="BYG1" s="182"/>
      <c r="BYH1" s="182"/>
      <c r="BYI1" s="182"/>
      <c r="BYJ1" s="182"/>
      <c r="BYK1" s="182"/>
      <c r="BYL1" s="182"/>
      <c r="BYM1" s="182"/>
      <c r="BYN1" s="182"/>
      <c r="BYO1" s="182"/>
      <c r="BYP1" s="182"/>
      <c r="BYQ1" s="182"/>
      <c r="BYR1" s="182"/>
      <c r="BYS1" s="182"/>
      <c r="BYT1" s="182"/>
      <c r="BYU1" s="182"/>
      <c r="BYV1" s="182"/>
      <c r="BYW1" s="182"/>
      <c r="BYX1" s="182"/>
      <c r="BYY1" s="182"/>
      <c r="BYZ1" s="182"/>
      <c r="BZA1" s="182"/>
      <c r="BZB1" s="182"/>
      <c r="BZC1" s="182"/>
      <c r="BZD1" s="182"/>
      <c r="BZE1" s="182"/>
      <c r="BZF1" s="182"/>
      <c r="BZG1" s="182"/>
      <c r="BZH1" s="182"/>
      <c r="BZI1" s="182"/>
      <c r="BZJ1" s="182"/>
      <c r="BZK1" s="182"/>
      <c r="BZL1" s="182"/>
      <c r="BZM1" s="182"/>
      <c r="BZN1" s="182"/>
      <c r="BZO1" s="182"/>
      <c r="BZP1" s="182"/>
      <c r="BZQ1" s="182"/>
      <c r="BZR1" s="182"/>
      <c r="BZS1" s="182"/>
      <c r="BZT1" s="182"/>
      <c r="BZU1" s="182"/>
      <c r="BZV1" s="182"/>
      <c r="BZW1" s="182"/>
      <c r="BZX1" s="182"/>
      <c r="BZY1" s="182"/>
      <c r="BZZ1" s="182"/>
      <c r="CAA1" s="182"/>
      <c r="CAB1" s="182"/>
      <c r="CAC1" s="182"/>
      <c r="CAD1" s="182"/>
      <c r="CAE1" s="182"/>
      <c r="CAF1" s="182"/>
      <c r="CAG1" s="182"/>
      <c r="CAH1" s="182"/>
      <c r="CAI1" s="182"/>
      <c r="CAJ1" s="182"/>
      <c r="CAK1" s="182"/>
      <c r="CAL1" s="182"/>
      <c r="CAM1" s="182"/>
      <c r="CAN1" s="182"/>
      <c r="CAO1" s="182"/>
      <c r="CAP1" s="182"/>
      <c r="CAQ1" s="182"/>
      <c r="CAR1" s="182"/>
      <c r="CAS1" s="182"/>
      <c r="CAT1" s="182"/>
      <c r="CAU1" s="182"/>
      <c r="CAV1" s="182"/>
      <c r="CAW1" s="182"/>
      <c r="CAX1" s="182"/>
      <c r="CAY1" s="182"/>
      <c r="CAZ1" s="182"/>
      <c r="CBA1" s="182"/>
      <c r="CBB1" s="182"/>
      <c r="CBC1" s="182"/>
      <c r="CBD1" s="182"/>
      <c r="CBE1" s="182"/>
      <c r="CBF1" s="182"/>
      <c r="CBG1" s="182"/>
      <c r="CBH1" s="182"/>
      <c r="CBI1" s="182"/>
      <c r="CBJ1" s="182"/>
      <c r="CBK1" s="182"/>
      <c r="CBL1" s="182"/>
      <c r="CBM1" s="182"/>
      <c r="CBN1" s="182"/>
      <c r="CBO1" s="182"/>
      <c r="CBP1" s="182"/>
      <c r="CBQ1" s="182"/>
      <c r="CBR1" s="182"/>
      <c r="CBS1" s="182"/>
      <c r="CBT1" s="182"/>
      <c r="CBU1" s="182"/>
      <c r="CBV1" s="182"/>
      <c r="CBW1" s="182"/>
      <c r="CBX1" s="182"/>
      <c r="CBY1" s="182"/>
      <c r="CBZ1" s="182"/>
      <c r="CCA1" s="182"/>
      <c r="CCB1" s="182"/>
      <c r="CCC1" s="182"/>
      <c r="CCD1" s="182"/>
      <c r="CCE1" s="182"/>
      <c r="CCF1" s="182"/>
      <c r="CCG1" s="182"/>
      <c r="CCH1" s="182"/>
      <c r="CCI1" s="182"/>
      <c r="CCJ1" s="182"/>
      <c r="CCK1" s="182"/>
      <c r="CCL1" s="182"/>
      <c r="CCM1" s="182"/>
      <c r="CCN1" s="182"/>
      <c r="CCO1" s="182"/>
      <c r="CCP1" s="182"/>
      <c r="CCQ1" s="182"/>
      <c r="CCR1" s="182"/>
      <c r="CCS1" s="182"/>
      <c r="CCT1" s="182"/>
      <c r="CCU1" s="182"/>
      <c r="CCV1" s="182"/>
      <c r="CCW1" s="182"/>
      <c r="CCX1" s="182"/>
      <c r="CCY1" s="182"/>
      <c r="CCZ1" s="182"/>
      <c r="CDA1" s="182"/>
      <c r="CDB1" s="182"/>
      <c r="CDC1" s="182"/>
      <c r="CDD1" s="182"/>
      <c r="CDE1" s="182"/>
      <c r="CDF1" s="182"/>
      <c r="CDG1" s="182"/>
      <c r="CDH1" s="182"/>
      <c r="CDI1" s="182"/>
      <c r="CDJ1" s="182"/>
      <c r="CDK1" s="182"/>
      <c r="CDL1" s="182"/>
      <c r="CDM1" s="182"/>
      <c r="CDN1" s="182"/>
      <c r="CDO1" s="182"/>
      <c r="CDP1" s="182"/>
      <c r="CDQ1" s="182"/>
      <c r="CDR1" s="182"/>
      <c r="CDS1" s="182"/>
      <c r="CDT1" s="182"/>
      <c r="CDU1" s="182"/>
      <c r="CDV1" s="182"/>
      <c r="CDW1" s="182"/>
      <c r="CDX1" s="182"/>
      <c r="CDY1" s="182"/>
      <c r="CDZ1" s="182"/>
      <c r="CEA1" s="182"/>
      <c r="CEB1" s="182"/>
      <c r="CEC1" s="182"/>
      <c r="CED1" s="182"/>
      <c r="CEE1" s="182"/>
      <c r="CEF1" s="182"/>
      <c r="CEG1" s="182"/>
      <c r="CEH1" s="182"/>
      <c r="CEI1" s="182"/>
      <c r="CEJ1" s="182"/>
      <c r="CEK1" s="182"/>
      <c r="CEL1" s="182"/>
      <c r="CEM1" s="182"/>
      <c r="CEN1" s="182"/>
      <c r="CEO1" s="182"/>
      <c r="CEP1" s="182"/>
      <c r="CEQ1" s="182"/>
      <c r="CER1" s="182"/>
      <c r="CES1" s="182"/>
      <c r="CET1" s="182"/>
      <c r="CEU1" s="182"/>
      <c r="CEV1" s="182"/>
      <c r="CEW1" s="182"/>
      <c r="CEX1" s="182"/>
      <c r="CEY1" s="182"/>
      <c r="CEZ1" s="182"/>
      <c r="CFA1" s="182"/>
      <c r="CFB1" s="182"/>
      <c r="CFC1" s="182"/>
      <c r="CFD1" s="182"/>
      <c r="CFE1" s="182"/>
      <c r="CFF1" s="182"/>
      <c r="CFG1" s="182"/>
      <c r="CFH1" s="182"/>
      <c r="CFI1" s="182"/>
      <c r="CFJ1" s="182"/>
      <c r="CFK1" s="182"/>
      <c r="CFL1" s="182"/>
      <c r="CFM1" s="182"/>
      <c r="CFN1" s="182"/>
      <c r="CFO1" s="182"/>
      <c r="CFP1" s="182"/>
      <c r="CFQ1" s="182"/>
      <c r="CFR1" s="182"/>
      <c r="CFS1" s="182"/>
      <c r="CFT1" s="182"/>
      <c r="CFU1" s="182"/>
      <c r="CFV1" s="182"/>
      <c r="CFW1" s="182"/>
      <c r="CFX1" s="182"/>
      <c r="CFY1" s="182"/>
      <c r="CFZ1" s="182"/>
      <c r="CGA1" s="182"/>
      <c r="CGB1" s="182"/>
      <c r="CGC1" s="182"/>
      <c r="CGD1" s="182"/>
      <c r="CGE1" s="182"/>
      <c r="CGF1" s="182"/>
      <c r="CGG1" s="182"/>
      <c r="CGH1" s="182"/>
      <c r="CGI1" s="182"/>
      <c r="CGJ1" s="182"/>
      <c r="CGK1" s="182"/>
      <c r="CGL1" s="182"/>
      <c r="CGM1" s="182"/>
      <c r="CGN1" s="182"/>
      <c r="CGO1" s="182"/>
      <c r="CGP1" s="182"/>
      <c r="CGQ1" s="182"/>
      <c r="CGR1" s="182"/>
      <c r="CGS1" s="182"/>
      <c r="CGT1" s="182"/>
      <c r="CGU1" s="182"/>
      <c r="CGV1" s="182"/>
      <c r="CGW1" s="182"/>
      <c r="CGX1" s="182"/>
      <c r="CGY1" s="182"/>
      <c r="CGZ1" s="182"/>
      <c r="CHA1" s="182"/>
      <c r="CHB1" s="182"/>
      <c r="CHC1" s="182"/>
      <c r="CHD1" s="182"/>
      <c r="CHE1" s="182"/>
      <c r="CHF1" s="182"/>
      <c r="CHG1" s="182"/>
      <c r="CHH1" s="182"/>
      <c r="CHI1" s="182"/>
      <c r="CHJ1" s="182"/>
      <c r="CHK1" s="182"/>
      <c r="CHL1" s="182"/>
      <c r="CHM1" s="182"/>
      <c r="CHN1" s="182"/>
      <c r="CHO1" s="182"/>
      <c r="CHP1" s="182"/>
      <c r="CHQ1" s="182"/>
      <c r="CHR1" s="182"/>
      <c r="CHS1" s="182"/>
      <c r="CHT1" s="182"/>
      <c r="CHU1" s="182"/>
      <c r="CHV1" s="182"/>
      <c r="CHW1" s="182"/>
      <c r="CHX1" s="182"/>
      <c r="CHY1" s="182"/>
      <c r="CHZ1" s="182"/>
      <c r="CIA1" s="182"/>
      <c r="CIB1" s="182"/>
      <c r="CIC1" s="182"/>
      <c r="CID1" s="182"/>
      <c r="CIE1" s="182"/>
      <c r="CIF1" s="182"/>
      <c r="CIG1" s="182"/>
      <c r="CIH1" s="182"/>
      <c r="CII1" s="182"/>
      <c r="CIJ1" s="182"/>
      <c r="CIK1" s="182"/>
      <c r="CIL1" s="182"/>
      <c r="CIM1" s="182"/>
      <c r="CIN1" s="182"/>
      <c r="CIO1" s="182"/>
      <c r="CIP1" s="182"/>
      <c r="CIQ1" s="182"/>
      <c r="CIR1" s="182"/>
      <c r="CIS1" s="182"/>
      <c r="CIT1" s="182"/>
      <c r="CIU1" s="182"/>
      <c r="CIV1" s="182"/>
      <c r="CIW1" s="182"/>
      <c r="CIX1" s="182"/>
      <c r="CIY1" s="182"/>
      <c r="CIZ1" s="182"/>
      <c r="CJA1" s="182"/>
      <c r="CJB1" s="182"/>
      <c r="CJC1" s="182"/>
      <c r="CJD1" s="182"/>
      <c r="CJE1" s="182"/>
      <c r="CJF1" s="182"/>
      <c r="CJG1" s="182"/>
      <c r="CJH1" s="182"/>
      <c r="CJI1" s="182"/>
      <c r="CJJ1" s="182"/>
      <c r="CJK1" s="182"/>
      <c r="CJL1" s="182"/>
      <c r="CJM1" s="182"/>
      <c r="CJN1" s="182"/>
      <c r="CJO1" s="182"/>
      <c r="CJP1" s="182"/>
      <c r="CJQ1" s="182"/>
      <c r="CJR1" s="182"/>
      <c r="CJS1" s="182"/>
      <c r="CJT1" s="182"/>
      <c r="CJU1" s="182"/>
      <c r="CJV1" s="182"/>
      <c r="CJW1" s="182"/>
      <c r="CJX1" s="182"/>
      <c r="CJY1" s="182"/>
      <c r="CJZ1" s="182"/>
      <c r="CKA1" s="182"/>
      <c r="CKB1" s="182"/>
      <c r="CKC1" s="182"/>
      <c r="CKD1" s="182"/>
      <c r="CKE1" s="182"/>
      <c r="CKF1" s="182"/>
      <c r="CKG1" s="182"/>
      <c r="CKH1" s="182"/>
      <c r="CKI1" s="182"/>
      <c r="CKJ1" s="182"/>
      <c r="CKK1" s="182"/>
      <c r="CKL1" s="182"/>
      <c r="CKM1" s="182"/>
      <c r="CKN1" s="182"/>
      <c r="CKO1" s="182"/>
      <c r="CKP1" s="182"/>
      <c r="CKQ1" s="182"/>
      <c r="CKR1" s="182"/>
      <c r="CKS1" s="182"/>
      <c r="CKT1" s="182"/>
      <c r="CKU1" s="182"/>
      <c r="CKV1" s="182"/>
      <c r="CKW1" s="182"/>
      <c r="CKX1" s="182"/>
      <c r="CKY1" s="182"/>
      <c r="CKZ1" s="182"/>
      <c r="CLA1" s="182"/>
      <c r="CLB1" s="182"/>
      <c r="CLC1" s="182"/>
      <c r="CLD1" s="182"/>
      <c r="CLE1" s="182"/>
      <c r="CLF1" s="182"/>
      <c r="CLG1" s="182"/>
      <c r="CLH1" s="182"/>
      <c r="CLI1" s="182"/>
      <c r="CLJ1" s="182"/>
      <c r="CLK1" s="182"/>
      <c r="CLL1" s="182"/>
      <c r="CLM1" s="182"/>
      <c r="CLN1" s="182"/>
      <c r="CLO1" s="182"/>
      <c r="CLP1" s="182"/>
      <c r="CLQ1" s="182"/>
      <c r="CLR1" s="182"/>
      <c r="CLS1" s="182"/>
      <c r="CLT1" s="182"/>
      <c r="CLU1" s="182"/>
      <c r="CLV1" s="182"/>
      <c r="CLW1" s="182"/>
      <c r="CLX1" s="182"/>
      <c r="CLY1" s="182"/>
      <c r="CLZ1" s="182"/>
      <c r="CMA1" s="182"/>
      <c r="CMB1" s="182"/>
      <c r="CMC1" s="182"/>
      <c r="CMD1" s="182"/>
      <c r="CME1" s="182"/>
      <c r="CMF1" s="182"/>
      <c r="CMG1" s="182"/>
      <c r="CMH1" s="182"/>
      <c r="CMI1" s="182"/>
      <c r="CMJ1" s="182"/>
      <c r="CMK1" s="182"/>
      <c r="CML1" s="182"/>
      <c r="CMM1" s="182"/>
      <c r="CMN1" s="182"/>
      <c r="CMO1" s="182"/>
      <c r="CMP1" s="182"/>
      <c r="CMQ1" s="182"/>
      <c r="CMR1" s="182"/>
      <c r="CMS1" s="182"/>
      <c r="CMT1" s="182"/>
      <c r="CMU1" s="182"/>
      <c r="CMV1" s="182"/>
      <c r="CMW1" s="182"/>
      <c r="CMX1" s="182"/>
      <c r="CMY1" s="182"/>
      <c r="CMZ1" s="182"/>
      <c r="CNA1" s="182"/>
      <c r="CNB1" s="182"/>
      <c r="CNC1" s="182"/>
      <c r="CND1" s="182"/>
      <c r="CNE1" s="182"/>
      <c r="CNF1" s="182"/>
      <c r="CNG1" s="182"/>
      <c r="CNH1" s="182"/>
      <c r="CNI1" s="182"/>
      <c r="CNJ1" s="182"/>
      <c r="CNK1" s="182"/>
      <c r="CNL1" s="182"/>
      <c r="CNM1" s="182"/>
      <c r="CNN1" s="182"/>
      <c r="CNO1" s="182"/>
      <c r="CNP1" s="182"/>
      <c r="CNQ1" s="182"/>
      <c r="CNR1" s="182"/>
      <c r="CNS1" s="182"/>
      <c r="CNT1" s="182"/>
      <c r="CNU1" s="182"/>
      <c r="CNV1" s="182"/>
      <c r="CNW1" s="182"/>
      <c r="CNX1" s="182"/>
      <c r="CNY1" s="182"/>
      <c r="CNZ1" s="182"/>
      <c r="COA1" s="182"/>
      <c r="COB1" s="182"/>
      <c r="COC1" s="182"/>
      <c r="COD1" s="182"/>
      <c r="COE1" s="182"/>
      <c r="COF1" s="182"/>
      <c r="COG1" s="182"/>
      <c r="COH1" s="182"/>
      <c r="COI1" s="182"/>
      <c r="COJ1" s="182"/>
      <c r="COK1" s="182"/>
      <c r="COL1" s="182"/>
      <c r="COM1" s="182"/>
      <c r="CON1" s="182"/>
      <c r="COO1" s="182"/>
      <c r="COP1" s="182"/>
      <c r="COQ1" s="182"/>
      <c r="COR1" s="182"/>
      <c r="COS1" s="182"/>
      <c r="COT1" s="182"/>
      <c r="COU1" s="182"/>
      <c r="COV1" s="182"/>
      <c r="COW1" s="182"/>
      <c r="COX1" s="182"/>
      <c r="COY1" s="182"/>
      <c r="COZ1" s="182"/>
      <c r="CPA1" s="182"/>
      <c r="CPB1" s="182"/>
      <c r="CPC1" s="182"/>
      <c r="CPD1" s="182"/>
      <c r="CPE1" s="182"/>
      <c r="CPF1" s="182"/>
      <c r="CPG1" s="182"/>
      <c r="CPH1" s="182"/>
      <c r="CPI1" s="182"/>
      <c r="CPJ1" s="182"/>
      <c r="CPK1" s="182"/>
      <c r="CPL1" s="182"/>
      <c r="CPM1" s="182"/>
      <c r="CPN1" s="182"/>
      <c r="CPO1" s="182"/>
      <c r="CPP1" s="182"/>
      <c r="CPQ1" s="182"/>
      <c r="CPR1" s="182"/>
      <c r="CPS1" s="182"/>
      <c r="CPT1" s="182"/>
      <c r="CPU1" s="182"/>
      <c r="CPV1" s="182"/>
      <c r="CPW1" s="182"/>
      <c r="CPX1" s="182"/>
      <c r="CPY1" s="182"/>
      <c r="CPZ1" s="182"/>
      <c r="CQA1" s="182"/>
      <c r="CQB1" s="182"/>
      <c r="CQC1" s="182"/>
      <c r="CQD1" s="182"/>
      <c r="CQE1" s="182"/>
      <c r="CQF1" s="182"/>
      <c r="CQG1" s="182"/>
      <c r="CQH1" s="182"/>
      <c r="CQI1" s="182"/>
      <c r="CQJ1" s="182"/>
      <c r="CQK1" s="182"/>
      <c r="CQL1" s="182"/>
      <c r="CQM1" s="182"/>
      <c r="CQN1" s="182"/>
      <c r="CQO1" s="182"/>
      <c r="CQP1" s="182"/>
      <c r="CQQ1" s="182"/>
      <c r="CQR1" s="182"/>
      <c r="CQS1" s="182"/>
      <c r="CQT1" s="182"/>
      <c r="CQU1" s="182"/>
      <c r="CQV1" s="182"/>
      <c r="CQW1" s="182"/>
      <c r="CQX1" s="182"/>
      <c r="CQY1" s="182"/>
      <c r="CQZ1" s="182"/>
      <c r="CRA1" s="182"/>
      <c r="CRB1" s="182"/>
      <c r="CRC1" s="182"/>
      <c r="CRD1" s="182"/>
      <c r="CRE1" s="182"/>
      <c r="CRF1" s="182"/>
      <c r="CRG1" s="182"/>
      <c r="CRH1" s="182"/>
      <c r="CRI1" s="182"/>
      <c r="CRJ1" s="182"/>
      <c r="CRK1" s="182"/>
      <c r="CRL1" s="182"/>
      <c r="CRM1" s="182"/>
      <c r="CRN1" s="182"/>
      <c r="CRO1" s="182"/>
      <c r="CRP1" s="182"/>
      <c r="CRQ1" s="182"/>
      <c r="CRR1" s="182"/>
      <c r="CRS1" s="182"/>
      <c r="CRT1" s="182"/>
      <c r="CRU1" s="182"/>
      <c r="CRV1" s="182"/>
      <c r="CRW1" s="182"/>
      <c r="CRX1" s="182"/>
      <c r="CRY1" s="182"/>
      <c r="CRZ1" s="182"/>
      <c r="CSA1" s="182"/>
      <c r="CSB1" s="182"/>
      <c r="CSC1" s="182"/>
      <c r="CSD1" s="182"/>
      <c r="CSE1" s="182"/>
      <c r="CSF1" s="182"/>
      <c r="CSG1" s="182"/>
      <c r="CSH1" s="182"/>
      <c r="CSI1" s="182"/>
      <c r="CSJ1" s="182"/>
      <c r="CSK1" s="182"/>
      <c r="CSL1" s="182"/>
      <c r="CSM1" s="182"/>
      <c r="CSN1" s="182"/>
      <c r="CSO1" s="182"/>
      <c r="CSP1" s="182"/>
      <c r="CSQ1" s="182"/>
      <c r="CSR1" s="182"/>
      <c r="CSS1" s="182"/>
      <c r="CST1" s="182"/>
      <c r="CSU1" s="182"/>
      <c r="CSV1" s="182"/>
      <c r="CSW1" s="182"/>
      <c r="CSX1" s="182"/>
      <c r="CSY1" s="182"/>
      <c r="CSZ1" s="182"/>
      <c r="CTA1" s="182"/>
      <c r="CTB1" s="182"/>
      <c r="CTC1" s="182"/>
      <c r="CTD1" s="182"/>
      <c r="CTE1" s="182"/>
      <c r="CTF1" s="182"/>
      <c r="CTG1" s="182"/>
      <c r="CTH1" s="182"/>
      <c r="CTI1" s="182"/>
      <c r="CTJ1" s="182"/>
      <c r="CTK1" s="182"/>
      <c r="CTL1" s="182"/>
      <c r="CTM1" s="182"/>
      <c r="CTN1" s="182"/>
      <c r="CTO1" s="182"/>
      <c r="CTP1" s="182"/>
      <c r="CTQ1" s="182"/>
      <c r="CTR1" s="182"/>
      <c r="CTS1" s="182"/>
      <c r="CTT1" s="182"/>
      <c r="CTU1" s="182"/>
      <c r="CTV1" s="182"/>
      <c r="CTW1" s="182"/>
      <c r="CTX1" s="182"/>
      <c r="CTY1" s="182"/>
      <c r="CTZ1" s="182"/>
      <c r="CUA1" s="182"/>
      <c r="CUB1" s="182"/>
      <c r="CUC1" s="182"/>
      <c r="CUD1" s="182"/>
      <c r="CUE1" s="182"/>
      <c r="CUF1" s="182"/>
      <c r="CUG1" s="182"/>
      <c r="CUH1" s="182"/>
      <c r="CUI1" s="182"/>
      <c r="CUJ1" s="182"/>
      <c r="CUK1" s="182"/>
      <c r="CUL1" s="182"/>
      <c r="CUM1" s="182"/>
      <c r="CUN1" s="182"/>
      <c r="CUO1" s="182"/>
      <c r="CUP1" s="182"/>
      <c r="CUQ1" s="182"/>
      <c r="CUR1" s="182"/>
      <c r="CUS1" s="182"/>
      <c r="CUT1" s="182"/>
      <c r="CUU1" s="182"/>
      <c r="CUV1" s="182"/>
      <c r="CUW1" s="182"/>
      <c r="CUX1" s="182"/>
      <c r="CUY1" s="182"/>
      <c r="CUZ1" s="182"/>
      <c r="CVA1" s="182"/>
      <c r="CVB1" s="182"/>
      <c r="CVC1" s="182"/>
      <c r="CVD1" s="182"/>
      <c r="CVE1" s="182"/>
      <c r="CVF1" s="182"/>
      <c r="CVG1" s="182"/>
      <c r="CVH1" s="182"/>
      <c r="CVI1" s="182"/>
      <c r="CVJ1" s="182"/>
      <c r="CVK1" s="182"/>
      <c r="CVL1" s="182"/>
      <c r="CVM1" s="182"/>
      <c r="CVN1" s="182"/>
      <c r="CVO1" s="182"/>
      <c r="CVP1" s="182"/>
      <c r="CVQ1" s="182"/>
      <c r="CVR1" s="182"/>
      <c r="CVS1" s="182"/>
      <c r="CVT1" s="182"/>
      <c r="CVU1" s="182"/>
      <c r="CVV1" s="182"/>
      <c r="CVW1" s="182"/>
      <c r="CVX1" s="182"/>
      <c r="CVY1" s="182"/>
      <c r="CVZ1" s="182"/>
      <c r="CWA1" s="182"/>
      <c r="CWB1" s="182"/>
      <c r="CWC1" s="182"/>
      <c r="CWD1" s="182"/>
      <c r="CWE1" s="182"/>
      <c r="CWF1" s="182"/>
      <c r="CWG1" s="182"/>
      <c r="CWH1" s="182"/>
      <c r="CWI1" s="182"/>
      <c r="CWJ1" s="182"/>
      <c r="CWK1" s="182"/>
      <c r="CWL1" s="182"/>
      <c r="CWM1" s="182"/>
      <c r="CWN1" s="182"/>
      <c r="CWO1" s="182"/>
      <c r="CWP1" s="182"/>
      <c r="CWQ1" s="182"/>
      <c r="CWR1" s="182"/>
      <c r="CWS1" s="182"/>
      <c r="CWT1" s="182"/>
      <c r="CWU1" s="182"/>
      <c r="CWV1" s="182"/>
      <c r="CWW1" s="182"/>
      <c r="CWX1" s="182"/>
      <c r="CWY1" s="182"/>
      <c r="CWZ1" s="182"/>
      <c r="CXA1" s="182"/>
      <c r="CXB1" s="182"/>
      <c r="CXC1" s="182"/>
      <c r="CXD1" s="182"/>
      <c r="CXE1" s="182"/>
      <c r="CXF1" s="182"/>
      <c r="CXG1" s="182"/>
      <c r="CXH1" s="182"/>
      <c r="CXI1" s="182"/>
      <c r="CXJ1" s="182"/>
      <c r="CXK1" s="182"/>
      <c r="CXL1" s="182"/>
      <c r="CXM1" s="182"/>
      <c r="CXN1" s="182"/>
      <c r="CXO1" s="182"/>
      <c r="CXP1" s="182"/>
      <c r="CXQ1" s="182"/>
      <c r="CXR1" s="182"/>
      <c r="CXS1" s="182"/>
      <c r="CXT1" s="182"/>
      <c r="CXU1" s="182"/>
      <c r="CXV1" s="182"/>
      <c r="CXW1" s="182"/>
      <c r="CXX1" s="182"/>
      <c r="CXY1" s="182"/>
      <c r="CXZ1" s="182"/>
      <c r="CYA1" s="182"/>
      <c r="CYB1" s="182"/>
      <c r="CYC1" s="182"/>
      <c r="CYD1" s="182"/>
      <c r="CYE1" s="182"/>
      <c r="CYF1" s="182"/>
      <c r="CYG1" s="182"/>
      <c r="CYH1" s="182"/>
      <c r="CYI1" s="182"/>
      <c r="CYJ1" s="182"/>
      <c r="CYK1" s="182"/>
      <c r="CYL1" s="182"/>
      <c r="CYM1" s="182"/>
      <c r="CYN1" s="182"/>
      <c r="CYO1" s="182"/>
      <c r="CYP1" s="182"/>
      <c r="CYQ1" s="182"/>
      <c r="CYR1" s="182"/>
      <c r="CYS1" s="182"/>
      <c r="CYT1" s="182"/>
      <c r="CYU1" s="182"/>
      <c r="CYV1" s="182"/>
      <c r="CYW1" s="182"/>
      <c r="CYX1" s="182"/>
      <c r="CYY1" s="182"/>
      <c r="CYZ1" s="182"/>
      <c r="CZA1" s="182"/>
      <c r="CZB1" s="182"/>
      <c r="CZC1" s="182"/>
      <c r="CZD1" s="182"/>
      <c r="CZE1" s="182"/>
      <c r="CZF1" s="182"/>
      <c r="CZG1" s="182"/>
      <c r="CZH1" s="182"/>
      <c r="CZI1" s="182"/>
      <c r="CZJ1" s="182"/>
      <c r="CZK1" s="182"/>
      <c r="CZL1" s="182"/>
      <c r="CZM1" s="182"/>
      <c r="CZN1" s="182"/>
      <c r="CZO1" s="182"/>
      <c r="CZP1" s="182"/>
      <c r="CZQ1" s="182"/>
      <c r="CZR1" s="182"/>
      <c r="CZS1" s="182"/>
      <c r="CZT1" s="182"/>
      <c r="CZU1" s="182"/>
      <c r="CZV1" s="182"/>
      <c r="CZW1" s="182"/>
      <c r="CZX1" s="182"/>
      <c r="CZY1" s="182"/>
      <c r="CZZ1" s="182"/>
      <c r="DAA1" s="182"/>
      <c r="DAB1" s="182"/>
      <c r="DAC1" s="182"/>
      <c r="DAD1" s="182"/>
      <c r="DAE1" s="182"/>
      <c r="DAF1" s="182"/>
      <c r="DAG1" s="182"/>
      <c r="DAH1" s="182"/>
      <c r="DAI1" s="182"/>
      <c r="DAJ1" s="182"/>
      <c r="DAK1" s="182"/>
      <c r="DAL1" s="182"/>
      <c r="DAM1" s="182"/>
      <c r="DAN1" s="182"/>
      <c r="DAO1" s="182"/>
      <c r="DAP1" s="182"/>
      <c r="DAQ1" s="182"/>
      <c r="DAR1" s="182"/>
      <c r="DAS1" s="182"/>
      <c r="DAT1" s="182"/>
      <c r="DAU1" s="182"/>
      <c r="DAV1" s="182"/>
      <c r="DAW1" s="182"/>
      <c r="DAX1" s="182"/>
      <c r="DAY1" s="182"/>
      <c r="DAZ1" s="182"/>
      <c r="DBA1" s="182"/>
      <c r="DBB1" s="182"/>
      <c r="DBC1" s="182"/>
      <c r="DBD1" s="182"/>
      <c r="DBE1" s="182"/>
      <c r="DBF1" s="182"/>
      <c r="DBG1" s="182"/>
      <c r="DBH1" s="182"/>
      <c r="DBI1" s="182"/>
      <c r="DBJ1" s="182"/>
      <c r="DBK1" s="182"/>
      <c r="DBL1" s="182"/>
      <c r="DBM1" s="182"/>
      <c r="DBN1" s="182"/>
      <c r="DBO1" s="182"/>
      <c r="DBP1" s="182"/>
      <c r="DBQ1" s="182"/>
      <c r="DBR1" s="182"/>
      <c r="DBS1" s="182"/>
      <c r="DBT1" s="182"/>
      <c r="DBU1" s="182"/>
      <c r="DBV1" s="182"/>
      <c r="DBW1" s="182"/>
      <c r="DBX1" s="182"/>
      <c r="DBY1" s="182"/>
      <c r="DBZ1" s="182"/>
      <c r="DCA1" s="182"/>
      <c r="DCB1" s="182"/>
      <c r="DCC1" s="182"/>
      <c r="DCD1" s="182"/>
      <c r="DCE1" s="182"/>
      <c r="DCF1" s="182"/>
      <c r="DCG1" s="182"/>
      <c r="DCH1" s="182"/>
      <c r="DCI1" s="182"/>
      <c r="DCJ1" s="182"/>
      <c r="DCK1" s="182"/>
      <c r="DCL1" s="182"/>
      <c r="DCM1" s="182"/>
      <c r="DCN1" s="182"/>
      <c r="DCO1" s="182"/>
      <c r="DCP1" s="182"/>
      <c r="DCQ1" s="182"/>
      <c r="DCR1" s="182"/>
      <c r="DCS1" s="182"/>
      <c r="DCT1" s="182"/>
      <c r="DCU1" s="182"/>
      <c r="DCV1" s="182"/>
      <c r="DCW1" s="182"/>
      <c r="DCX1" s="182"/>
      <c r="DCY1" s="182"/>
      <c r="DCZ1" s="182"/>
      <c r="DDA1" s="182"/>
      <c r="DDB1" s="182"/>
      <c r="DDC1" s="182"/>
      <c r="DDD1" s="182"/>
      <c r="DDE1" s="182"/>
      <c r="DDF1" s="182"/>
      <c r="DDG1" s="182"/>
      <c r="DDH1" s="182"/>
      <c r="DDI1" s="182"/>
      <c r="DDJ1" s="182"/>
      <c r="DDK1" s="182"/>
      <c r="DDL1" s="182"/>
      <c r="DDM1" s="182"/>
      <c r="DDN1" s="182"/>
      <c r="DDO1" s="182"/>
      <c r="DDP1" s="182"/>
      <c r="DDQ1" s="182"/>
      <c r="DDR1" s="182"/>
      <c r="DDS1" s="182"/>
      <c r="DDT1" s="182"/>
      <c r="DDU1" s="182"/>
      <c r="DDV1" s="182"/>
      <c r="DDW1" s="182"/>
      <c r="DDX1" s="182"/>
      <c r="DDY1" s="182"/>
      <c r="DDZ1" s="182"/>
      <c r="DEA1" s="182"/>
      <c r="DEB1" s="182"/>
      <c r="DEC1" s="182"/>
      <c r="DED1" s="182"/>
      <c r="DEE1" s="182"/>
      <c r="DEF1" s="182"/>
      <c r="DEG1" s="182"/>
      <c r="DEH1" s="182"/>
      <c r="DEI1" s="182"/>
      <c r="DEJ1" s="182"/>
      <c r="DEK1" s="182"/>
      <c r="DEL1" s="182"/>
      <c r="DEM1" s="182"/>
      <c r="DEN1" s="182"/>
      <c r="DEO1" s="182"/>
      <c r="DEP1" s="182"/>
      <c r="DEQ1" s="182"/>
      <c r="DER1" s="182"/>
      <c r="DES1" s="182"/>
      <c r="DET1" s="182"/>
      <c r="DEU1" s="182"/>
      <c r="DEV1" s="182"/>
      <c r="DEW1" s="182"/>
      <c r="DEX1" s="182"/>
      <c r="DEY1" s="182"/>
      <c r="DEZ1" s="182"/>
      <c r="DFA1" s="182"/>
      <c r="DFB1" s="182"/>
      <c r="DFC1" s="182"/>
      <c r="DFD1" s="182"/>
      <c r="DFE1" s="182"/>
      <c r="DFF1" s="182"/>
      <c r="DFG1" s="182"/>
      <c r="DFH1" s="182"/>
      <c r="DFI1" s="182"/>
      <c r="DFJ1" s="182"/>
      <c r="DFK1" s="182"/>
      <c r="DFL1" s="182"/>
      <c r="DFM1" s="182"/>
      <c r="DFN1" s="182"/>
      <c r="DFO1" s="182"/>
      <c r="DFP1" s="182"/>
      <c r="DFQ1" s="182"/>
      <c r="DFR1" s="182"/>
      <c r="DFS1" s="182"/>
      <c r="DFT1" s="182"/>
      <c r="DFU1" s="182"/>
      <c r="DFV1" s="182"/>
      <c r="DFW1" s="182"/>
      <c r="DFX1" s="182"/>
      <c r="DFY1" s="182"/>
      <c r="DFZ1" s="182"/>
      <c r="DGA1" s="182"/>
      <c r="DGB1" s="182"/>
      <c r="DGC1" s="182"/>
      <c r="DGD1" s="182"/>
      <c r="DGE1" s="182"/>
      <c r="DGF1" s="182"/>
      <c r="DGG1" s="182"/>
      <c r="DGH1" s="182"/>
      <c r="DGI1" s="182"/>
      <c r="DGJ1" s="182"/>
      <c r="DGK1" s="182"/>
      <c r="DGL1" s="182"/>
      <c r="DGM1" s="182"/>
      <c r="DGN1" s="182"/>
      <c r="DGO1" s="182"/>
      <c r="DGP1" s="182"/>
      <c r="DGQ1" s="182"/>
      <c r="DGR1" s="182"/>
      <c r="DGS1" s="182"/>
      <c r="DGT1" s="182"/>
      <c r="DGU1" s="182"/>
      <c r="DGV1" s="182"/>
      <c r="DGW1" s="182"/>
      <c r="DGX1" s="182"/>
      <c r="DGY1" s="182"/>
      <c r="DGZ1" s="182"/>
      <c r="DHA1" s="182"/>
      <c r="DHB1" s="182"/>
      <c r="DHC1" s="182"/>
      <c r="DHD1" s="182"/>
      <c r="DHE1" s="182"/>
      <c r="DHF1" s="182"/>
      <c r="DHG1" s="182"/>
      <c r="DHH1" s="182"/>
      <c r="DHI1" s="182"/>
      <c r="DHJ1" s="182"/>
      <c r="DHK1" s="182"/>
      <c r="DHL1" s="182"/>
      <c r="DHM1" s="182"/>
      <c r="DHN1" s="182"/>
      <c r="DHO1" s="182"/>
      <c r="DHP1" s="182"/>
      <c r="DHQ1" s="182"/>
      <c r="DHR1" s="182"/>
      <c r="DHS1" s="182"/>
      <c r="DHT1" s="182"/>
      <c r="DHU1" s="182"/>
      <c r="DHV1" s="182"/>
      <c r="DHW1" s="182"/>
      <c r="DHX1" s="182"/>
      <c r="DHY1" s="182"/>
      <c r="DHZ1" s="182"/>
      <c r="DIA1" s="182"/>
      <c r="DIB1" s="182"/>
      <c r="DIC1" s="182"/>
      <c r="DID1" s="182"/>
      <c r="DIE1" s="182"/>
      <c r="DIF1" s="182"/>
      <c r="DIG1" s="182"/>
      <c r="DIH1" s="182"/>
      <c r="DII1" s="182"/>
      <c r="DIJ1" s="182"/>
      <c r="DIK1" s="182"/>
      <c r="DIL1" s="182"/>
      <c r="DIM1" s="182"/>
      <c r="DIN1" s="182"/>
      <c r="DIO1" s="182"/>
      <c r="DIP1" s="182"/>
      <c r="DIQ1" s="182"/>
      <c r="DIR1" s="182"/>
      <c r="DIS1" s="182"/>
      <c r="DIT1" s="182"/>
      <c r="DIU1" s="182"/>
      <c r="DIV1" s="182"/>
      <c r="DIW1" s="182"/>
      <c r="DIX1" s="182"/>
      <c r="DIY1" s="182"/>
      <c r="DIZ1" s="182"/>
      <c r="DJA1" s="182"/>
      <c r="DJB1" s="182"/>
      <c r="DJC1" s="182"/>
      <c r="DJD1" s="182"/>
      <c r="DJE1" s="182"/>
      <c r="DJF1" s="182"/>
      <c r="DJG1" s="182"/>
      <c r="DJH1" s="182"/>
      <c r="DJI1" s="182"/>
      <c r="DJJ1" s="182"/>
      <c r="DJK1" s="182"/>
      <c r="DJL1" s="182"/>
      <c r="DJM1" s="182"/>
      <c r="DJN1" s="182"/>
      <c r="DJO1" s="182"/>
      <c r="DJP1" s="182"/>
      <c r="DJQ1" s="182"/>
      <c r="DJR1" s="182"/>
      <c r="DJS1" s="182"/>
      <c r="DJT1" s="182"/>
      <c r="DJU1" s="182"/>
      <c r="DJV1" s="182"/>
      <c r="DJW1" s="182"/>
      <c r="DJX1" s="182"/>
      <c r="DJY1" s="182"/>
      <c r="DJZ1" s="182"/>
      <c r="DKA1" s="182"/>
      <c r="DKB1" s="182"/>
      <c r="DKC1" s="182"/>
      <c r="DKD1" s="182"/>
      <c r="DKE1" s="182"/>
      <c r="DKF1" s="182"/>
      <c r="DKG1" s="182"/>
      <c r="DKH1" s="182"/>
      <c r="DKI1" s="182"/>
      <c r="DKJ1" s="182"/>
      <c r="DKK1" s="182"/>
      <c r="DKL1" s="182"/>
      <c r="DKM1" s="182"/>
      <c r="DKN1" s="182"/>
      <c r="DKO1" s="182"/>
      <c r="DKP1" s="182"/>
      <c r="DKQ1" s="182"/>
      <c r="DKR1" s="182"/>
      <c r="DKS1" s="182"/>
      <c r="DKT1" s="182"/>
      <c r="DKU1" s="182"/>
      <c r="DKV1" s="182"/>
      <c r="DKW1" s="182"/>
      <c r="DKX1" s="182"/>
      <c r="DKY1" s="182"/>
      <c r="DKZ1" s="182"/>
      <c r="DLA1" s="182"/>
      <c r="DLB1" s="182"/>
      <c r="DLC1" s="182"/>
      <c r="DLD1" s="182"/>
      <c r="DLE1" s="182"/>
      <c r="DLF1" s="182"/>
      <c r="DLG1" s="182"/>
      <c r="DLH1" s="182"/>
      <c r="DLI1" s="182"/>
      <c r="DLJ1" s="182"/>
      <c r="DLK1" s="182"/>
      <c r="DLL1" s="182"/>
      <c r="DLM1" s="182"/>
      <c r="DLN1" s="182"/>
      <c r="DLO1" s="182"/>
      <c r="DLP1" s="182"/>
      <c r="DLQ1" s="182"/>
      <c r="DLR1" s="182"/>
      <c r="DLS1" s="182"/>
      <c r="DLT1" s="182"/>
      <c r="DLU1" s="182"/>
      <c r="DLV1" s="182"/>
      <c r="DLW1" s="182"/>
      <c r="DLX1" s="182"/>
      <c r="DLY1" s="182"/>
      <c r="DLZ1" s="182"/>
      <c r="DMA1" s="182"/>
      <c r="DMB1" s="182"/>
      <c r="DMC1" s="182"/>
      <c r="DMD1" s="182"/>
      <c r="DME1" s="182"/>
      <c r="DMF1" s="182"/>
      <c r="DMG1" s="182"/>
      <c r="DMH1" s="182"/>
      <c r="DMI1" s="182"/>
      <c r="DMJ1" s="182"/>
      <c r="DMK1" s="182"/>
      <c r="DML1" s="182"/>
      <c r="DMM1" s="182"/>
      <c r="DMN1" s="182"/>
      <c r="DMO1" s="182"/>
      <c r="DMP1" s="182"/>
      <c r="DMQ1" s="182"/>
      <c r="DMR1" s="182"/>
      <c r="DMS1" s="182"/>
      <c r="DMT1" s="182"/>
      <c r="DMU1" s="182"/>
      <c r="DMV1" s="182"/>
      <c r="DMW1" s="182"/>
      <c r="DMX1" s="182"/>
      <c r="DMY1" s="182"/>
      <c r="DMZ1" s="182"/>
      <c r="DNA1" s="182"/>
      <c r="DNB1" s="182"/>
      <c r="DNC1" s="182"/>
      <c r="DND1" s="182"/>
      <c r="DNE1" s="182"/>
      <c r="DNF1" s="182"/>
      <c r="DNG1" s="182"/>
      <c r="DNH1" s="182"/>
      <c r="DNI1" s="182"/>
      <c r="DNJ1" s="182"/>
      <c r="DNK1" s="182"/>
      <c r="DNL1" s="182"/>
      <c r="DNM1" s="182"/>
      <c r="DNN1" s="182"/>
      <c r="DNO1" s="182"/>
      <c r="DNP1" s="182"/>
      <c r="DNQ1" s="182"/>
      <c r="DNR1" s="182"/>
      <c r="DNS1" s="182"/>
      <c r="DNT1" s="182"/>
      <c r="DNU1" s="182"/>
      <c r="DNV1" s="182"/>
      <c r="DNW1" s="182"/>
      <c r="DNX1" s="182"/>
      <c r="DNY1" s="182"/>
      <c r="DNZ1" s="182"/>
      <c r="DOA1" s="182"/>
      <c r="DOB1" s="182"/>
      <c r="DOC1" s="182"/>
      <c r="DOD1" s="182"/>
      <c r="DOE1" s="182"/>
      <c r="DOF1" s="182"/>
      <c r="DOG1" s="182"/>
      <c r="DOH1" s="182"/>
      <c r="DOI1" s="182"/>
      <c r="DOJ1" s="182"/>
      <c r="DOK1" s="182"/>
      <c r="DOL1" s="182"/>
      <c r="DOM1" s="182"/>
      <c r="DON1" s="182"/>
      <c r="DOO1" s="182"/>
      <c r="DOP1" s="182"/>
      <c r="DOQ1" s="182"/>
      <c r="DOR1" s="182"/>
      <c r="DOS1" s="182"/>
      <c r="DOT1" s="182"/>
      <c r="DOU1" s="182"/>
      <c r="DOV1" s="182"/>
      <c r="DOW1" s="182"/>
      <c r="DOX1" s="182"/>
      <c r="DOY1" s="182"/>
      <c r="DOZ1" s="182"/>
      <c r="DPA1" s="182"/>
      <c r="DPB1" s="182"/>
      <c r="DPC1" s="182"/>
      <c r="DPD1" s="182"/>
      <c r="DPE1" s="182"/>
      <c r="DPF1" s="182"/>
      <c r="DPG1" s="182"/>
      <c r="DPH1" s="182"/>
      <c r="DPI1" s="182"/>
      <c r="DPJ1" s="182"/>
      <c r="DPK1" s="182"/>
      <c r="DPL1" s="182"/>
      <c r="DPM1" s="182"/>
      <c r="DPN1" s="182"/>
      <c r="DPO1" s="182"/>
      <c r="DPP1" s="182"/>
      <c r="DPQ1" s="182"/>
      <c r="DPR1" s="182"/>
      <c r="DPS1" s="182"/>
      <c r="DPT1" s="182"/>
      <c r="DPU1" s="182"/>
      <c r="DPV1" s="182"/>
      <c r="DPW1" s="182"/>
      <c r="DPX1" s="182"/>
      <c r="DPY1" s="182"/>
      <c r="DPZ1" s="182"/>
      <c r="DQA1" s="182"/>
      <c r="DQB1" s="182"/>
      <c r="DQC1" s="182"/>
      <c r="DQD1" s="182"/>
      <c r="DQE1" s="182"/>
      <c r="DQF1" s="182"/>
      <c r="DQG1" s="182"/>
      <c r="DQH1" s="182"/>
      <c r="DQI1" s="182"/>
      <c r="DQJ1" s="182"/>
      <c r="DQK1" s="182"/>
      <c r="DQL1" s="182"/>
      <c r="DQM1" s="182"/>
      <c r="DQN1" s="182"/>
      <c r="DQO1" s="182"/>
      <c r="DQP1" s="182"/>
      <c r="DQQ1" s="182"/>
      <c r="DQR1" s="182"/>
      <c r="DQS1" s="182"/>
      <c r="DQT1" s="182"/>
      <c r="DQU1" s="182"/>
      <c r="DQV1" s="182"/>
      <c r="DQW1" s="182"/>
      <c r="DQX1" s="182"/>
      <c r="DQY1" s="182"/>
      <c r="DQZ1" s="182"/>
      <c r="DRA1" s="182"/>
      <c r="DRB1" s="182"/>
      <c r="DRC1" s="182"/>
      <c r="DRD1" s="182"/>
      <c r="DRE1" s="182"/>
      <c r="DRF1" s="182"/>
      <c r="DRG1" s="182"/>
      <c r="DRH1" s="182"/>
      <c r="DRI1" s="182"/>
      <c r="DRJ1" s="182"/>
      <c r="DRK1" s="182"/>
      <c r="DRL1" s="182"/>
      <c r="DRM1" s="182"/>
      <c r="DRN1" s="182"/>
      <c r="DRO1" s="182"/>
      <c r="DRP1" s="182"/>
      <c r="DRQ1" s="182"/>
      <c r="DRR1" s="182"/>
      <c r="DRS1" s="182"/>
      <c r="DRT1" s="182"/>
      <c r="DRU1" s="182"/>
      <c r="DRV1" s="182"/>
      <c r="DRW1" s="182"/>
      <c r="DRX1" s="182"/>
      <c r="DRY1" s="182"/>
      <c r="DRZ1" s="182"/>
      <c r="DSA1" s="182"/>
      <c r="DSB1" s="182"/>
      <c r="DSC1" s="182"/>
      <c r="DSD1" s="182"/>
      <c r="DSE1" s="182"/>
      <c r="DSF1" s="182"/>
      <c r="DSG1" s="182"/>
      <c r="DSH1" s="182"/>
      <c r="DSI1" s="182"/>
      <c r="DSJ1" s="182"/>
      <c r="DSK1" s="182"/>
      <c r="DSL1" s="182"/>
      <c r="DSM1" s="182"/>
      <c r="DSN1" s="182"/>
      <c r="DSO1" s="182"/>
      <c r="DSP1" s="182"/>
      <c r="DSQ1" s="182"/>
      <c r="DSR1" s="182"/>
      <c r="DSS1" s="182"/>
      <c r="DST1" s="182"/>
      <c r="DSU1" s="182"/>
      <c r="DSV1" s="182"/>
      <c r="DSW1" s="182"/>
      <c r="DSX1" s="182"/>
      <c r="DSY1" s="182"/>
      <c r="DSZ1" s="182"/>
      <c r="DTA1" s="182"/>
      <c r="DTB1" s="182"/>
      <c r="DTC1" s="182"/>
      <c r="DTD1" s="182"/>
      <c r="DTE1" s="182"/>
      <c r="DTF1" s="182"/>
      <c r="DTG1" s="182"/>
      <c r="DTH1" s="182"/>
      <c r="DTI1" s="182"/>
      <c r="DTJ1" s="182"/>
      <c r="DTK1" s="182"/>
      <c r="DTL1" s="182"/>
      <c r="DTM1" s="182"/>
      <c r="DTN1" s="182"/>
      <c r="DTO1" s="182"/>
      <c r="DTP1" s="182"/>
      <c r="DTQ1" s="182"/>
      <c r="DTR1" s="182"/>
      <c r="DTS1" s="182"/>
      <c r="DTT1" s="182"/>
      <c r="DTU1" s="182"/>
      <c r="DTV1" s="182"/>
      <c r="DTW1" s="182"/>
      <c r="DTX1" s="182"/>
      <c r="DTY1" s="182"/>
      <c r="DTZ1" s="182"/>
      <c r="DUA1" s="182"/>
      <c r="DUB1" s="182"/>
      <c r="DUC1" s="182"/>
      <c r="DUD1" s="182"/>
      <c r="DUE1" s="182"/>
      <c r="DUF1" s="182"/>
      <c r="DUG1" s="182"/>
      <c r="DUH1" s="182"/>
      <c r="DUI1" s="182"/>
      <c r="DUJ1" s="182"/>
      <c r="DUK1" s="182"/>
      <c r="DUL1" s="182"/>
      <c r="DUM1" s="182"/>
      <c r="DUN1" s="182"/>
      <c r="DUO1" s="182"/>
      <c r="DUP1" s="182"/>
      <c r="DUQ1" s="182"/>
      <c r="DUR1" s="182"/>
      <c r="DUS1" s="182"/>
      <c r="DUT1" s="182"/>
      <c r="DUU1" s="182"/>
      <c r="DUV1" s="182"/>
      <c r="DUW1" s="182"/>
      <c r="DUX1" s="182"/>
      <c r="DUY1" s="182"/>
      <c r="DUZ1" s="182"/>
      <c r="DVA1" s="182"/>
      <c r="DVB1" s="182"/>
      <c r="DVC1" s="182"/>
      <c r="DVD1" s="182"/>
      <c r="DVE1" s="182"/>
      <c r="DVF1" s="182"/>
      <c r="DVG1" s="182"/>
      <c r="DVH1" s="182"/>
      <c r="DVI1" s="182"/>
      <c r="DVJ1" s="182"/>
      <c r="DVK1" s="182"/>
      <c r="DVL1" s="182"/>
      <c r="DVM1" s="182"/>
      <c r="DVN1" s="182"/>
      <c r="DVO1" s="182"/>
      <c r="DVP1" s="182"/>
      <c r="DVQ1" s="182"/>
      <c r="DVR1" s="182"/>
      <c r="DVS1" s="182"/>
      <c r="DVT1" s="182"/>
      <c r="DVU1" s="182"/>
      <c r="DVV1" s="182"/>
      <c r="DVW1" s="182"/>
      <c r="DVX1" s="182"/>
      <c r="DVY1" s="182"/>
      <c r="DVZ1" s="182"/>
      <c r="DWA1" s="182"/>
      <c r="DWB1" s="182"/>
      <c r="DWC1" s="182"/>
      <c r="DWD1" s="182"/>
      <c r="DWE1" s="182"/>
      <c r="DWF1" s="182"/>
      <c r="DWG1" s="182"/>
      <c r="DWH1" s="182"/>
      <c r="DWI1" s="182"/>
      <c r="DWJ1" s="182"/>
      <c r="DWK1" s="182"/>
      <c r="DWL1" s="182"/>
      <c r="DWM1" s="182"/>
      <c r="DWN1" s="182"/>
      <c r="DWO1" s="182"/>
      <c r="DWP1" s="182"/>
      <c r="DWQ1" s="182"/>
      <c r="DWR1" s="182"/>
      <c r="DWS1" s="182"/>
      <c r="DWT1" s="182"/>
      <c r="DWU1" s="182"/>
      <c r="DWV1" s="182"/>
      <c r="DWW1" s="182"/>
      <c r="DWX1" s="182"/>
      <c r="DWY1" s="182"/>
      <c r="DWZ1" s="182"/>
      <c r="DXA1" s="182"/>
      <c r="DXB1" s="182"/>
      <c r="DXC1" s="182"/>
      <c r="DXD1" s="182"/>
      <c r="DXE1" s="182"/>
      <c r="DXF1" s="182"/>
      <c r="DXG1" s="182"/>
      <c r="DXH1" s="182"/>
      <c r="DXI1" s="182"/>
      <c r="DXJ1" s="182"/>
      <c r="DXK1" s="182"/>
      <c r="DXL1" s="182"/>
      <c r="DXM1" s="182"/>
      <c r="DXN1" s="182"/>
      <c r="DXO1" s="182"/>
      <c r="DXP1" s="182"/>
      <c r="DXQ1" s="182"/>
      <c r="DXR1" s="182"/>
      <c r="DXS1" s="182"/>
      <c r="DXT1" s="182"/>
      <c r="DXU1" s="182"/>
      <c r="DXV1" s="182"/>
      <c r="DXW1" s="182"/>
      <c r="DXX1" s="182"/>
      <c r="DXY1" s="182"/>
      <c r="DXZ1" s="182"/>
      <c r="DYA1" s="182"/>
      <c r="DYB1" s="182"/>
      <c r="DYC1" s="182"/>
      <c r="DYD1" s="182"/>
      <c r="DYE1" s="182"/>
      <c r="DYF1" s="182"/>
      <c r="DYG1" s="182"/>
      <c r="DYH1" s="182"/>
      <c r="DYI1" s="182"/>
      <c r="DYJ1" s="182"/>
      <c r="DYK1" s="182"/>
      <c r="DYL1" s="182"/>
      <c r="DYM1" s="182"/>
      <c r="DYN1" s="182"/>
      <c r="DYO1" s="182"/>
      <c r="DYP1" s="182"/>
      <c r="DYQ1" s="182"/>
      <c r="DYR1" s="182"/>
      <c r="DYS1" s="182"/>
      <c r="DYT1" s="182"/>
      <c r="DYU1" s="182"/>
      <c r="DYV1" s="182"/>
      <c r="DYW1" s="182"/>
      <c r="DYX1" s="182"/>
      <c r="DYY1" s="182"/>
      <c r="DYZ1" s="182"/>
      <c r="DZA1" s="182"/>
      <c r="DZB1" s="182"/>
      <c r="DZC1" s="182"/>
      <c r="DZD1" s="182"/>
      <c r="DZE1" s="182"/>
      <c r="DZF1" s="182"/>
      <c r="DZG1" s="182"/>
      <c r="DZH1" s="182"/>
      <c r="DZI1" s="182"/>
      <c r="DZJ1" s="182"/>
      <c r="DZK1" s="182"/>
      <c r="DZL1" s="182"/>
      <c r="DZM1" s="182"/>
      <c r="DZN1" s="182"/>
      <c r="DZO1" s="182"/>
      <c r="DZP1" s="182"/>
      <c r="DZQ1" s="182"/>
      <c r="DZR1" s="182"/>
      <c r="DZS1" s="182"/>
      <c r="DZT1" s="182"/>
      <c r="DZU1" s="182"/>
      <c r="DZV1" s="182"/>
      <c r="DZW1" s="182"/>
      <c r="DZX1" s="182"/>
      <c r="DZY1" s="182"/>
      <c r="DZZ1" s="182"/>
      <c r="EAA1" s="182"/>
      <c r="EAB1" s="182"/>
      <c r="EAC1" s="182"/>
      <c r="EAD1" s="182"/>
      <c r="EAE1" s="182"/>
      <c r="EAF1" s="182"/>
      <c r="EAG1" s="182"/>
      <c r="EAH1" s="182"/>
      <c r="EAI1" s="182"/>
      <c r="EAJ1" s="182"/>
      <c r="EAK1" s="182"/>
      <c r="EAL1" s="182"/>
      <c r="EAM1" s="182"/>
      <c r="EAN1" s="182"/>
      <c r="EAO1" s="182"/>
      <c r="EAP1" s="182"/>
      <c r="EAQ1" s="182"/>
      <c r="EAR1" s="182"/>
      <c r="EAS1" s="182"/>
      <c r="EAT1" s="182"/>
      <c r="EAU1" s="182"/>
      <c r="EAV1" s="182"/>
      <c r="EAW1" s="182"/>
      <c r="EAX1" s="182"/>
      <c r="EAY1" s="182"/>
      <c r="EAZ1" s="182"/>
      <c r="EBA1" s="182"/>
      <c r="EBB1" s="182"/>
      <c r="EBC1" s="182"/>
      <c r="EBD1" s="182"/>
      <c r="EBE1" s="182"/>
      <c r="EBF1" s="182"/>
      <c r="EBG1" s="182"/>
      <c r="EBH1" s="182"/>
      <c r="EBI1" s="182"/>
      <c r="EBJ1" s="182"/>
      <c r="EBK1" s="182"/>
      <c r="EBL1" s="182"/>
      <c r="EBM1" s="182"/>
      <c r="EBN1" s="182"/>
      <c r="EBO1" s="182"/>
      <c r="EBP1" s="182"/>
      <c r="EBQ1" s="182"/>
      <c r="EBR1" s="182"/>
      <c r="EBS1" s="182"/>
      <c r="EBT1" s="182"/>
      <c r="EBU1" s="182"/>
      <c r="EBV1" s="182"/>
      <c r="EBW1" s="182"/>
      <c r="EBX1" s="182"/>
      <c r="EBY1" s="182"/>
      <c r="EBZ1" s="182"/>
      <c r="ECA1" s="182"/>
      <c r="ECB1" s="182"/>
      <c r="ECC1" s="182"/>
      <c r="ECD1" s="182"/>
      <c r="ECE1" s="182"/>
      <c r="ECF1" s="182"/>
      <c r="ECG1" s="182"/>
      <c r="ECH1" s="182"/>
      <c r="ECI1" s="182"/>
      <c r="ECJ1" s="182"/>
      <c r="ECK1" s="182"/>
      <c r="ECL1" s="182"/>
      <c r="ECM1" s="182"/>
      <c r="ECN1" s="182"/>
      <c r="ECO1" s="182"/>
      <c r="ECP1" s="182"/>
      <c r="ECQ1" s="182"/>
      <c r="ECR1" s="182"/>
      <c r="ECS1" s="182"/>
      <c r="ECT1" s="182"/>
      <c r="ECU1" s="182"/>
      <c r="ECV1" s="182"/>
      <c r="ECW1" s="182"/>
      <c r="ECX1" s="182"/>
      <c r="ECY1" s="182"/>
      <c r="ECZ1" s="182"/>
      <c r="EDA1" s="182"/>
      <c r="EDB1" s="182"/>
      <c r="EDC1" s="182"/>
      <c r="EDD1" s="182"/>
      <c r="EDE1" s="182"/>
      <c r="EDF1" s="182"/>
      <c r="EDG1" s="182"/>
      <c r="EDH1" s="182"/>
      <c r="EDI1" s="182"/>
      <c r="EDJ1" s="182"/>
      <c r="EDK1" s="182"/>
      <c r="EDL1" s="182"/>
      <c r="EDM1" s="182"/>
      <c r="EDN1" s="182"/>
      <c r="EDO1" s="182"/>
      <c r="EDP1" s="182"/>
      <c r="EDQ1" s="182"/>
      <c r="EDR1" s="182"/>
      <c r="EDS1" s="182"/>
      <c r="EDT1" s="182"/>
      <c r="EDU1" s="182"/>
      <c r="EDV1" s="182"/>
      <c r="EDW1" s="182"/>
      <c r="EDX1" s="182"/>
      <c r="EDY1" s="182"/>
      <c r="EDZ1" s="182"/>
      <c r="EEA1" s="182"/>
      <c r="EEB1" s="182"/>
      <c r="EEC1" s="182"/>
      <c r="EED1" s="182"/>
      <c r="EEE1" s="182"/>
      <c r="EEF1" s="182"/>
      <c r="EEG1" s="182"/>
      <c r="EEH1" s="182"/>
      <c r="EEI1" s="182"/>
      <c r="EEJ1" s="182"/>
      <c r="EEK1" s="182"/>
      <c r="EEL1" s="182"/>
      <c r="EEM1" s="182"/>
      <c r="EEN1" s="182"/>
      <c r="EEO1" s="182"/>
      <c r="EEP1" s="182"/>
      <c r="EEQ1" s="182"/>
      <c r="EER1" s="182"/>
      <c r="EES1" s="182"/>
      <c r="EET1" s="182"/>
      <c r="EEU1" s="182"/>
      <c r="EEV1" s="182"/>
      <c r="EEW1" s="182"/>
      <c r="EEX1" s="182"/>
      <c r="EEY1" s="182"/>
      <c r="EEZ1" s="182"/>
      <c r="EFA1" s="182"/>
      <c r="EFB1" s="182"/>
      <c r="EFC1" s="182"/>
      <c r="EFD1" s="182"/>
      <c r="EFE1" s="182"/>
      <c r="EFF1" s="182"/>
      <c r="EFG1" s="182"/>
      <c r="EFH1" s="182"/>
      <c r="EFI1" s="182"/>
      <c r="EFJ1" s="182"/>
      <c r="EFK1" s="182"/>
      <c r="EFL1" s="182"/>
      <c r="EFM1" s="182"/>
      <c r="EFN1" s="182"/>
      <c r="EFO1" s="182"/>
      <c r="EFP1" s="182"/>
      <c r="EFQ1" s="182"/>
      <c r="EFR1" s="182"/>
      <c r="EFS1" s="182"/>
      <c r="EFT1" s="182"/>
      <c r="EFU1" s="182"/>
      <c r="EFV1" s="182"/>
      <c r="EFW1" s="182"/>
      <c r="EFX1" s="182"/>
      <c r="EFY1" s="182"/>
      <c r="EFZ1" s="182"/>
      <c r="EGA1" s="182"/>
      <c r="EGB1" s="182"/>
      <c r="EGC1" s="182"/>
      <c r="EGD1" s="182"/>
      <c r="EGE1" s="182"/>
      <c r="EGF1" s="182"/>
      <c r="EGG1" s="182"/>
      <c r="EGH1" s="182"/>
      <c r="EGI1" s="182"/>
      <c r="EGJ1" s="182"/>
      <c r="EGK1" s="182"/>
      <c r="EGL1" s="182"/>
      <c r="EGM1" s="182"/>
      <c r="EGN1" s="182"/>
      <c r="EGO1" s="182"/>
      <c r="EGP1" s="182"/>
      <c r="EGQ1" s="182"/>
      <c r="EGR1" s="182"/>
      <c r="EGS1" s="182"/>
      <c r="EGT1" s="182"/>
      <c r="EGU1" s="182"/>
      <c r="EGV1" s="182"/>
      <c r="EGW1" s="182"/>
      <c r="EGX1" s="182"/>
      <c r="EGY1" s="182"/>
      <c r="EGZ1" s="182"/>
      <c r="EHA1" s="182"/>
      <c r="EHB1" s="182"/>
      <c r="EHC1" s="182"/>
      <c r="EHD1" s="182"/>
      <c r="EHE1" s="182"/>
      <c r="EHF1" s="182"/>
      <c r="EHG1" s="182"/>
      <c r="EHH1" s="182"/>
      <c r="EHI1" s="182"/>
      <c r="EHJ1" s="182"/>
      <c r="EHK1" s="182"/>
      <c r="EHL1" s="182"/>
      <c r="EHM1" s="182"/>
      <c r="EHN1" s="182"/>
      <c r="EHO1" s="182"/>
      <c r="EHP1" s="182"/>
      <c r="EHQ1" s="182"/>
      <c r="EHR1" s="182"/>
      <c r="EHS1" s="182"/>
      <c r="EHT1" s="182"/>
      <c r="EHU1" s="182"/>
      <c r="EHV1" s="182"/>
      <c r="EHW1" s="182"/>
      <c r="EHX1" s="182"/>
      <c r="EHY1" s="182"/>
      <c r="EHZ1" s="182"/>
      <c r="EIA1" s="182"/>
      <c r="EIB1" s="182"/>
      <c r="EIC1" s="182"/>
      <c r="EID1" s="182"/>
      <c r="EIE1" s="182"/>
      <c r="EIF1" s="182"/>
      <c r="EIG1" s="182"/>
      <c r="EIH1" s="182"/>
      <c r="EII1" s="182"/>
      <c r="EIJ1" s="182"/>
      <c r="EIK1" s="182"/>
      <c r="EIL1" s="182"/>
      <c r="EIM1" s="182"/>
      <c r="EIN1" s="182"/>
      <c r="EIO1" s="182"/>
      <c r="EIP1" s="182"/>
      <c r="EIQ1" s="182"/>
      <c r="EIR1" s="182"/>
      <c r="EIS1" s="182"/>
      <c r="EIT1" s="182"/>
      <c r="EIU1" s="182"/>
      <c r="EIV1" s="182"/>
      <c r="EIW1" s="182"/>
      <c r="EIX1" s="182"/>
      <c r="EIY1" s="182"/>
      <c r="EIZ1" s="182"/>
      <c r="EJA1" s="182"/>
      <c r="EJB1" s="182"/>
      <c r="EJC1" s="182"/>
      <c r="EJD1" s="182"/>
      <c r="EJE1" s="182"/>
      <c r="EJF1" s="182"/>
      <c r="EJG1" s="182"/>
      <c r="EJH1" s="182"/>
      <c r="EJI1" s="182"/>
      <c r="EJJ1" s="182"/>
      <c r="EJK1" s="182"/>
      <c r="EJL1" s="182"/>
      <c r="EJM1" s="182"/>
      <c r="EJN1" s="182"/>
      <c r="EJO1" s="182"/>
      <c r="EJP1" s="182"/>
      <c r="EJQ1" s="182"/>
      <c r="EJR1" s="182"/>
      <c r="EJS1" s="182"/>
      <c r="EJT1" s="182"/>
      <c r="EJU1" s="182"/>
      <c r="EJV1" s="182"/>
      <c r="EJW1" s="182"/>
      <c r="EJX1" s="182"/>
      <c r="EJY1" s="182"/>
      <c r="EJZ1" s="182"/>
      <c r="EKA1" s="182"/>
      <c r="EKB1" s="182"/>
      <c r="EKC1" s="182"/>
      <c r="EKD1" s="182"/>
      <c r="EKE1" s="182"/>
      <c r="EKF1" s="182"/>
      <c r="EKG1" s="182"/>
      <c r="EKH1" s="182"/>
      <c r="EKI1" s="182"/>
      <c r="EKJ1" s="182"/>
      <c r="EKK1" s="182"/>
      <c r="EKL1" s="182"/>
      <c r="EKM1" s="182"/>
      <c r="EKN1" s="182"/>
      <c r="EKO1" s="182"/>
      <c r="EKP1" s="182"/>
      <c r="EKQ1" s="182"/>
      <c r="EKR1" s="182"/>
      <c r="EKS1" s="182"/>
      <c r="EKT1" s="182"/>
      <c r="EKU1" s="182"/>
      <c r="EKV1" s="182"/>
      <c r="EKW1" s="182"/>
      <c r="EKX1" s="182"/>
      <c r="EKY1" s="182"/>
      <c r="EKZ1" s="182"/>
      <c r="ELA1" s="182"/>
      <c r="ELB1" s="182"/>
      <c r="ELC1" s="182"/>
      <c r="ELD1" s="182"/>
      <c r="ELE1" s="182"/>
      <c r="ELF1" s="182"/>
      <c r="ELG1" s="182"/>
      <c r="ELH1" s="182"/>
      <c r="ELI1" s="182"/>
      <c r="ELJ1" s="182"/>
      <c r="ELK1" s="182"/>
      <c r="ELL1" s="182"/>
      <c r="ELM1" s="182"/>
      <c r="ELN1" s="182"/>
      <c r="ELO1" s="182"/>
      <c r="ELP1" s="182"/>
      <c r="ELQ1" s="182"/>
      <c r="ELR1" s="182"/>
      <c r="ELS1" s="182"/>
      <c r="ELT1" s="182"/>
      <c r="ELU1" s="182"/>
      <c r="ELV1" s="182"/>
      <c r="ELW1" s="182"/>
      <c r="ELX1" s="182"/>
      <c r="ELY1" s="182"/>
      <c r="ELZ1" s="182"/>
      <c r="EMA1" s="182"/>
      <c r="EMB1" s="182"/>
      <c r="EMC1" s="182"/>
      <c r="EMD1" s="182"/>
      <c r="EME1" s="182"/>
      <c r="EMF1" s="182"/>
      <c r="EMG1" s="182"/>
      <c r="EMH1" s="182"/>
      <c r="EMI1" s="182"/>
      <c r="EMJ1" s="182"/>
      <c r="EMK1" s="182"/>
      <c r="EML1" s="182"/>
      <c r="EMM1" s="182"/>
      <c r="EMN1" s="182"/>
      <c r="EMO1" s="182"/>
      <c r="EMP1" s="182"/>
      <c r="EMQ1" s="182"/>
      <c r="EMR1" s="182"/>
      <c r="EMS1" s="182"/>
      <c r="EMT1" s="182"/>
      <c r="EMU1" s="182"/>
      <c r="EMV1" s="182"/>
      <c r="EMW1" s="182"/>
      <c r="EMX1" s="182"/>
      <c r="EMY1" s="182"/>
      <c r="EMZ1" s="182"/>
      <c r="ENA1" s="182"/>
      <c r="ENB1" s="182"/>
      <c r="ENC1" s="182"/>
      <c r="END1" s="182"/>
      <c r="ENE1" s="182"/>
      <c r="ENF1" s="182"/>
      <c r="ENG1" s="182"/>
      <c r="ENH1" s="182"/>
      <c r="ENI1" s="182"/>
      <c r="ENJ1" s="182"/>
      <c r="ENK1" s="182"/>
      <c r="ENL1" s="182"/>
      <c r="ENM1" s="182"/>
      <c r="ENN1" s="182"/>
      <c r="ENO1" s="182"/>
      <c r="ENP1" s="182"/>
      <c r="ENQ1" s="182"/>
      <c r="ENR1" s="182"/>
      <c r="ENS1" s="182"/>
      <c r="ENT1" s="182"/>
      <c r="ENU1" s="182"/>
      <c r="ENV1" s="182"/>
      <c r="ENW1" s="182"/>
      <c r="ENX1" s="182"/>
      <c r="ENY1" s="182"/>
      <c r="ENZ1" s="182"/>
      <c r="EOA1" s="182"/>
      <c r="EOB1" s="182"/>
      <c r="EOC1" s="182"/>
      <c r="EOD1" s="182"/>
      <c r="EOE1" s="182"/>
      <c r="EOF1" s="182"/>
      <c r="EOG1" s="182"/>
      <c r="EOH1" s="182"/>
      <c r="EOI1" s="182"/>
      <c r="EOJ1" s="182"/>
      <c r="EOK1" s="182"/>
      <c r="EOL1" s="182"/>
      <c r="EOM1" s="182"/>
      <c r="EON1" s="182"/>
      <c r="EOO1" s="182"/>
      <c r="EOP1" s="182"/>
      <c r="EOQ1" s="182"/>
      <c r="EOR1" s="182"/>
      <c r="EOS1" s="182"/>
      <c r="EOT1" s="182"/>
      <c r="EOU1" s="182"/>
      <c r="EOV1" s="182"/>
      <c r="EOW1" s="182"/>
      <c r="EOX1" s="182"/>
      <c r="EOY1" s="182"/>
      <c r="EOZ1" s="182"/>
      <c r="EPA1" s="182"/>
      <c r="EPB1" s="182"/>
      <c r="EPC1" s="182"/>
      <c r="EPD1" s="182"/>
      <c r="EPE1" s="182"/>
      <c r="EPF1" s="182"/>
      <c r="EPG1" s="182"/>
      <c r="EPH1" s="182"/>
      <c r="EPI1" s="182"/>
      <c r="EPJ1" s="182"/>
      <c r="EPK1" s="182"/>
      <c r="EPL1" s="182"/>
      <c r="EPM1" s="182"/>
      <c r="EPN1" s="182"/>
      <c r="EPO1" s="182"/>
      <c r="EPP1" s="182"/>
      <c r="EPQ1" s="182"/>
      <c r="EPR1" s="182"/>
      <c r="EPS1" s="182"/>
      <c r="EPT1" s="182"/>
      <c r="EPU1" s="182"/>
      <c r="EPV1" s="182"/>
      <c r="EPW1" s="182"/>
      <c r="EPX1" s="182"/>
      <c r="EPY1" s="182"/>
      <c r="EPZ1" s="182"/>
      <c r="EQA1" s="182"/>
      <c r="EQB1" s="182"/>
      <c r="EQC1" s="182"/>
      <c r="EQD1" s="182"/>
      <c r="EQE1" s="182"/>
      <c r="EQF1" s="182"/>
      <c r="EQG1" s="182"/>
      <c r="EQH1" s="182"/>
      <c r="EQI1" s="182"/>
      <c r="EQJ1" s="182"/>
      <c r="EQK1" s="182"/>
      <c r="EQL1" s="182"/>
      <c r="EQM1" s="182"/>
      <c r="EQN1" s="182"/>
      <c r="EQO1" s="182"/>
      <c r="EQP1" s="182"/>
      <c r="EQQ1" s="182"/>
      <c r="EQR1" s="182"/>
      <c r="EQS1" s="182"/>
      <c r="EQT1" s="182"/>
      <c r="EQU1" s="182"/>
      <c r="EQV1" s="182"/>
      <c r="EQW1" s="182"/>
      <c r="EQX1" s="182"/>
      <c r="EQY1" s="182"/>
      <c r="EQZ1" s="182"/>
      <c r="ERA1" s="182"/>
      <c r="ERB1" s="182"/>
      <c r="ERC1" s="182"/>
      <c r="ERD1" s="182"/>
      <c r="ERE1" s="182"/>
      <c r="ERF1" s="182"/>
      <c r="ERG1" s="182"/>
      <c r="ERH1" s="182"/>
      <c r="ERI1" s="182"/>
      <c r="ERJ1" s="182"/>
      <c r="ERK1" s="182"/>
      <c r="ERL1" s="182"/>
      <c r="ERM1" s="182"/>
      <c r="ERN1" s="182"/>
      <c r="ERO1" s="182"/>
      <c r="ERP1" s="182"/>
      <c r="ERQ1" s="182"/>
      <c r="ERR1" s="182"/>
      <c r="ERS1" s="182"/>
      <c r="ERT1" s="182"/>
      <c r="ERU1" s="182"/>
      <c r="ERV1" s="182"/>
      <c r="ERW1" s="182"/>
      <c r="ERX1" s="182"/>
      <c r="ERY1" s="182"/>
      <c r="ERZ1" s="182"/>
      <c r="ESA1" s="182"/>
      <c r="ESB1" s="182"/>
      <c r="ESC1" s="182"/>
      <c r="ESD1" s="182"/>
      <c r="ESE1" s="182"/>
      <c r="ESF1" s="182"/>
      <c r="ESG1" s="182"/>
      <c r="ESH1" s="182"/>
      <c r="ESI1" s="182"/>
      <c r="ESJ1" s="182"/>
      <c r="ESK1" s="182"/>
      <c r="ESL1" s="182"/>
      <c r="ESM1" s="182"/>
      <c r="ESN1" s="182"/>
      <c r="ESO1" s="182"/>
      <c r="ESP1" s="182"/>
      <c r="ESQ1" s="182"/>
      <c r="ESR1" s="182"/>
      <c r="ESS1" s="182"/>
      <c r="EST1" s="182"/>
      <c r="ESU1" s="182"/>
      <c r="ESV1" s="182"/>
      <c r="ESW1" s="182"/>
      <c r="ESX1" s="182"/>
      <c r="ESY1" s="182"/>
      <c r="ESZ1" s="182"/>
      <c r="ETA1" s="182"/>
      <c r="ETB1" s="182"/>
      <c r="ETC1" s="182"/>
      <c r="ETD1" s="182"/>
      <c r="ETE1" s="182"/>
      <c r="ETF1" s="182"/>
      <c r="ETG1" s="182"/>
      <c r="ETH1" s="182"/>
      <c r="ETI1" s="182"/>
      <c r="ETJ1" s="182"/>
      <c r="ETK1" s="182"/>
      <c r="ETL1" s="182"/>
      <c r="ETM1" s="182"/>
      <c r="ETN1" s="182"/>
      <c r="ETO1" s="182"/>
      <c r="ETP1" s="182"/>
      <c r="ETQ1" s="182"/>
      <c r="ETR1" s="182"/>
      <c r="ETS1" s="182"/>
      <c r="ETT1" s="182"/>
      <c r="ETU1" s="182"/>
      <c r="ETV1" s="182"/>
      <c r="ETW1" s="182"/>
      <c r="ETX1" s="182"/>
      <c r="ETY1" s="182"/>
      <c r="ETZ1" s="182"/>
      <c r="EUA1" s="182"/>
      <c r="EUB1" s="182"/>
      <c r="EUC1" s="182"/>
      <c r="EUD1" s="182"/>
      <c r="EUE1" s="182"/>
      <c r="EUF1" s="182"/>
      <c r="EUG1" s="182"/>
      <c r="EUH1" s="182"/>
      <c r="EUI1" s="182"/>
      <c r="EUJ1" s="182"/>
      <c r="EUK1" s="182"/>
      <c r="EUL1" s="182"/>
      <c r="EUM1" s="182"/>
      <c r="EUN1" s="182"/>
      <c r="EUO1" s="182"/>
      <c r="EUP1" s="182"/>
      <c r="EUQ1" s="182"/>
      <c r="EUR1" s="182"/>
      <c r="EUS1" s="182"/>
      <c r="EUT1" s="182"/>
      <c r="EUU1" s="182"/>
      <c r="EUV1" s="182"/>
      <c r="EUW1" s="182"/>
      <c r="EUX1" s="182"/>
      <c r="EUY1" s="182"/>
      <c r="EUZ1" s="182"/>
      <c r="EVA1" s="182"/>
      <c r="EVB1" s="182"/>
      <c r="EVC1" s="182"/>
      <c r="EVD1" s="182"/>
      <c r="EVE1" s="182"/>
      <c r="EVF1" s="182"/>
      <c r="EVG1" s="182"/>
      <c r="EVH1" s="182"/>
      <c r="EVI1" s="182"/>
      <c r="EVJ1" s="182"/>
      <c r="EVK1" s="182"/>
      <c r="EVL1" s="182"/>
      <c r="EVM1" s="182"/>
      <c r="EVN1" s="182"/>
      <c r="EVO1" s="182"/>
      <c r="EVP1" s="182"/>
      <c r="EVQ1" s="182"/>
      <c r="EVR1" s="182"/>
      <c r="EVS1" s="182"/>
      <c r="EVT1" s="182"/>
      <c r="EVU1" s="182"/>
      <c r="EVV1" s="182"/>
      <c r="EVW1" s="182"/>
      <c r="EVX1" s="182"/>
      <c r="EVY1" s="182"/>
      <c r="EVZ1" s="182"/>
      <c r="EWA1" s="182"/>
      <c r="EWB1" s="182"/>
      <c r="EWC1" s="182"/>
      <c r="EWD1" s="182"/>
      <c r="EWE1" s="182"/>
      <c r="EWF1" s="182"/>
      <c r="EWG1" s="182"/>
      <c r="EWH1" s="182"/>
      <c r="EWI1" s="182"/>
      <c r="EWJ1" s="182"/>
      <c r="EWK1" s="182"/>
      <c r="EWL1" s="182"/>
      <c r="EWM1" s="182"/>
      <c r="EWN1" s="182"/>
      <c r="EWO1" s="182"/>
      <c r="EWP1" s="182"/>
      <c r="EWQ1" s="182"/>
      <c r="EWR1" s="182"/>
      <c r="EWS1" s="182"/>
      <c r="EWT1" s="182"/>
      <c r="EWU1" s="182"/>
      <c r="EWV1" s="182"/>
      <c r="EWW1" s="182"/>
      <c r="EWX1" s="182"/>
      <c r="EWY1" s="182"/>
      <c r="EWZ1" s="182"/>
      <c r="EXA1" s="182"/>
      <c r="EXB1" s="182"/>
      <c r="EXC1" s="182"/>
      <c r="EXD1" s="182"/>
      <c r="EXE1" s="182"/>
      <c r="EXF1" s="182"/>
      <c r="EXG1" s="182"/>
      <c r="EXH1" s="182"/>
      <c r="EXI1" s="182"/>
      <c r="EXJ1" s="182"/>
      <c r="EXK1" s="182"/>
      <c r="EXL1" s="182"/>
      <c r="EXM1" s="182"/>
      <c r="EXN1" s="182"/>
      <c r="EXO1" s="182"/>
      <c r="EXP1" s="182"/>
      <c r="EXQ1" s="182"/>
      <c r="EXR1" s="182"/>
      <c r="EXS1" s="182"/>
      <c r="EXT1" s="182"/>
      <c r="EXU1" s="182"/>
      <c r="EXV1" s="182"/>
      <c r="EXW1" s="182"/>
      <c r="EXX1" s="182"/>
      <c r="EXY1" s="182"/>
      <c r="EXZ1" s="182"/>
      <c r="EYA1" s="182"/>
      <c r="EYB1" s="182"/>
      <c r="EYC1" s="182"/>
      <c r="EYD1" s="182"/>
      <c r="EYE1" s="182"/>
      <c r="EYF1" s="182"/>
      <c r="EYG1" s="182"/>
      <c r="EYH1" s="182"/>
      <c r="EYI1" s="182"/>
      <c r="EYJ1" s="182"/>
      <c r="EYK1" s="182"/>
      <c r="EYL1" s="182"/>
      <c r="EYM1" s="182"/>
      <c r="EYN1" s="182"/>
      <c r="EYO1" s="182"/>
      <c r="EYP1" s="182"/>
      <c r="EYQ1" s="182"/>
      <c r="EYR1" s="182"/>
      <c r="EYS1" s="182"/>
      <c r="EYT1" s="182"/>
      <c r="EYU1" s="182"/>
      <c r="EYV1" s="182"/>
      <c r="EYW1" s="182"/>
      <c r="EYX1" s="182"/>
      <c r="EYY1" s="182"/>
      <c r="EYZ1" s="182"/>
      <c r="EZA1" s="182"/>
      <c r="EZB1" s="182"/>
      <c r="EZC1" s="182"/>
      <c r="EZD1" s="182"/>
      <c r="EZE1" s="182"/>
      <c r="EZF1" s="182"/>
      <c r="EZG1" s="182"/>
      <c r="EZH1" s="182"/>
      <c r="EZI1" s="182"/>
      <c r="EZJ1" s="182"/>
      <c r="EZK1" s="182"/>
      <c r="EZL1" s="182"/>
      <c r="EZM1" s="182"/>
      <c r="EZN1" s="182"/>
      <c r="EZO1" s="182"/>
      <c r="EZP1" s="182"/>
      <c r="EZQ1" s="182"/>
      <c r="EZR1" s="182"/>
      <c r="EZS1" s="182"/>
      <c r="EZT1" s="182"/>
      <c r="EZU1" s="182"/>
      <c r="EZV1" s="182"/>
      <c r="EZW1" s="182"/>
      <c r="EZX1" s="182"/>
      <c r="EZY1" s="182"/>
      <c r="EZZ1" s="182"/>
      <c r="FAA1" s="182"/>
      <c r="FAB1" s="182"/>
      <c r="FAC1" s="182"/>
      <c r="FAD1" s="182"/>
      <c r="FAE1" s="182"/>
      <c r="FAF1" s="182"/>
      <c r="FAG1" s="182"/>
      <c r="FAH1" s="182"/>
      <c r="FAI1" s="182"/>
      <c r="FAJ1" s="182"/>
      <c r="FAK1" s="182"/>
      <c r="FAL1" s="182"/>
      <c r="FAM1" s="182"/>
      <c r="FAN1" s="182"/>
      <c r="FAO1" s="182"/>
      <c r="FAP1" s="182"/>
      <c r="FAQ1" s="182"/>
      <c r="FAR1" s="182"/>
      <c r="FAS1" s="182"/>
      <c r="FAT1" s="182"/>
      <c r="FAU1" s="182"/>
      <c r="FAV1" s="182"/>
      <c r="FAW1" s="182"/>
      <c r="FAX1" s="182"/>
      <c r="FAY1" s="182"/>
      <c r="FAZ1" s="182"/>
      <c r="FBA1" s="182"/>
      <c r="FBB1" s="182"/>
      <c r="FBC1" s="182"/>
      <c r="FBD1" s="182"/>
      <c r="FBE1" s="182"/>
      <c r="FBF1" s="182"/>
      <c r="FBG1" s="182"/>
      <c r="FBH1" s="182"/>
      <c r="FBI1" s="182"/>
      <c r="FBJ1" s="182"/>
      <c r="FBK1" s="182"/>
      <c r="FBL1" s="182"/>
      <c r="FBM1" s="182"/>
      <c r="FBN1" s="182"/>
      <c r="FBO1" s="182"/>
      <c r="FBP1" s="182"/>
      <c r="FBQ1" s="182"/>
      <c r="FBR1" s="182"/>
      <c r="FBS1" s="182"/>
      <c r="FBT1" s="182"/>
      <c r="FBU1" s="182"/>
      <c r="FBV1" s="182"/>
      <c r="FBW1" s="182"/>
      <c r="FBX1" s="182"/>
      <c r="FBY1" s="182"/>
      <c r="FBZ1" s="182"/>
      <c r="FCA1" s="182"/>
      <c r="FCB1" s="182"/>
      <c r="FCC1" s="182"/>
      <c r="FCD1" s="182"/>
      <c r="FCE1" s="182"/>
      <c r="FCF1" s="182"/>
      <c r="FCG1" s="182"/>
      <c r="FCH1" s="182"/>
      <c r="FCI1" s="182"/>
      <c r="FCJ1" s="182"/>
      <c r="FCK1" s="182"/>
      <c r="FCL1" s="182"/>
      <c r="FCM1" s="182"/>
      <c r="FCN1" s="182"/>
      <c r="FCO1" s="182"/>
      <c r="FCP1" s="182"/>
      <c r="FCQ1" s="182"/>
      <c r="FCR1" s="182"/>
      <c r="FCS1" s="182"/>
      <c r="FCT1" s="182"/>
      <c r="FCU1" s="182"/>
      <c r="FCV1" s="182"/>
      <c r="FCW1" s="182"/>
      <c r="FCX1" s="182"/>
      <c r="FCY1" s="182"/>
      <c r="FCZ1" s="182"/>
      <c r="FDA1" s="182"/>
      <c r="FDB1" s="182"/>
      <c r="FDC1" s="182"/>
      <c r="FDD1" s="182"/>
      <c r="FDE1" s="182"/>
      <c r="FDF1" s="182"/>
      <c r="FDG1" s="182"/>
      <c r="FDH1" s="182"/>
      <c r="FDI1" s="182"/>
      <c r="FDJ1" s="182"/>
      <c r="FDK1" s="182"/>
      <c r="FDL1" s="182"/>
      <c r="FDM1" s="182"/>
      <c r="FDN1" s="182"/>
      <c r="FDO1" s="182"/>
      <c r="FDP1" s="182"/>
      <c r="FDQ1" s="182"/>
      <c r="FDR1" s="182"/>
      <c r="FDS1" s="182"/>
      <c r="FDT1" s="182"/>
      <c r="FDU1" s="182"/>
      <c r="FDV1" s="182"/>
      <c r="FDW1" s="182"/>
      <c r="FDX1" s="182"/>
      <c r="FDY1" s="182"/>
      <c r="FDZ1" s="182"/>
      <c r="FEA1" s="182"/>
      <c r="FEB1" s="182"/>
      <c r="FEC1" s="182"/>
      <c r="FED1" s="182"/>
      <c r="FEE1" s="182"/>
      <c r="FEF1" s="182"/>
      <c r="FEG1" s="182"/>
      <c r="FEH1" s="182"/>
      <c r="FEI1" s="182"/>
      <c r="FEJ1" s="182"/>
      <c r="FEK1" s="182"/>
      <c r="FEL1" s="182"/>
      <c r="FEM1" s="182"/>
      <c r="FEN1" s="182"/>
      <c r="FEO1" s="182"/>
      <c r="FEP1" s="182"/>
      <c r="FEQ1" s="182"/>
      <c r="FER1" s="182"/>
      <c r="FES1" s="182"/>
      <c r="FET1" s="182"/>
      <c r="FEU1" s="182"/>
      <c r="FEV1" s="182"/>
      <c r="FEW1" s="182"/>
      <c r="FEX1" s="182"/>
      <c r="FEY1" s="182"/>
      <c r="FEZ1" s="182"/>
      <c r="FFA1" s="182"/>
      <c r="FFB1" s="182"/>
      <c r="FFC1" s="182"/>
      <c r="FFD1" s="182"/>
      <c r="FFE1" s="182"/>
      <c r="FFF1" s="182"/>
      <c r="FFG1" s="182"/>
      <c r="FFH1" s="182"/>
      <c r="FFI1" s="182"/>
      <c r="FFJ1" s="182"/>
      <c r="FFK1" s="182"/>
      <c r="FFL1" s="182"/>
      <c r="FFM1" s="182"/>
      <c r="FFN1" s="182"/>
      <c r="FFO1" s="182"/>
      <c r="FFP1" s="182"/>
      <c r="FFQ1" s="182"/>
      <c r="FFR1" s="182"/>
      <c r="FFS1" s="182"/>
      <c r="FFT1" s="182"/>
      <c r="FFU1" s="182"/>
      <c r="FFV1" s="182"/>
      <c r="FFW1" s="182"/>
      <c r="FFX1" s="182"/>
      <c r="FFY1" s="182"/>
      <c r="FFZ1" s="182"/>
      <c r="FGA1" s="182"/>
      <c r="FGB1" s="182"/>
      <c r="FGC1" s="182"/>
      <c r="FGD1" s="182"/>
      <c r="FGE1" s="182"/>
      <c r="FGF1" s="182"/>
      <c r="FGG1" s="182"/>
      <c r="FGH1" s="182"/>
      <c r="FGI1" s="182"/>
      <c r="FGJ1" s="182"/>
      <c r="FGK1" s="182"/>
      <c r="FGL1" s="182"/>
      <c r="FGM1" s="182"/>
      <c r="FGN1" s="182"/>
      <c r="FGO1" s="182"/>
      <c r="FGP1" s="182"/>
      <c r="FGQ1" s="182"/>
      <c r="FGR1" s="182"/>
      <c r="FGS1" s="182"/>
      <c r="FGT1" s="182"/>
      <c r="FGU1" s="182"/>
      <c r="FGV1" s="182"/>
      <c r="FGW1" s="182"/>
      <c r="FGX1" s="182"/>
      <c r="FGY1" s="182"/>
      <c r="FGZ1" s="182"/>
      <c r="FHA1" s="182"/>
      <c r="FHB1" s="182"/>
      <c r="FHC1" s="182"/>
      <c r="FHD1" s="182"/>
      <c r="FHE1" s="182"/>
      <c r="FHF1" s="182"/>
      <c r="FHG1" s="182"/>
      <c r="FHH1" s="182"/>
      <c r="FHI1" s="182"/>
      <c r="FHJ1" s="182"/>
      <c r="FHK1" s="182"/>
      <c r="FHL1" s="182"/>
      <c r="FHM1" s="182"/>
      <c r="FHN1" s="182"/>
      <c r="FHO1" s="182"/>
      <c r="FHP1" s="182"/>
      <c r="FHQ1" s="182"/>
      <c r="FHR1" s="182"/>
      <c r="FHS1" s="182"/>
      <c r="FHT1" s="182"/>
      <c r="FHU1" s="182"/>
      <c r="FHV1" s="182"/>
      <c r="FHW1" s="182"/>
      <c r="FHX1" s="182"/>
      <c r="FHY1" s="182"/>
      <c r="FHZ1" s="182"/>
      <c r="FIA1" s="182"/>
      <c r="FIB1" s="182"/>
      <c r="FIC1" s="182"/>
      <c r="FID1" s="182"/>
      <c r="FIE1" s="182"/>
      <c r="FIF1" s="182"/>
      <c r="FIG1" s="182"/>
      <c r="FIH1" s="182"/>
      <c r="FII1" s="182"/>
      <c r="FIJ1" s="182"/>
      <c r="FIK1" s="182"/>
      <c r="FIL1" s="182"/>
      <c r="FIM1" s="182"/>
      <c r="FIN1" s="182"/>
      <c r="FIO1" s="182"/>
      <c r="FIP1" s="182"/>
      <c r="FIQ1" s="182"/>
      <c r="FIR1" s="182"/>
      <c r="FIS1" s="182"/>
      <c r="FIT1" s="182"/>
      <c r="FIU1" s="182"/>
      <c r="FIV1" s="182"/>
      <c r="FIW1" s="182"/>
      <c r="FIX1" s="182"/>
      <c r="FIY1" s="182"/>
      <c r="FIZ1" s="182"/>
      <c r="FJA1" s="182"/>
      <c r="FJB1" s="182"/>
      <c r="FJC1" s="182"/>
      <c r="FJD1" s="182"/>
      <c r="FJE1" s="182"/>
      <c r="FJF1" s="182"/>
      <c r="FJG1" s="182"/>
      <c r="FJH1" s="182"/>
      <c r="FJI1" s="182"/>
      <c r="FJJ1" s="182"/>
      <c r="FJK1" s="182"/>
      <c r="FJL1" s="182"/>
      <c r="FJM1" s="182"/>
      <c r="FJN1" s="182"/>
      <c r="FJO1" s="182"/>
      <c r="FJP1" s="182"/>
      <c r="FJQ1" s="182"/>
      <c r="FJR1" s="182"/>
      <c r="FJS1" s="182"/>
      <c r="FJT1" s="182"/>
      <c r="FJU1" s="182"/>
      <c r="FJV1" s="182"/>
      <c r="FJW1" s="182"/>
      <c r="FJX1" s="182"/>
      <c r="FJY1" s="182"/>
      <c r="FJZ1" s="182"/>
      <c r="FKA1" s="182"/>
      <c r="FKB1" s="182"/>
      <c r="FKC1" s="182"/>
      <c r="FKD1" s="182"/>
      <c r="FKE1" s="182"/>
      <c r="FKF1" s="182"/>
      <c r="FKG1" s="182"/>
      <c r="FKH1" s="182"/>
      <c r="FKI1" s="182"/>
      <c r="FKJ1" s="182"/>
      <c r="FKK1" s="182"/>
      <c r="FKL1" s="182"/>
      <c r="FKM1" s="182"/>
      <c r="FKN1" s="182"/>
      <c r="FKO1" s="182"/>
      <c r="FKP1" s="182"/>
      <c r="FKQ1" s="182"/>
      <c r="FKR1" s="182"/>
      <c r="FKS1" s="182"/>
      <c r="FKT1" s="182"/>
      <c r="FKU1" s="182"/>
      <c r="FKV1" s="182"/>
      <c r="FKW1" s="182"/>
      <c r="FKX1" s="182"/>
      <c r="FKY1" s="182"/>
      <c r="FKZ1" s="182"/>
      <c r="FLA1" s="182"/>
      <c r="FLB1" s="182"/>
      <c r="FLC1" s="182"/>
      <c r="FLD1" s="182"/>
      <c r="FLE1" s="182"/>
      <c r="FLF1" s="182"/>
      <c r="FLG1" s="182"/>
      <c r="FLH1" s="182"/>
      <c r="FLI1" s="182"/>
      <c r="FLJ1" s="182"/>
      <c r="FLK1" s="182"/>
      <c r="FLL1" s="182"/>
      <c r="FLM1" s="182"/>
      <c r="FLN1" s="182"/>
      <c r="FLO1" s="182"/>
      <c r="FLP1" s="182"/>
      <c r="FLQ1" s="182"/>
      <c r="FLR1" s="182"/>
      <c r="FLS1" s="182"/>
      <c r="FLT1" s="182"/>
      <c r="FLU1" s="182"/>
      <c r="FLV1" s="182"/>
      <c r="FLW1" s="182"/>
      <c r="FLX1" s="182"/>
      <c r="FLY1" s="182"/>
      <c r="FLZ1" s="182"/>
      <c r="FMA1" s="182"/>
      <c r="FMB1" s="182"/>
      <c r="FMC1" s="182"/>
      <c r="FMD1" s="182"/>
      <c r="FME1" s="182"/>
      <c r="FMF1" s="182"/>
      <c r="FMG1" s="182"/>
      <c r="FMH1" s="182"/>
      <c r="FMI1" s="182"/>
      <c r="FMJ1" s="182"/>
      <c r="FMK1" s="182"/>
      <c r="FML1" s="182"/>
      <c r="FMM1" s="182"/>
      <c r="FMN1" s="182"/>
      <c r="FMO1" s="182"/>
      <c r="FMP1" s="182"/>
      <c r="FMQ1" s="182"/>
      <c r="FMR1" s="182"/>
      <c r="FMS1" s="182"/>
      <c r="FMT1" s="182"/>
      <c r="FMU1" s="182"/>
      <c r="FMV1" s="182"/>
      <c r="FMW1" s="182"/>
      <c r="FMX1" s="182"/>
      <c r="FMY1" s="182"/>
      <c r="FMZ1" s="182"/>
      <c r="FNA1" s="182"/>
      <c r="FNB1" s="182"/>
      <c r="FNC1" s="182"/>
      <c r="FND1" s="182"/>
      <c r="FNE1" s="182"/>
      <c r="FNF1" s="182"/>
      <c r="FNG1" s="182"/>
      <c r="FNH1" s="182"/>
      <c r="FNI1" s="182"/>
      <c r="FNJ1" s="182"/>
      <c r="FNK1" s="182"/>
      <c r="FNL1" s="182"/>
      <c r="FNM1" s="182"/>
      <c r="FNN1" s="182"/>
      <c r="FNO1" s="182"/>
      <c r="FNP1" s="182"/>
      <c r="FNQ1" s="182"/>
      <c r="FNR1" s="182"/>
      <c r="FNS1" s="182"/>
      <c r="FNT1" s="182"/>
      <c r="FNU1" s="182"/>
      <c r="FNV1" s="182"/>
      <c r="FNW1" s="182"/>
      <c r="FNX1" s="182"/>
      <c r="FNY1" s="182"/>
      <c r="FNZ1" s="182"/>
      <c r="FOA1" s="182"/>
      <c r="FOB1" s="182"/>
      <c r="FOC1" s="182"/>
      <c r="FOD1" s="182"/>
      <c r="FOE1" s="182"/>
      <c r="FOF1" s="182"/>
      <c r="FOG1" s="182"/>
      <c r="FOH1" s="182"/>
      <c r="FOI1" s="182"/>
      <c r="FOJ1" s="182"/>
      <c r="FOK1" s="182"/>
      <c r="FOL1" s="182"/>
      <c r="FOM1" s="182"/>
      <c r="FON1" s="182"/>
      <c r="FOO1" s="182"/>
      <c r="FOP1" s="182"/>
      <c r="FOQ1" s="182"/>
      <c r="FOR1" s="182"/>
      <c r="FOS1" s="182"/>
      <c r="FOT1" s="182"/>
      <c r="FOU1" s="182"/>
      <c r="FOV1" s="182"/>
      <c r="FOW1" s="182"/>
      <c r="FOX1" s="182"/>
      <c r="FOY1" s="182"/>
      <c r="FOZ1" s="182"/>
      <c r="FPA1" s="182"/>
      <c r="FPB1" s="182"/>
      <c r="FPC1" s="182"/>
      <c r="FPD1" s="182"/>
      <c r="FPE1" s="182"/>
      <c r="FPF1" s="182"/>
      <c r="FPG1" s="182"/>
      <c r="FPH1" s="182"/>
      <c r="FPI1" s="182"/>
      <c r="FPJ1" s="182"/>
      <c r="FPK1" s="182"/>
      <c r="FPL1" s="182"/>
      <c r="FPM1" s="182"/>
      <c r="FPN1" s="182"/>
      <c r="FPO1" s="182"/>
      <c r="FPP1" s="182"/>
      <c r="FPQ1" s="182"/>
      <c r="FPR1" s="182"/>
      <c r="FPS1" s="182"/>
      <c r="FPT1" s="182"/>
      <c r="FPU1" s="182"/>
      <c r="FPV1" s="182"/>
      <c r="FPW1" s="182"/>
      <c r="FPX1" s="182"/>
      <c r="FPY1" s="182"/>
      <c r="FPZ1" s="182"/>
      <c r="FQA1" s="182"/>
      <c r="FQB1" s="182"/>
      <c r="FQC1" s="182"/>
      <c r="FQD1" s="182"/>
      <c r="FQE1" s="182"/>
      <c r="FQF1" s="182"/>
      <c r="FQG1" s="182"/>
      <c r="FQH1" s="182"/>
      <c r="FQI1" s="182"/>
      <c r="FQJ1" s="182"/>
      <c r="FQK1" s="182"/>
      <c r="FQL1" s="182"/>
      <c r="FQM1" s="182"/>
      <c r="FQN1" s="182"/>
      <c r="FQO1" s="182"/>
      <c r="FQP1" s="182"/>
      <c r="FQQ1" s="182"/>
      <c r="FQR1" s="182"/>
      <c r="FQS1" s="182"/>
      <c r="FQT1" s="182"/>
      <c r="FQU1" s="182"/>
      <c r="FQV1" s="182"/>
      <c r="FQW1" s="182"/>
      <c r="FQX1" s="182"/>
      <c r="FQY1" s="182"/>
      <c r="FQZ1" s="182"/>
      <c r="FRA1" s="182"/>
      <c r="FRB1" s="182"/>
      <c r="FRC1" s="182"/>
      <c r="FRD1" s="182"/>
      <c r="FRE1" s="182"/>
      <c r="FRF1" s="182"/>
      <c r="FRG1" s="182"/>
      <c r="FRH1" s="182"/>
      <c r="FRI1" s="182"/>
      <c r="FRJ1" s="182"/>
      <c r="FRK1" s="182"/>
      <c r="FRL1" s="182"/>
      <c r="FRM1" s="182"/>
      <c r="FRN1" s="182"/>
      <c r="FRO1" s="182"/>
      <c r="FRP1" s="182"/>
      <c r="FRQ1" s="182"/>
      <c r="FRR1" s="182"/>
      <c r="FRS1" s="182"/>
      <c r="FRT1" s="182"/>
      <c r="FRU1" s="182"/>
      <c r="FRV1" s="182"/>
      <c r="FRW1" s="182"/>
      <c r="FRX1" s="182"/>
      <c r="FRY1" s="182"/>
      <c r="FRZ1" s="182"/>
      <c r="FSA1" s="182"/>
      <c r="FSB1" s="182"/>
      <c r="FSC1" s="182"/>
      <c r="FSD1" s="182"/>
      <c r="FSE1" s="182"/>
      <c r="FSF1" s="182"/>
      <c r="FSG1" s="182"/>
      <c r="FSH1" s="182"/>
      <c r="FSI1" s="182"/>
      <c r="FSJ1" s="182"/>
      <c r="FSK1" s="182"/>
      <c r="FSL1" s="182"/>
      <c r="FSM1" s="182"/>
      <c r="FSN1" s="182"/>
      <c r="FSO1" s="182"/>
      <c r="FSP1" s="182"/>
      <c r="FSQ1" s="182"/>
      <c r="FSR1" s="182"/>
      <c r="FSS1" s="182"/>
      <c r="FST1" s="182"/>
      <c r="FSU1" s="182"/>
      <c r="FSV1" s="182"/>
      <c r="FSW1" s="182"/>
      <c r="FSX1" s="182"/>
      <c r="FSY1" s="182"/>
      <c r="FSZ1" s="182"/>
      <c r="FTA1" s="182"/>
      <c r="FTB1" s="182"/>
      <c r="FTC1" s="182"/>
      <c r="FTD1" s="182"/>
      <c r="FTE1" s="182"/>
      <c r="FTF1" s="182"/>
      <c r="FTG1" s="182"/>
      <c r="FTH1" s="182"/>
      <c r="FTI1" s="182"/>
      <c r="FTJ1" s="182"/>
      <c r="FTK1" s="182"/>
      <c r="FTL1" s="182"/>
      <c r="FTM1" s="182"/>
      <c r="FTN1" s="182"/>
      <c r="FTO1" s="182"/>
      <c r="FTP1" s="182"/>
      <c r="FTQ1" s="182"/>
      <c r="FTR1" s="182"/>
      <c r="FTS1" s="182"/>
      <c r="FTT1" s="182"/>
      <c r="FTU1" s="182"/>
      <c r="FTV1" s="182"/>
      <c r="FTW1" s="182"/>
      <c r="FTX1" s="182"/>
      <c r="FTY1" s="182"/>
      <c r="FTZ1" s="182"/>
      <c r="FUA1" s="182"/>
      <c r="FUB1" s="182"/>
      <c r="FUC1" s="182"/>
      <c r="FUD1" s="182"/>
      <c r="FUE1" s="182"/>
      <c r="FUF1" s="182"/>
      <c r="FUG1" s="182"/>
      <c r="FUH1" s="182"/>
      <c r="FUI1" s="182"/>
      <c r="FUJ1" s="182"/>
      <c r="FUK1" s="182"/>
      <c r="FUL1" s="182"/>
      <c r="FUM1" s="182"/>
      <c r="FUN1" s="182"/>
      <c r="FUO1" s="182"/>
      <c r="FUP1" s="182"/>
      <c r="FUQ1" s="182"/>
      <c r="FUR1" s="182"/>
      <c r="FUS1" s="182"/>
      <c r="FUT1" s="182"/>
      <c r="FUU1" s="182"/>
      <c r="FUV1" s="182"/>
      <c r="FUW1" s="182"/>
      <c r="FUX1" s="182"/>
      <c r="FUY1" s="182"/>
      <c r="FUZ1" s="182"/>
      <c r="FVA1" s="182"/>
      <c r="FVB1" s="182"/>
      <c r="FVC1" s="182"/>
      <c r="FVD1" s="182"/>
      <c r="FVE1" s="182"/>
      <c r="FVF1" s="182"/>
      <c r="FVG1" s="182"/>
      <c r="FVH1" s="182"/>
      <c r="FVI1" s="182"/>
      <c r="FVJ1" s="182"/>
      <c r="FVK1" s="182"/>
      <c r="FVL1" s="182"/>
      <c r="FVM1" s="182"/>
      <c r="FVN1" s="182"/>
      <c r="FVO1" s="182"/>
      <c r="FVP1" s="182"/>
      <c r="FVQ1" s="182"/>
      <c r="FVR1" s="182"/>
      <c r="FVS1" s="182"/>
      <c r="FVT1" s="182"/>
      <c r="FVU1" s="182"/>
      <c r="FVV1" s="182"/>
      <c r="FVW1" s="182"/>
      <c r="FVX1" s="182"/>
      <c r="FVY1" s="182"/>
      <c r="FVZ1" s="182"/>
      <c r="FWA1" s="182"/>
      <c r="FWB1" s="182"/>
      <c r="FWC1" s="182"/>
      <c r="FWD1" s="182"/>
      <c r="FWE1" s="182"/>
      <c r="FWF1" s="182"/>
      <c r="FWG1" s="182"/>
      <c r="FWH1" s="182"/>
      <c r="FWI1" s="182"/>
      <c r="FWJ1" s="182"/>
      <c r="FWK1" s="182"/>
      <c r="FWL1" s="182"/>
      <c r="FWM1" s="182"/>
      <c r="FWN1" s="182"/>
      <c r="FWO1" s="182"/>
      <c r="FWP1" s="182"/>
      <c r="FWQ1" s="182"/>
      <c r="FWR1" s="182"/>
      <c r="FWS1" s="182"/>
      <c r="FWT1" s="182"/>
      <c r="FWU1" s="182"/>
      <c r="FWV1" s="182"/>
      <c r="FWW1" s="182"/>
      <c r="FWX1" s="182"/>
      <c r="FWY1" s="182"/>
      <c r="FWZ1" s="182"/>
      <c r="FXA1" s="182"/>
      <c r="FXB1" s="182"/>
      <c r="FXC1" s="182"/>
      <c r="FXD1" s="182"/>
      <c r="FXE1" s="182"/>
      <c r="FXF1" s="182"/>
      <c r="FXG1" s="182"/>
      <c r="FXH1" s="182"/>
      <c r="FXI1" s="182"/>
      <c r="FXJ1" s="182"/>
      <c r="FXK1" s="182"/>
      <c r="FXL1" s="182"/>
      <c r="FXM1" s="182"/>
      <c r="FXN1" s="182"/>
      <c r="FXO1" s="182"/>
      <c r="FXP1" s="182"/>
      <c r="FXQ1" s="182"/>
      <c r="FXR1" s="182"/>
      <c r="FXS1" s="182"/>
      <c r="FXT1" s="182"/>
      <c r="FXU1" s="182"/>
      <c r="FXV1" s="182"/>
      <c r="FXW1" s="182"/>
      <c r="FXX1" s="182"/>
      <c r="FXY1" s="182"/>
      <c r="FXZ1" s="182"/>
      <c r="FYA1" s="182"/>
      <c r="FYB1" s="182"/>
      <c r="FYC1" s="182"/>
      <c r="FYD1" s="182"/>
      <c r="FYE1" s="182"/>
      <c r="FYF1" s="182"/>
      <c r="FYG1" s="182"/>
      <c r="FYH1" s="182"/>
      <c r="FYI1" s="182"/>
      <c r="FYJ1" s="182"/>
      <c r="FYK1" s="182"/>
      <c r="FYL1" s="182"/>
      <c r="FYM1" s="182"/>
      <c r="FYN1" s="182"/>
      <c r="FYO1" s="182"/>
      <c r="FYP1" s="182"/>
      <c r="FYQ1" s="182"/>
      <c r="FYR1" s="182"/>
      <c r="FYS1" s="182"/>
      <c r="FYT1" s="182"/>
      <c r="FYU1" s="182"/>
      <c r="FYV1" s="182"/>
      <c r="FYW1" s="182"/>
      <c r="FYX1" s="182"/>
      <c r="FYY1" s="182"/>
      <c r="FYZ1" s="182"/>
      <c r="FZA1" s="182"/>
      <c r="FZB1" s="182"/>
      <c r="FZC1" s="182"/>
      <c r="FZD1" s="182"/>
      <c r="FZE1" s="182"/>
      <c r="FZF1" s="182"/>
      <c r="FZG1" s="182"/>
      <c r="FZH1" s="182"/>
      <c r="FZI1" s="182"/>
      <c r="FZJ1" s="182"/>
      <c r="FZK1" s="182"/>
      <c r="FZL1" s="182"/>
      <c r="FZM1" s="182"/>
      <c r="FZN1" s="182"/>
      <c r="FZO1" s="182"/>
      <c r="FZP1" s="182"/>
      <c r="FZQ1" s="182"/>
      <c r="FZR1" s="182"/>
      <c r="FZS1" s="182"/>
      <c r="FZT1" s="182"/>
      <c r="FZU1" s="182"/>
      <c r="FZV1" s="182"/>
      <c r="FZW1" s="182"/>
      <c r="FZX1" s="182"/>
      <c r="FZY1" s="182"/>
      <c r="FZZ1" s="182"/>
      <c r="GAA1" s="182"/>
      <c r="GAB1" s="182"/>
      <c r="GAC1" s="182"/>
      <c r="GAD1" s="182"/>
      <c r="GAE1" s="182"/>
      <c r="GAF1" s="182"/>
      <c r="GAG1" s="182"/>
      <c r="GAH1" s="182"/>
      <c r="GAI1" s="182"/>
      <c r="GAJ1" s="182"/>
      <c r="GAK1" s="182"/>
      <c r="GAL1" s="182"/>
      <c r="GAM1" s="182"/>
      <c r="GAN1" s="182"/>
      <c r="GAO1" s="182"/>
      <c r="GAP1" s="182"/>
      <c r="GAQ1" s="182"/>
      <c r="GAR1" s="182"/>
      <c r="GAS1" s="182"/>
      <c r="GAT1" s="182"/>
      <c r="GAU1" s="182"/>
      <c r="GAV1" s="182"/>
      <c r="GAW1" s="182"/>
      <c r="GAX1" s="182"/>
      <c r="GAY1" s="182"/>
      <c r="GAZ1" s="182"/>
      <c r="GBA1" s="182"/>
      <c r="GBB1" s="182"/>
      <c r="GBC1" s="182"/>
      <c r="GBD1" s="182"/>
      <c r="GBE1" s="182"/>
      <c r="GBF1" s="182"/>
      <c r="GBG1" s="182"/>
      <c r="GBH1" s="182"/>
      <c r="GBI1" s="182"/>
      <c r="GBJ1" s="182"/>
      <c r="GBK1" s="182"/>
      <c r="GBL1" s="182"/>
      <c r="GBM1" s="182"/>
      <c r="GBN1" s="182"/>
      <c r="GBO1" s="182"/>
      <c r="GBP1" s="182"/>
      <c r="GBQ1" s="182"/>
      <c r="GBR1" s="182"/>
      <c r="GBS1" s="182"/>
      <c r="GBT1" s="182"/>
      <c r="GBU1" s="182"/>
      <c r="GBV1" s="182"/>
      <c r="GBW1" s="182"/>
      <c r="GBX1" s="182"/>
      <c r="GBY1" s="182"/>
      <c r="GBZ1" s="182"/>
      <c r="GCA1" s="182"/>
      <c r="GCB1" s="182"/>
      <c r="GCC1" s="182"/>
      <c r="GCD1" s="182"/>
      <c r="GCE1" s="182"/>
      <c r="GCF1" s="182"/>
      <c r="GCG1" s="182"/>
      <c r="GCH1" s="182"/>
      <c r="GCI1" s="182"/>
      <c r="GCJ1" s="182"/>
      <c r="GCK1" s="182"/>
      <c r="GCL1" s="182"/>
      <c r="GCM1" s="182"/>
      <c r="GCN1" s="182"/>
      <c r="GCO1" s="182"/>
      <c r="GCP1" s="182"/>
      <c r="GCQ1" s="182"/>
      <c r="GCR1" s="182"/>
      <c r="GCS1" s="182"/>
      <c r="GCT1" s="182"/>
      <c r="GCU1" s="182"/>
      <c r="GCV1" s="182"/>
      <c r="GCW1" s="182"/>
      <c r="GCX1" s="182"/>
      <c r="GCY1" s="182"/>
      <c r="GCZ1" s="182"/>
      <c r="GDA1" s="182"/>
      <c r="GDB1" s="182"/>
      <c r="GDC1" s="182"/>
      <c r="GDD1" s="182"/>
      <c r="GDE1" s="182"/>
      <c r="GDF1" s="182"/>
      <c r="GDG1" s="182"/>
      <c r="GDH1" s="182"/>
      <c r="GDI1" s="182"/>
      <c r="GDJ1" s="182"/>
      <c r="GDK1" s="182"/>
      <c r="GDL1" s="182"/>
      <c r="GDM1" s="182"/>
      <c r="GDN1" s="182"/>
      <c r="GDO1" s="182"/>
      <c r="GDP1" s="182"/>
      <c r="GDQ1" s="182"/>
      <c r="GDR1" s="182"/>
      <c r="GDS1" s="182"/>
      <c r="GDT1" s="182"/>
      <c r="GDU1" s="182"/>
      <c r="GDV1" s="182"/>
      <c r="GDW1" s="182"/>
      <c r="GDX1" s="182"/>
      <c r="GDY1" s="182"/>
      <c r="GDZ1" s="182"/>
      <c r="GEA1" s="182"/>
      <c r="GEB1" s="182"/>
      <c r="GEC1" s="182"/>
      <c r="GED1" s="182"/>
      <c r="GEE1" s="182"/>
      <c r="GEF1" s="182"/>
      <c r="GEG1" s="182"/>
      <c r="GEH1" s="182"/>
      <c r="GEI1" s="182"/>
      <c r="GEJ1" s="182"/>
      <c r="GEK1" s="182"/>
      <c r="GEL1" s="182"/>
      <c r="GEM1" s="182"/>
      <c r="GEN1" s="182"/>
      <c r="GEO1" s="182"/>
      <c r="GEP1" s="182"/>
      <c r="GEQ1" s="182"/>
      <c r="GER1" s="182"/>
      <c r="GES1" s="182"/>
      <c r="GET1" s="182"/>
      <c r="GEU1" s="182"/>
      <c r="GEV1" s="182"/>
      <c r="GEW1" s="182"/>
      <c r="GEX1" s="182"/>
      <c r="GEY1" s="182"/>
      <c r="GEZ1" s="182"/>
      <c r="GFA1" s="182"/>
      <c r="GFB1" s="182"/>
      <c r="GFC1" s="182"/>
      <c r="GFD1" s="182"/>
      <c r="GFE1" s="182"/>
      <c r="GFF1" s="182"/>
      <c r="GFG1" s="182"/>
      <c r="GFH1" s="182"/>
      <c r="GFI1" s="182"/>
      <c r="GFJ1" s="182"/>
      <c r="GFK1" s="182"/>
      <c r="GFL1" s="182"/>
      <c r="GFM1" s="182"/>
      <c r="GFN1" s="182"/>
      <c r="GFO1" s="182"/>
      <c r="GFP1" s="182"/>
      <c r="GFQ1" s="182"/>
      <c r="GFR1" s="182"/>
      <c r="GFS1" s="182"/>
      <c r="GFT1" s="182"/>
      <c r="GFU1" s="182"/>
      <c r="GFV1" s="182"/>
      <c r="GFW1" s="182"/>
      <c r="GFX1" s="182"/>
      <c r="GFY1" s="182"/>
      <c r="GFZ1" s="182"/>
      <c r="GGA1" s="182"/>
      <c r="GGB1" s="182"/>
      <c r="GGC1" s="182"/>
      <c r="GGD1" s="182"/>
      <c r="GGE1" s="182"/>
      <c r="GGF1" s="182"/>
      <c r="GGG1" s="182"/>
      <c r="GGH1" s="182"/>
      <c r="GGI1" s="182"/>
      <c r="GGJ1" s="182"/>
      <c r="GGK1" s="182"/>
      <c r="GGL1" s="182"/>
      <c r="GGM1" s="182"/>
      <c r="GGN1" s="182"/>
      <c r="GGO1" s="182"/>
      <c r="GGP1" s="182"/>
      <c r="GGQ1" s="182"/>
      <c r="GGR1" s="182"/>
      <c r="GGS1" s="182"/>
      <c r="GGT1" s="182"/>
      <c r="GGU1" s="182"/>
      <c r="GGV1" s="182"/>
      <c r="GGW1" s="182"/>
      <c r="GGX1" s="182"/>
      <c r="GGY1" s="182"/>
      <c r="GGZ1" s="182"/>
      <c r="GHA1" s="182"/>
      <c r="GHB1" s="182"/>
      <c r="GHC1" s="182"/>
      <c r="GHD1" s="182"/>
      <c r="GHE1" s="182"/>
      <c r="GHF1" s="182"/>
      <c r="GHG1" s="182"/>
      <c r="GHH1" s="182"/>
      <c r="GHI1" s="182"/>
      <c r="GHJ1" s="182"/>
      <c r="GHK1" s="182"/>
      <c r="GHL1" s="182"/>
      <c r="GHM1" s="182"/>
      <c r="GHN1" s="182"/>
      <c r="GHO1" s="182"/>
      <c r="GHP1" s="182"/>
      <c r="GHQ1" s="182"/>
      <c r="GHR1" s="182"/>
      <c r="GHS1" s="182"/>
      <c r="GHT1" s="182"/>
      <c r="GHU1" s="182"/>
      <c r="GHV1" s="182"/>
      <c r="GHW1" s="182"/>
      <c r="GHX1" s="182"/>
      <c r="GHY1" s="182"/>
      <c r="GHZ1" s="182"/>
      <c r="GIA1" s="182"/>
      <c r="GIB1" s="182"/>
      <c r="GIC1" s="182"/>
      <c r="GID1" s="182"/>
      <c r="GIE1" s="182"/>
      <c r="GIF1" s="182"/>
      <c r="GIG1" s="182"/>
      <c r="GIH1" s="182"/>
      <c r="GII1" s="182"/>
      <c r="GIJ1" s="182"/>
      <c r="GIK1" s="182"/>
      <c r="GIL1" s="182"/>
      <c r="GIM1" s="182"/>
      <c r="GIN1" s="182"/>
      <c r="GIO1" s="182"/>
      <c r="GIP1" s="182"/>
      <c r="GIQ1" s="182"/>
      <c r="GIR1" s="182"/>
      <c r="GIS1" s="182"/>
      <c r="GIT1" s="182"/>
      <c r="GIU1" s="182"/>
      <c r="GIV1" s="182"/>
      <c r="GIW1" s="182"/>
      <c r="GIX1" s="182"/>
      <c r="GIY1" s="182"/>
      <c r="GIZ1" s="182"/>
      <c r="GJA1" s="182"/>
      <c r="GJB1" s="182"/>
      <c r="GJC1" s="182"/>
      <c r="GJD1" s="182"/>
      <c r="GJE1" s="182"/>
      <c r="GJF1" s="182"/>
      <c r="GJG1" s="182"/>
      <c r="GJH1" s="182"/>
      <c r="GJI1" s="182"/>
      <c r="GJJ1" s="182"/>
      <c r="GJK1" s="182"/>
      <c r="GJL1" s="182"/>
      <c r="GJM1" s="182"/>
      <c r="GJN1" s="182"/>
      <c r="GJO1" s="182"/>
      <c r="GJP1" s="182"/>
      <c r="GJQ1" s="182"/>
      <c r="GJR1" s="182"/>
      <c r="GJS1" s="182"/>
      <c r="GJT1" s="182"/>
      <c r="GJU1" s="182"/>
      <c r="GJV1" s="182"/>
      <c r="GJW1" s="182"/>
      <c r="GJX1" s="182"/>
      <c r="GJY1" s="182"/>
      <c r="GJZ1" s="182"/>
      <c r="GKA1" s="182"/>
      <c r="GKB1" s="182"/>
      <c r="GKC1" s="182"/>
      <c r="GKD1" s="182"/>
      <c r="GKE1" s="182"/>
      <c r="GKF1" s="182"/>
      <c r="GKG1" s="182"/>
      <c r="GKH1" s="182"/>
      <c r="GKI1" s="182"/>
      <c r="GKJ1" s="182"/>
      <c r="GKK1" s="182"/>
      <c r="GKL1" s="182"/>
      <c r="GKM1" s="182"/>
      <c r="GKN1" s="182"/>
      <c r="GKO1" s="182"/>
      <c r="GKP1" s="182"/>
      <c r="GKQ1" s="182"/>
      <c r="GKR1" s="182"/>
      <c r="GKS1" s="182"/>
      <c r="GKT1" s="182"/>
      <c r="GKU1" s="182"/>
      <c r="GKV1" s="182"/>
      <c r="GKW1" s="182"/>
      <c r="GKX1" s="182"/>
      <c r="GKY1" s="182"/>
      <c r="GKZ1" s="182"/>
      <c r="GLA1" s="182"/>
      <c r="GLB1" s="182"/>
      <c r="GLC1" s="182"/>
      <c r="GLD1" s="182"/>
      <c r="GLE1" s="182"/>
      <c r="GLF1" s="182"/>
      <c r="GLG1" s="182"/>
      <c r="GLH1" s="182"/>
      <c r="GLI1" s="182"/>
      <c r="GLJ1" s="182"/>
      <c r="GLK1" s="182"/>
      <c r="GLL1" s="182"/>
      <c r="GLM1" s="182"/>
      <c r="GLN1" s="182"/>
      <c r="GLO1" s="182"/>
      <c r="GLP1" s="182"/>
      <c r="GLQ1" s="182"/>
      <c r="GLR1" s="182"/>
      <c r="GLS1" s="182"/>
      <c r="GLT1" s="182"/>
      <c r="GLU1" s="182"/>
      <c r="GLV1" s="182"/>
      <c r="GLW1" s="182"/>
      <c r="GLX1" s="182"/>
      <c r="GLY1" s="182"/>
      <c r="GLZ1" s="182"/>
      <c r="GMA1" s="182"/>
      <c r="GMB1" s="182"/>
      <c r="GMC1" s="182"/>
      <c r="GMD1" s="182"/>
      <c r="GME1" s="182"/>
      <c r="GMF1" s="182"/>
      <c r="GMG1" s="182"/>
      <c r="GMH1" s="182"/>
      <c r="GMI1" s="182"/>
      <c r="GMJ1" s="182"/>
      <c r="GMK1" s="182"/>
      <c r="GML1" s="182"/>
      <c r="GMM1" s="182"/>
      <c r="GMN1" s="182"/>
      <c r="GMO1" s="182"/>
      <c r="GMP1" s="182"/>
      <c r="GMQ1" s="182"/>
      <c r="GMR1" s="182"/>
      <c r="GMS1" s="182"/>
      <c r="GMT1" s="182"/>
      <c r="GMU1" s="182"/>
      <c r="GMV1" s="182"/>
      <c r="GMW1" s="182"/>
      <c r="GMX1" s="182"/>
      <c r="GMY1" s="182"/>
      <c r="GMZ1" s="182"/>
      <c r="GNA1" s="182"/>
      <c r="GNB1" s="182"/>
      <c r="GNC1" s="182"/>
      <c r="GND1" s="182"/>
      <c r="GNE1" s="182"/>
      <c r="GNF1" s="182"/>
      <c r="GNG1" s="182"/>
      <c r="GNH1" s="182"/>
      <c r="GNI1" s="182"/>
      <c r="GNJ1" s="182"/>
      <c r="GNK1" s="182"/>
      <c r="GNL1" s="182"/>
      <c r="GNM1" s="182"/>
      <c r="GNN1" s="182"/>
      <c r="GNO1" s="182"/>
      <c r="GNP1" s="182"/>
      <c r="GNQ1" s="182"/>
      <c r="GNR1" s="182"/>
      <c r="GNS1" s="182"/>
      <c r="GNT1" s="182"/>
      <c r="GNU1" s="182"/>
      <c r="GNV1" s="182"/>
      <c r="GNW1" s="182"/>
      <c r="GNX1" s="182"/>
      <c r="GNY1" s="182"/>
      <c r="GNZ1" s="182"/>
      <c r="GOA1" s="182"/>
      <c r="GOB1" s="182"/>
      <c r="GOC1" s="182"/>
      <c r="GOD1" s="182"/>
      <c r="GOE1" s="182"/>
      <c r="GOF1" s="182"/>
      <c r="GOG1" s="182"/>
      <c r="GOH1" s="182"/>
      <c r="GOI1" s="182"/>
      <c r="GOJ1" s="182"/>
      <c r="GOK1" s="182"/>
      <c r="GOL1" s="182"/>
      <c r="GOM1" s="182"/>
      <c r="GON1" s="182"/>
      <c r="GOO1" s="182"/>
      <c r="GOP1" s="182"/>
      <c r="GOQ1" s="182"/>
      <c r="GOR1" s="182"/>
      <c r="GOS1" s="182"/>
      <c r="GOT1" s="182"/>
      <c r="GOU1" s="182"/>
      <c r="GOV1" s="182"/>
      <c r="GOW1" s="182"/>
      <c r="GOX1" s="182"/>
      <c r="GOY1" s="182"/>
      <c r="GOZ1" s="182"/>
      <c r="GPA1" s="182"/>
      <c r="GPB1" s="182"/>
      <c r="GPC1" s="182"/>
      <c r="GPD1" s="182"/>
      <c r="GPE1" s="182"/>
      <c r="GPF1" s="182"/>
      <c r="GPG1" s="182"/>
      <c r="GPH1" s="182"/>
      <c r="GPI1" s="182"/>
      <c r="GPJ1" s="182"/>
      <c r="GPK1" s="182"/>
      <c r="GPL1" s="182"/>
      <c r="GPM1" s="182"/>
      <c r="GPN1" s="182"/>
      <c r="GPO1" s="182"/>
      <c r="GPP1" s="182"/>
      <c r="GPQ1" s="182"/>
      <c r="GPR1" s="182"/>
      <c r="GPS1" s="182"/>
      <c r="GPT1" s="182"/>
      <c r="GPU1" s="182"/>
      <c r="GPV1" s="182"/>
      <c r="GPW1" s="182"/>
      <c r="GPX1" s="182"/>
      <c r="GPY1" s="182"/>
      <c r="GPZ1" s="182"/>
      <c r="GQA1" s="182"/>
      <c r="GQB1" s="182"/>
      <c r="GQC1" s="182"/>
      <c r="GQD1" s="182"/>
      <c r="GQE1" s="182"/>
      <c r="GQF1" s="182"/>
      <c r="GQG1" s="182"/>
      <c r="GQH1" s="182"/>
      <c r="GQI1" s="182"/>
      <c r="GQJ1" s="182"/>
      <c r="GQK1" s="182"/>
      <c r="GQL1" s="182"/>
      <c r="GQM1" s="182"/>
      <c r="GQN1" s="182"/>
      <c r="GQO1" s="182"/>
      <c r="GQP1" s="182"/>
      <c r="GQQ1" s="182"/>
      <c r="GQR1" s="182"/>
      <c r="GQS1" s="182"/>
      <c r="GQT1" s="182"/>
      <c r="GQU1" s="182"/>
      <c r="GQV1" s="182"/>
      <c r="GQW1" s="182"/>
      <c r="GQX1" s="182"/>
      <c r="GQY1" s="182"/>
      <c r="GQZ1" s="182"/>
      <c r="GRA1" s="182"/>
      <c r="GRB1" s="182"/>
      <c r="GRC1" s="182"/>
      <c r="GRD1" s="182"/>
      <c r="GRE1" s="182"/>
      <c r="GRF1" s="182"/>
      <c r="GRG1" s="182"/>
      <c r="GRH1" s="182"/>
      <c r="GRI1" s="182"/>
      <c r="GRJ1" s="182"/>
      <c r="GRK1" s="182"/>
      <c r="GRL1" s="182"/>
      <c r="GRM1" s="182"/>
      <c r="GRN1" s="182"/>
      <c r="GRO1" s="182"/>
      <c r="GRP1" s="182"/>
      <c r="GRQ1" s="182"/>
      <c r="GRR1" s="182"/>
      <c r="GRS1" s="182"/>
      <c r="GRT1" s="182"/>
      <c r="GRU1" s="182"/>
      <c r="GRV1" s="182"/>
      <c r="GRW1" s="182"/>
      <c r="GRX1" s="182"/>
      <c r="GRY1" s="182"/>
      <c r="GRZ1" s="182"/>
      <c r="GSA1" s="182"/>
      <c r="GSB1" s="182"/>
      <c r="GSC1" s="182"/>
      <c r="GSD1" s="182"/>
      <c r="GSE1" s="182"/>
      <c r="GSF1" s="182"/>
      <c r="GSG1" s="182"/>
      <c r="GSH1" s="182"/>
      <c r="GSI1" s="182"/>
      <c r="GSJ1" s="182"/>
      <c r="GSK1" s="182"/>
      <c r="GSL1" s="182"/>
      <c r="GSM1" s="182"/>
      <c r="GSN1" s="182"/>
      <c r="GSO1" s="182"/>
      <c r="GSP1" s="182"/>
      <c r="GSQ1" s="182"/>
      <c r="GSR1" s="182"/>
      <c r="GSS1" s="182"/>
      <c r="GST1" s="182"/>
      <c r="GSU1" s="182"/>
      <c r="GSV1" s="182"/>
      <c r="GSW1" s="182"/>
      <c r="GSX1" s="182"/>
      <c r="GSY1" s="182"/>
      <c r="GSZ1" s="182"/>
      <c r="GTA1" s="182"/>
      <c r="GTB1" s="182"/>
      <c r="GTC1" s="182"/>
      <c r="GTD1" s="182"/>
      <c r="GTE1" s="182"/>
      <c r="GTF1" s="182"/>
      <c r="GTG1" s="182"/>
      <c r="GTH1" s="182"/>
      <c r="GTI1" s="182"/>
      <c r="GTJ1" s="182"/>
      <c r="GTK1" s="182"/>
      <c r="GTL1" s="182"/>
      <c r="GTM1" s="182"/>
      <c r="GTN1" s="182"/>
      <c r="GTO1" s="182"/>
      <c r="GTP1" s="182"/>
      <c r="GTQ1" s="182"/>
      <c r="GTR1" s="182"/>
      <c r="GTS1" s="182"/>
      <c r="GTT1" s="182"/>
      <c r="GTU1" s="182"/>
      <c r="GTV1" s="182"/>
      <c r="GTW1" s="182"/>
      <c r="GTX1" s="182"/>
      <c r="GTY1" s="182"/>
      <c r="GTZ1" s="182"/>
      <c r="GUA1" s="182"/>
      <c r="GUB1" s="182"/>
      <c r="GUC1" s="182"/>
      <c r="GUD1" s="182"/>
      <c r="GUE1" s="182"/>
      <c r="GUF1" s="182"/>
      <c r="GUG1" s="182"/>
      <c r="GUH1" s="182"/>
      <c r="GUI1" s="182"/>
      <c r="GUJ1" s="182"/>
      <c r="GUK1" s="182"/>
      <c r="GUL1" s="182"/>
      <c r="GUM1" s="182"/>
      <c r="GUN1" s="182"/>
      <c r="GUO1" s="182"/>
      <c r="GUP1" s="182"/>
      <c r="GUQ1" s="182"/>
      <c r="GUR1" s="182"/>
      <c r="GUS1" s="182"/>
      <c r="GUT1" s="182"/>
      <c r="GUU1" s="182"/>
      <c r="GUV1" s="182"/>
      <c r="GUW1" s="182"/>
      <c r="GUX1" s="182"/>
      <c r="GUY1" s="182"/>
      <c r="GUZ1" s="182"/>
      <c r="GVA1" s="182"/>
      <c r="GVB1" s="182"/>
      <c r="GVC1" s="182"/>
      <c r="GVD1" s="182"/>
      <c r="GVE1" s="182"/>
      <c r="GVF1" s="182"/>
      <c r="GVG1" s="182"/>
      <c r="GVH1" s="182"/>
      <c r="GVI1" s="182"/>
      <c r="GVJ1" s="182"/>
      <c r="GVK1" s="182"/>
      <c r="GVL1" s="182"/>
      <c r="GVM1" s="182"/>
      <c r="GVN1" s="182"/>
      <c r="GVO1" s="182"/>
      <c r="GVP1" s="182"/>
      <c r="GVQ1" s="182"/>
      <c r="GVR1" s="182"/>
      <c r="GVS1" s="182"/>
      <c r="GVT1" s="182"/>
      <c r="GVU1" s="182"/>
      <c r="GVV1" s="182"/>
      <c r="GVW1" s="182"/>
      <c r="GVX1" s="182"/>
      <c r="GVY1" s="182"/>
      <c r="GVZ1" s="182"/>
      <c r="GWA1" s="182"/>
      <c r="GWB1" s="182"/>
      <c r="GWC1" s="182"/>
      <c r="GWD1" s="182"/>
      <c r="GWE1" s="182"/>
      <c r="GWF1" s="182"/>
      <c r="GWG1" s="182"/>
      <c r="GWH1" s="182"/>
      <c r="GWI1" s="182"/>
      <c r="GWJ1" s="182"/>
      <c r="GWK1" s="182"/>
      <c r="GWL1" s="182"/>
      <c r="GWM1" s="182"/>
      <c r="GWN1" s="182"/>
      <c r="GWO1" s="182"/>
      <c r="GWP1" s="182"/>
      <c r="GWQ1" s="182"/>
      <c r="GWR1" s="182"/>
      <c r="GWS1" s="182"/>
      <c r="GWT1" s="182"/>
      <c r="GWU1" s="182"/>
      <c r="GWV1" s="182"/>
      <c r="GWW1" s="182"/>
      <c r="GWX1" s="182"/>
      <c r="GWY1" s="182"/>
      <c r="GWZ1" s="182"/>
      <c r="GXA1" s="182"/>
      <c r="GXB1" s="182"/>
      <c r="GXC1" s="182"/>
      <c r="GXD1" s="182"/>
      <c r="GXE1" s="182"/>
      <c r="GXF1" s="182"/>
      <c r="GXG1" s="182"/>
      <c r="GXH1" s="182"/>
      <c r="GXI1" s="182"/>
      <c r="GXJ1" s="182"/>
      <c r="GXK1" s="182"/>
      <c r="GXL1" s="182"/>
      <c r="GXM1" s="182"/>
      <c r="GXN1" s="182"/>
      <c r="GXO1" s="182"/>
      <c r="GXP1" s="182"/>
      <c r="GXQ1" s="182"/>
      <c r="GXR1" s="182"/>
      <c r="GXS1" s="182"/>
      <c r="GXT1" s="182"/>
      <c r="GXU1" s="182"/>
      <c r="GXV1" s="182"/>
      <c r="GXW1" s="182"/>
      <c r="GXX1" s="182"/>
      <c r="GXY1" s="182"/>
      <c r="GXZ1" s="182"/>
      <c r="GYA1" s="182"/>
      <c r="GYB1" s="182"/>
      <c r="GYC1" s="182"/>
      <c r="GYD1" s="182"/>
      <c r="GYE1" s="182"/>
      <c r="GYF1" s="182"/>
      <c r="GYG1" s="182"/>
      <c r="GYH1" s="182"/>
      <c r="GYI1" s="182"/>
      <c r="GYJ1" s="182"/>
      <c r="GYK1" s="182"/>
      <c r="GYL1" s="182"/>
      <c r="GYM1" s="182"/>
      <c r="GYN1" s="182"/>
      <c r="GYO1" s="182"/>
      <c r="GYP1" s="182"/>
      <c r="GYQ1" s="182"/>
      <c r="GYR1" s="182"/>
      <c r="GYS1" s="182"/>
      <c r="GYT1" s="182"/>
      <c r="GYU1" s="182"/>
      <c r="GYV1" s="182"/>
      <c r="GYW1" s="182"/>
      <c r="GYX1" s="182"/>
      <c r="GYY1" s="182"/>
      <c r="GYZ1" s="182"/>
      <c r="GZA1" s="182"/>
      <c r="GZB1" s="182"/>
      <c r="GZC1" s="182"/>
      <c r="GZD1" s="182"/>
      <c r="GZE1" s="182"/>
      <c r="GZF1" s="182"/>
      <c r="GZG1" s="182"/>
      <c r="GZH1" s="182"/>
      <c r="GZI1" s="182"/>
      <c r="GZJ1" s="182"/>
      <c r="GZK1" s="182"/>
      <c r="GZL1" s="182"/>
      <c r="GZM1" s="182"/>
      <c r="GZN1" s="182"/>
      <c r="GZO1" s="182"/>
      <c r="GZP1" s="182"/>
      <c r="GZQ1" s="182"/>
      <c r="GZR1" s="182"/>
      <c r="GZS1" s="182"/>
      <c r="GZT1" s="182"/>
      <c r="GZU1" s="182"/>
      <c r="GZV1" s="182"/>
      <c r="GZW1" s="182"/>
      <c r="GZX1" s="182"/>
      <c r="GZY1" s="182"/>
      <c r="GZZ1" s="182"/>
      <c r="HAA1" s="182"/>
      <c r="HAB1" s="182"/>
      <c r="HAC1" s="182"/>
      <c r="HAD1" s="182"/>
      <c r="HAE1" s="182"/>
      <c r="HAF1" s="182"/>
      <c r="HAG1" s="182"/>
      <c r="HAH1" s="182"/>
      <c r="HAI1" s="182"/>
      <c r="HAJ1" s="182"/>
      <c r="HAK1" s="182"/>
      <c r="HAL1" s="182"/>
      <c r="HAM1" s="182"/>
      <c r="HAN1" s="182"/>
      <c r="HAO1" s="182"/>
      <c r="HAP1" s="182"/>
      <c r="HAQ1" s="182"/>
      <c r="HAR1" s="182"/>
      <c r="HAS1" s="182"/>
      <c r="HAT1" s="182"/>
      <c r="HAU1" s="182"/>
      <c r="HAV1" s="182"/>
      <c r="HAW1" s="182"/>
      <c r="HAX1" s="182"/>
      <c r="HAY1" s="182"/>
      <c r="HAZ1" s="182"/>
      <c r="HBA1" s="182"/>
      <c r="HBB1" s="182"/>
      <c r="HBC1" s="182"/>
      <c r="HBD1" s="182"/>
      <c r="HBE1" s="182"/>
      <c r="HBF1" s="182"/>
      <c r="HBG1" s="182"/>
      <c r="HBH1" s="182"/>
      <c r="HBI1" s="182"/>
      <c r="HBJ1" s="182"/>
      <c r="HBK1" s="182"/>
      <c r="HBL1" s="182"/>
      <c r="HBM1" s="182"/>
      <c r="HBN1" s="182"/>
      <c r="HBO1" s="182"/>
      <c r="HBP1" s="182"/>
      <c r="HBQ1" s="182"/>
      <c r="HBR1" s="182"/>
      <c r="HBS1" s="182"/>
      <c r="HBT1" s="182"/>
      <c r="HBU1" s="182"/>
      <c r="HBV1" s="182"/>
      <c r="HBW1" s="182"/>
      <c r="HBX1" s="182"/>
      <c r="HBY1" s="182"/>
      <c r="HBZ1" s="182"/>
      <c r="HCA1" s="182"/>
      <c r="HCB1" s="182"/>
      <c r="HCC1" s="182"/>
      <c r="HCD1" s="182"/>
      <c r="HCE1" s="182"/>
      <c r="HCF1" s="182"/>
      <c r="HCG1" s="182"/>
      <c r="HCH1" s="182"/>
      <c r="HCI1" s="182"/>
      <c r="HCJ1" s="182"/>
      <c r="HCK1" s="182"/>
      <c r="HCL1" s="182"/>
      <c r="HCM1" s="182"/>
      <c r="HCN1" s="182"/>
      <c r="HCO1" s="182"/>
      <c r="HCP1" s="182"/>
      <c r="HCQ1" s="182"/>
      <c r="HCR1" s="182"/>
      <c r="HCS1" s="182"/>
      <c r="HCT1" s="182"/>
      <c r="HCU1" s="182"/>
      <c r="HCV1" s="182"/>
      <c r="HCW1" s="182"/>
      <c r="HCX1" s="182"/>
      <c r="HCY1" s="182"/>
      <c r="HCZ1" s="182"/>
      <c r="HDA1" s="182"/>
      <c r="HDB1" s="182"/>
      <c r="HDC1" s="182"/>
      <c r="HDD1" s="182"/>
      <c r="HDE1" s="182"/>
      <c r="HDF1" s="182"/>
      <c r="HDG1" s="182"/>
      <c r="HDH1" s="182"/>
      <c r="HDI1" s="182"/>
      <c r="HDJ1" s="182"/>
      <c r="HDK1" s="182"/>
      <c r="HDL1" s="182"/>
      <c r="HDM1" s="182"/>
      <c r="HDN1" s="182"/>
      <c r="HDO1" s="182"/>
      <c r="HDP1" s="182"/>
      <c r="HDQ1" s="182"/>
      <c r="HDR1" s="182"/>
      <c r="HDS1" s="182"/>
      <c r="HDT1" s="182"/>
      <c r="HDU1" s="182"/>
      <c r="HDV1" s="182"/>
      <c r="HDW1" s="182"/>
      <c r="HDX1" s="182"/>
      <c r="HDY1" s="182"/>
      <c r="HDZ1" s="182"/>
      <c r="HEA1" s="182"/>
      <c r="HEB1" s="182"/>
      <c r="HEC1" s="182"/>
      <c r="HED1" s="182"/>
      <c r="HEE1" s="182"/>
      <c r="HEF1" s="182"/>
      <c r="HEG1" s="182"/>
      <c r="HEH1" s="182"/>
      <c r="HEI1" s="182"/>
      <c r="HEJ1" s="182"/>
      <c r="HEK1" s="182"/>
      <c r="HEL1" s="182"/>
      <c r="HEM1" s="182"/>
      <c r="HEN1" s="182"/>
      <c r="HEO1" s="182"/>
      <c r="HEP1" s="182"/>
      <c r="HEQ1" s="182"/>
      <c r="HER1" s="182"/>
      <c r="HES1" s="182"/>
      <c r="HET1" s="182"/>
      <c r="HEU1" s="182"/>
      <c r="HEV1" s="182"/>
      <c r="HEW1" s="182"/>
      <c r="HEX1" s="182"/>
      <c r="HEY1" s="182"/>
      <c r="HEZ1" s="182"/>
      <c r="HFA1" s="182"/>
      <c r="HFB1" s="182"/>
      <c r="HFC1" s="182"/>
      <c r="HFD1" s="182"/>
      <c r="HFE1" s="182"/>
      <c r="HFF1" s="182"/>
      <c r="HFG1" s="182"/>
      <c r="HFH1" s="182"/>
      <c r="HFI1" s="182"/>
      <c r="HFJ1" s="182"/>
      <c r="HFK1" s="182"/>
      <c r="HFL1" s="182"/>
      <c r="HFM1" s="182"/>
      <c r="HFN1" s="182"/>
      <c r="HFO1" s="182"/>
      <c r="HFP1" s="182"/>
      <c r="HFQ1" s="182"/>
      <c r="HFR1" s="182"/>
      <c r="HFS1" s="182"/>
      <c r="HFT1" s="182"/>
      <c r="HFU1" s="182"/>
      <c r="HFV1" s="182"/>
      <c r="HFW1" s="182"/>
      <c r="HFX1" s="182"/>
      <c r="HFY1" s="182"/>
      <c r="HFZ1" s="182"/>
      <c r="HGA1" s="182"/>
      <c r="HGB1" s="182"/>
      <c r="HGC1" s="182"/>
      <c r="HGD1" s="182"/>
      <c r="HGE1" s="182"/>
      <c r="HGF1" s="182"/>
      <c r="HGG1" s="182"/>
      <c r="HGH1" s="182"/>
      <c r="HGI1" s="182"/>
      <c r="HGJ1" s="182"/>
      <c r="HGK1" s="182"/>
      <c r="HGL1" s="182"/>
      <c r="HGM1" s="182"/>
      <c r="HGN1" s="182"/>
      <c r="HGO1" s="182"/>
      <c r="HGP1" s="182"/>
      <c r="HGQ1" s="182"/>
      <c r="HGR1" s="182"/>
      <c r="HGS1" s="182"/>
      <c r="HGT1" s="182"/>
      <c r="HGU1" s="182"/>
      <c r="HGV1" s="182"/>
      <c r="HGW1" s="182"/>
      <c r="HGX1" s="182"/>
      <c r="HGY1" s="182"/>
      <c r="HGZ1" s="182"/>
      <c r="HHA1" s="182"/>
      <c r="HHB1" s="182"/>
      <c r="HHC1" s="182"/>
      <c r="HHD1" s="182"/>
      <c r="HHE1" s="182"/>
      <c r="HHF1" s="182"/>
      <c r="HHG1" s="182"/>
      <c r="HHH1" s="182"/>
      <c r="HHI1" s="182"/>
      <c r="HHJ1" s="182"/>
      <c r="HHK1" s="182"/>
      <c r="HHL1" s="182"/>
      <c r="HHM1" s="182"/>
      <c r="HHN1" s="182"/>
      <c r="HHO1" s="182"/>
      <c r="HHP1" s="182"/>
      <c r="HHQ1" s="182"/>
      <c r="HHR1" s="182"/>
      <c r="HHS1" s="182"/>
      <c r="HHT1" s="182"/>
      <c r="HHU1" s="182"/>
      <c r="HHV1" s="182"/>
      <c r="HHW1" s="182"/>
      <c r="HHX1" s="182"/>
      <c r="HHY1" s="182"/>
      <c r="HHZ1" s="182"/>
      <c r="HIA1" s="182"/>
      <c r="HIB1" s="182"/>
      <c r="HIC1" s="182"/>
      <c r="HID1" s="182"/>
      <c r="HIE1" s="182"/>
      <c r="HIF1" s="182"/>
      <c r="HIG1" s="182"/>
      <c r="HIH1" s="182"/>
      <c r="HII1" s="182"/>
      <c r="HIJ1" s="182"/>
      <c r="HIK1" s="182"/>
      <c r="HIL1" s="182"/>
      <c r="HIM1" s="182"/>
      <c r="HIN1" s="182"/>
      <c r="HIO1" s="182"/>
      <c r="HIP1" s="182"/>
      <c r="HIQ1" s="182"/>
      <c r="HIR1" s="182"/>
      <c r="HIS1" s="182"/>
      <c r="HIT1" s="182"/>
      <c r="HIU1" s="182"/>
      <c r="HIV1" s="182"/>
      <c r="HIW1" s="182"/>
      <c r="HIX1" s="182"/>
      <c r="HIY1" s="182"/>
      <c r="HIZ1" s="182"/>
      <c r="HJA1" s="182"/>
      <c r="HJB1" s="182"/>
      <c r="HJC1" s="182"/>
      <c r="HJD1" s="182"/>
      <c r="HJE1" s="182"/>
      <c r="HJF1" s="182"/>
      <c r="HJG1" s="182"/>
      <c r="HJH1" s="182"/>
      <c r="HJI1" s="182"/>
      <c r="HJJ1" s="182"/>
      <c r="HJK1" s="182"/>
      <c r="HJL1" s="182"/>
      <c r="HJM1" s="182"/>
      <c r="HJN1" s="182"/>
      <c r="HJO1" s="182"/>
      <c r="HJP1" s="182"/>
      <c r="HJQ1" s="182"/>
      <c r="HJR1" s="182"/>
      <c r="HJS1" s="182"/>
      <c r="HJT1" s="182"/>
      <c r="HJU1" s="182"/>
      <c r="HJV1" s="182"/>
      <c r="HJW1" s="182"/>
      <c r="HJX1" s="182"/>
      <c r="HJY1" s="182"/>
      <c r="HJZ1" s="182"/>
      <c r="HKA1" s="182"/>
      <c r="HKB1" s="182"/>
      <c r="HKC1" s="182"/>
      <c r="HKD1" s="182"/>
      <c r="HKE1" s="182"/>
      <c r="HKF1" s="182"/>
      <c r="HKG1" s="182"/>
      <c r="HKH1" s="182"/>
      <c r="HKI1" s="182"/>
      <c r="HKJ1" s="182"/>
      <c r="HKK1" s="182"/>
      <c r="HKL1" s="182"/>
      <c r="HKM1" s="182"/>
      <c r="HKN1" s="182"/>
      <c r="HKO1" s="182"/>
      <c r="HKP1" s="182"/>
      <c r="HKQ1" s="182"/>
      <c r="HKR1" s="182"/>
      <c r="HKS1" s="182"/>
      <c r="HKT1" s="182"/>
      <c r="HKU1" s="182"/>
      <c r="HKV1" s="182"/>
      <c r="HKW1" s="182"/>
      <c r="HKX1" s="182"/>
      <c r="HKY1" s="182"/>
      <c r="HKZ1" s="182"/>
      <c r="HLA1" s="182"/>
      <c r="HLB1" s="182"/>
      <c r="HLC1" s="182"/>
      <c r="HLD1" s="182"/>
      <c r="HLE1" s="182"/>
      <c r="HLF1" s="182"/>
      <c r="HLG1" s="182"/>
      <c r="HLH1" s="182"/>
      <c r="HLI1" s="182"/>
      <c r="HLJ1" s="182"/>
      <c r="HLK1" s="182"/>
      <c r="HLL1" s="182"/>
      <c r="HLM1" s="182"/>
      <c r="HLN1" s="182"/>
      <c r="HLO1" s="182"/>
      <c r="HLP1" s="182"/>
      <c r="HLQ1" s="182"/>
      <c r="HLR1" s="182"/>
      <c r="HLS1" s="182"/>
      <c r="HLT1" s="182"/>
      <c r="HLU1" s="182"/>
      <c r="HLV1" s="182"/>
      <c r="HLW1" s="182"/>
      <c r="HLX1" s="182"/>
      <c r="HLY1" s="182"/>
      <c r="HLZ1" s="182"/>
      <c r="HMA1" s="182"/>
      <c r="HMB1" s="182"/>
      <c r="HMC1" s="182"/>
      <c r="HMD1" s="182"/>
      <c r="HME1" s="182"/>
      <c r="HMF1" s="182"/>
      <c r="HMG1" s="182"/>
      <c r="HMH1" s="182"/>
      <c r="HMI1" s="182"/>
      <c r="HMJ1" s="182"/>
      <c r="HMK1" s="182"/>
      <c r="HML1" s="182"/>
      <c r="HMM1" s="182"/>
      <c r="HMN1" s="182"/>
      <c r="HMO1" s="182"/>
      <c r="HMP1" s="182"/>
      <c r="HMQ1" s="182"/>
      <c r="HMR1" s="182"/>
      <c r="HMS1" s="182"/>
      <c r="HMT1" s="182"/>
      <c r="HMU1" s="182"/>
      <c r="HMV1" s="182"/>
      <c r="HMW1" s="182"/>
      <c r="HMX1" s="182"/>
      <c r="HMY1" s="182"/>
      <c r="HMZ1" s="182"/>
      <c r="HNA1" s="182"/>
      <c r="HNB1" s="182"/>
      <c r="HNC1" s="182"/>
      <c r="HND1" s="182"/>
      <c r="HNE1" s="182"/>
      <c r="HNF1" s="182"/>
      <c r="HNG1" s="182"/>
      <c r="HNH1" s="182"/>
      <c r="HNI1" s="182"/>
      <c r="HNJ1" s="182"/>
      <c r="HNK1" s="182"/>
      <c r="HNL1" s="182"/>
      <c r="HNM1" s="182"/>
      <c r="HNN1" s="182"/>
      <c r="HNO1" s="182"/>
      <c r="HNP1" s="182"/>
      <c r="HNQ1" s="182"/>
      <c r="HNR1" s="182"/>
      <c r="HNS1" s="182"/>
      <c r="HNT1" s="182"/>
      <c r="HNU1" s="182"/>
      <c r="HNV1" s="182"/>
      <c r="HNW1" s="182"/>
      <c r="HNX1" s="182"/>
      <c r="HNY1" s="182"/>
      <c r="HNZ1" s="182"/>
      <c r="HOA1" s="182"/>
      <c r="HOB1" s="182"/>
      <c r="HOC1" s="182"/>
      <c r="HOD1" s="182"/>
      <c r="HOE1" s="182"/>
      <c r="HOF1" s="182"/>
      <c r="HOG1" s="182"/>
      <c r="HOH1" s="182"/>
      <c r="HOI1" s="182"/>
      <c r="HOJ1" s="182"/>
      <c r="HOK1" s="182"/>
      <c r="HOL1" s="182"/>
      <c r="HOM1" s="182"/>
      <c r="HON1" s="182"/>
      <c r="HOO1" s="182"/>
      <c r="HOP1" s="182"/>
      <c r="HOQ1" s="182"/>
      <c r="HOR1" s="182"/>
      <c r="HOS1" s="182"/>
      <c r="HOT1" s="182"/>
      <c r="HOU1" s="182"/>
      <c r="HOV1" s="182"/>
      <c r="HOW1" s="182"/>
      <c r="HOX1" s="182"/>
      <c r="HOY1" s="182"/>
      <c r="HOZ1" s="182"/>
      <c r="HPA1" s="182"/>
      <c r="HPB1" s="182"/>
      <c r="HPC1" s="182"/>
      <c r="HPD1" s="182"/>
      <c r="HPE1" s="182"/>
      <c r="HPF1" s="182"/>
      <c r="HPG1" s="182"/>
      <c r="HPH1" s="182"/>
      <c r="HPI1" s="182"/>
      <c r="HPJ1" s="182"/>
      <c r="HPK1" s="182"/>
      <c r="HPL1" s="182"/>
      <c r="HPM1" s="182"/>
      <c r="HPN1" s="182"/>
      <c r="HPO1" s="182"/>
      <c r="HPP1" s="182"/>
      <c r="HPQ1" s="182"/>
      <c r="HPR1" s="182"/>
      <c r="HPS1" s="182"/>
      <c r="HPT1" s="182"/>
      <c r="HPU1" s="182"/>
      <c r="HPV1" s="182"/>
      <c r="HPW1" s="182"/>
      <c r="HPX1" s="182"/>
      <c r="HPY1" s="182"/>
      <c r="HPZ1" s="182"/>
      <c r="HQA1" s="182"/>
      <c r="HQB1" s="182"/>
      <c r="HQC1" s="182"/>
      <c r="HQD1" s="182"/>
      <c r="HQE1" s="182"/>
      <c r="HQF1" s="182"/>
      <c r="HQG1" s="182"/>
      <c r="HQH1" s="182"/>
      <c r="HQI1" s="182"/>
      <c r="HQJ1" s="182"/>
      <c r="HQK1" s="182"/>
      <c r="HQL1" s="182"/>
      <c r="HQM1" s="182"/>
      <c r="HQN1" s="182"/>
      <c r="HQO1" s="182"/>
      <c r="HQP1" s="182"/>
      <c r="HQQ1" s="182"/>
      <c r="HQR1" s="182"/>
      <c r="HQS1" s="182"/>
      <c r="HQT1" s="182"/>
      <c r="HQU1" s="182"/>
      <c r="HQV1" s="182"/>
      <c r="HQW1" s="182"/>
      <c r="HQX1" s="182"/>
      <c r="HQY1" s="182"/>
      <c r="HQZ1" s="182"/>
      <c r="HRA1" s="182"/>
      <c r="HRB1" s="182"/>
      <c r="HRC1" s="182"/>
      <c r="HRD1" s="182"/>
      <c r="HRE1" s="182"/>
      <c r="HRF1" s="182"/>
      <c r="HRG1" s="182"/>
      <c r="HRH1" s="182"/>
      <c r="HRI1" s="182"/>
      <c r="HRJ1" s="182"/>
      <c r="HRK1" s="182"/>
      <c r="HRL1" s="182"/>
      <c r="HRM1" s="182"/>
      <c r="HRN1" s="182"/>
      <c r="HRO1" s="182"/>
      <c r="HRP1" s="182"/>
      <c r="HRQ1" s="182"/>
      <c r="HRR1" s="182"/>
      <c r="HRS1" s="182"/>
      <c r="HRT1" s="182"/>
      <c r="HRU1" s="182"/>
      <c r="HRV1" s="182"/>
      <c r="HRW1" s="182"/>
      <c r="HRX1" s="182"/>
      <c r="HRY1" s="182"/>
      <c r="HRZ1" s="182"/>
      <c r="HSA1" s="182"/>
      <c r="HSB1" s="182"/>
      <c r="HSC1" s="182"/>
      <c r="HSD1" s="182"/>
      <c r="HSE1" s="182"/>
      <c r="HSF1" s="182"/>
      <c r="HSG1" s="182"/>
      <c r="HSH1" s="182"/>
      <c r="HSI1" s="182"/>
      <c r="HSJ1" s="182"/>
      <c r="HSK1" s="182"/>
      <c r="HSL1" s="182"/>
      <c r="HSM1" s="182"/>
      <c r="HSN1" s="182"/>
      <c r="HSO1" s="182"/>
      <c r="HSP1" s="182"/>
      <c r="HSQ1" s="182"/>
      <c r="HSR1" s="182"/>
      <c r="HSS1" s="182"/>
      <c r="HST1" s="182"/>
      <c r="HSU1" s="182"/>
      <c r="HSV1" s="182"/>
      <c r="HSW1" s="182"/>
      <c r="HSX1" s="182"/>
      <c r="HSY1" s="182"/>
      <c r="HSZ1" s="182"/>
      <c r="HTA1" s="182"/>
      <c r="HTB1" s="182"/>
      <c r="HTC1" s="182"/>
      <c r="HTD1" s="182"/>
      <c r="HTE1" s="182"/>
      <c r="HTF1" s="182"/>
      <c r="HTG1" s="182"/>
      <c r="HTH1" s="182"/>
      <c r="HTI1" s="182"/>
      <c r="HTJ1" s="182"/>
      <c r="HTK1" s="182"/>
      <c r="HTL1" s="182"/>
      <c r="HTM1" s="182"/>
      <c r="HTN1" s="182"/>
      <c r="HTO1" s="182"/>
      <c r="HTP1" s="182"/>
      <c r="HTQ1" s="182"/>
      <c r="HTR1" s="182"/>
      <c r="HTS1" s="182"/>
      <c r="HTT1" s="182"/>
      <c r="HTU1" s="182"/>
      <c r="HTV1" s="182"/>
      <c r="HTW1" s="182"/>
      <c r="HTX1" s="182"/>
      <c r="HTY1" s="182"/>
      <c r="HTZ1" s="182"/>
      <c r="HUA1" s="182"/>
      <c r="HUB1" s="182"/>
      <c r="HUC1" s="182"/>
      <c r="HUD1" s="182"/>
      <c r="HUE1" s="182"/>
      <c r="HUF1" s="182"/>
      <c r="HUG1" s="182"/>
      <c r="HUH1" s="182"/>
      <c r="HUI1" s="182"/>
      <c r="HUJ1" s="182"/>
      <c r="HUK1" s="182"/>
      <c r="HUL1" s="182"/>
      <c r="HUM1" s="182"/>
      <c r="HUN1" s="182"/>
      <c r="HUO1" s="182"/>
      <c r="HUP1" s="182"/>
      <c r="HUQ1" s="182"/>
      <c r="HUR1" s="182"/>
      <c r="HUS1" s="182"/>
      <c r="HUT1" s="182"/>
      <c r="HUU1" s="182"/>
      <c r="HUV1" s="182"/>
      <c r="HUW1" s="182"/>
      <c r="HUX1" s="182"/>
      <c r="HUY1" s="182"/>
      <c r="HUZ1" s="182"/>
      <c r="HVA1" s="182"/>
      <c r="HVB1" s="182"/>
      <c r="HVC1" s="182"/>
      <c r="HVD1" s="182"/>
      <c r="HVE1" s="182"/>
      <c r="HVF1" s="182"/>
      <c r="HVG1" s="182"/>
      <c r="HVH1" s="182"/>
      <c r="HVI1" s="182"/>
      <c r="HVJ1" s="182"/>
      <c r="HVK1" s="182"/>
      <c r="HVL1" s="182"/>
      <c r="HVM1" s="182"/>
      <c r="HVN1" s="182"/>
      <c r="HVO1" s="182"/>
      <c r="HVP1" s="182"/>
      <c r="HVQ1" s="182"/>
      <c r="HVR1" s="182"/>
      <c r="HVS1" s="182"/>
      <c r="HVT1" s="182"/>
      <c r="HVU1" s="182"/>
      <c r="HVV1" s="182"/>
      <c r="HVW1" s="182"/>
      <c r="HVX1" s="182"/>
      <c r="HVY1" s="182"/>
      <c r="HVZ1" s="182"/>
      <c r="HWA1" s="182"/>
      <c r="HWB1" s="182"/>
      <c r="HWC1" s="182"/>
      <c r="HWD1" s="182"/>
      <c r="HWE1" s="182"/>
      <c r="HWF1" s="182"/>
      <c r="HWG1" s="182"/>
      <c r="HWH1" s="182"/>
      <c r="HWI1" s="182"/>
      <c r="HWJ1" s="182"/>
      <c r="HWK1" s="182"/>
      <c r="HWL1" s="182"/>
      <c r="HWM1" s="182"/>
      <c r="HWN1" s="182"/>
      <c r="HWO1" s="182"/>
      <c r="HWP1" s="182"/>
      <c r="HWQ1" s="182"/>
      <c r="HWR1" s="182"/>
      <c r="HWS1" s="182"/>
      <c r="HWT1" s="182"/>
      <c r="HWU1" s="182"/>
      <c r="HWV1" s="182"/>
      <c r="HWW1" s="182"/>
      <c r="HWX1" s="182"/>
      <c r="HWY1" s="182"/>
      <c r="HWZ1" s="182"/>
      <c r="HXA1" s="182"/>
      <c r="HXB1" s="182"/>
      <c r="HXC1" s="182"/>
      <c r="HXD1" s="182"/>
      <c r="HXE1" s="182"/>
      <c r="HXF1" s="182"/>
      <c r="HXG1" s="182"/>
      <c r="HXH1" s="182"/>
      <c r="HXI1" s="182"/>
      <c r="HXJ1" s="182"/>
      <c r="HXK1" s="182"/>
      <c r="HXL1" s="182"/>
      <c r="HXM1" s="182"/>
      <c r="HXN1" s="182"/>
      <c r="HXO1" s="182"/>
      <c r="HXP1" s="182"/>
      <c r="HXQ1" s="182"/>
      <c r="HXR1" s="182"/>
      <c r="HXS1" s="182"/>
      <c r="HXT1" s="182"/>
      <c r="HXU1" s="182"/>
      <c r="HXV1" s="182"/>
      <c r="HXW1" s="182"/>
      <c r="HXX1" s="182"/>
      <c r="HXY1" s="182"/>
      <c r="HXZ1" s="182"/>
      <c r="HYA1" s="182"/>
      <c r="HYB1" s="182"/>
      <c r="HYC1" s="182"/>
      <c r="HYD1" s="182"/>
      <c r="HYE1" s="182"/>
      <c r="HYF1" s="182"/>
      <c r="HYG1" s="182"/>
      <c r="HYH1" s="182"/>
      <c r="HYI1" s="182"/>
      <c r="HYJ1" s="182"/>
      <c r="HYK1" s="182"/>
      <c r="HYL1" s="182"/>
      <c r="HYM1" s="182"/>
      <c r="HYN1" s="182"/>
      <c r="HYO1" s="182"/>
      <c r="HYP1" s="182"/>
      <c r="HYQ1" s="182"/>
      <c r="HYR1" s="182"/>
      <c r="HYS1" s="182"/>
      <c r="HYT1" s="182"/>
      <c r="HYU1" s="182"/>
      <c r="HYV1" s="182"/>
      <c r="HYW1" s="182"/>
      <c r="HYX1" s="182"/>
      <c r="HYY1" s="182"/>
      <c r="HYZ1" s="182"/>
      <c r="HZA1" s="182"/>
      <c r="HZB1" s="182"/>
      <c r="HZC1" s="182"/>
      <c r="HZD1" s="182"/>
      <c r="HZE1" s="182"/>
      <c r="HZF1" s="182"/>
      <c r="HZG1" s="182"/>
      <c r="HZH1" s="182"/>
      <c r="HZI1" s="182"/>
      <c r="HZJ1" s="182"/>
      <c r="HZK1" s="182"/>
      <c r="HZL1" s="182"/>
      <c r="HZM1" s="182"/>
      <c r="HZN1" s="182"/>
      <c r="HZO1" s="182"/>
      <c r="HZP1" s="182"/>
      <c r="HZQ1" s="182"/>
      <c r="HZR1" s="182"/>
      <c r="HZS1" s="182"/>
      <c r="HZT1" s="182"/>
      <c r="HZU1" s="182"/>
      <c r="HZV1" s="182"/>
      <c r="HZW1" s="182"/>
      <c r="HZX1" s="182"/>
      <c r="HZY1" s="182"/>
      <c r="HZZ1" s="182"/>
      <c r="IAA1" s="182"/>
      <c r="IAB1" s="182"/>
      <c r="IAC1" s="182"/>
      <c r="IAD1" s="182"/>
      <c r="IAE1" s="182"/>
      <c r="IAF1" s="182"/>
      <c r="IAG1" s="182"/>
      <c r="IAH1" s="182"/>
      <c r="IAI1" s="182"/>
      <c r="IAJ1" s="182"/>
      <c r="IAK1" s="182"/>
      <c r="IAL1" s="182"/>
      <c r="IAM1" s="182"/>
      <c r="IAN1" s="182"/>
      <c r="IAO1" s="182"/>
      <c r="IAP1" s="182"/>
      <c r="IAQ1" s="182"/>
      <c r="IAR1" s="182"/>
      <c r="IAS1" s="182"/>
      <c r="IAT1" s="182"/>
      <c r="IAU1" s="182"/>
      <c r="IAV1" s="182"/>
      <c r="IAW1" s="182"/>
      <c r="IAX1" s="182"/>
      <c r="IAY1" s="182"/>
      <c r="IAZ1" s="182"/>
      <c r="IBA1" s="182"/>
      <c r="IBB1" s="182"/>
      <c r="IBC1" s="182"/>
      <c r="IBD1" s="182"/>
      <c r="IBE1" s="182"/>
      <c r="IBF1" s="182"/>
      <c r="IBG1" s="182"/>
      <c r="IBH1" s="182"/>
      <c r="IBI1" s="182"/>
      <c r="IBJ1" s="182"/>
      <c r="IBK1" s="182"/>
      <c r="IBL1" s="182"/>
      <c r="IBM1" s="182"/>
      <c r="IBN1" s="182"/>
      <c r="IBO1" s="182"/>
      <c r="IBP1" s="182"/>
      <c r="IBQ1" s="182"/>
      <c r="IBR1" s="182"/>
      <c r="IBS1" s="182"/>
      <c r="IBT1" s="182"/>
      <c r="IBU1" s="182"/>
      <c r="IBV1" s="182"/>
      <c r="IBW1" s="182"/>
      <c r="IBX1" s="182"/>
      <c r="IBY1" s="182"/>
      <c r="IBZ1" s="182"/>
      <c r="ICA1" s="182"/>
      <c r="ICB1" s="182"/>
      <c r="ICC1" s="182"/>
      <c r="ICD1" s="182"/>
      <c r="ICE1" s="182"/>
      <c r="ICF1" s="182"/>
      <c r="ICG1" s="182"/>
      <c r="ICH1" s="182"/>
      <c r="ICI1" s="182"/>
      <c r="ICJ1" s="182"/>
      <c r="ICK1" s="182"/>
      <c r="ICL1" s="182"/>
      <c r="ICM1" s="182"/>
      <c r="ICN1" s="182"/>
      <c r="ICO1" s="182"/>
      <c r="ICP1" s="182"/>
      <c r="ICQ1" s="182"/>
      <c r="ICR1" s="182"/>
      <c r="ICS1" s="182"/>
      <c r="ICT1" s="182"/>
      <c r="ICU1" s="182"/>
      <c r="ICV1" s="182"/>
      <c r="ICW1" s="182"/>
      <c r="ICX1" s="182"/>
      <c r="ICY1" s="182"/>
      <c r="ICZ1" s="182"/>
      <c r="IDA1" s="182"/>
      <c r="IDB1" s="182"/>
      <c r="IDC1" s="182"/>
      <c r="IDD1" s="182"/>
      <c r="IDE1" s="182"/>
      <c r="IDF1" s="182"/>
      <c r="IDG1" s="182"/>
      <c r="IDH1" s="182"/>
      <c r="IDI1" s="182"/>
      <c r="IDJ1" s="182"/>
      <c r="IDK1" s="182"/>
      <c r="IDL1" s="182"/>
      <c r="IDM1" s="182"/>
      <c r="IDN1" s="182"/>
      <c r="IDO1" s="182"/>
      <c r="IDP1" s="182"/>
      <c r="IDQ1" s="182"/>
      <c r="IDR1" s="182"/>
      <c r="IDS1" s="182"/>
      <c r="IDT1" s="182"/>
      <c r="IDU1" s="182"/>
      <c r="IDV1" s="182"/>
      <c r="IDW1" s="182"/>
      <c r="IDX1" s="182"/>
      <c r="IDY1" s="182"/>
      <c r="IDZ1" s="182"/>
      <c r="IEA1" s="182"/>
      <c r="IEB1" s="182"/>
      <c r="IEC1" s="182"/>
      <c r="IED1" s="182"/>
      <c r="IEE1" s="182"/>
      <c r="IEF1" s="182"/>
      <c r="IEG1" s="182"/>
      <c r="IEH1" s="182"/>
      <c r="IEI1" s="182"/>
      <c r="IEJ1" s="182"/>
      <c r="IEK1" s="182"/>
      <c r="IEL1" s="182"/>
      <c r="IEM1" s="182"/>
      <c r="IEN1" s="182"/>
      <c r="IEO1" s="182"/>
      <c r="IEP1" s="182"/>
      <c r="IEQ1" s="182"/>
      <c r="IER1" s="182"/>
      <c r="IES1" s="182"/>
      <c r="IET1" s="182"/>
      <c r="IEU1" s="182"/>
      <c r="IEV1" s="182"/>
      <c r="IEW1" s="182"/>
      <c r="IEX1" s="182"/>
      <c r="IEY1" s="182"/>
      <c r="IEZ1" s="182"/>
      <c r="IFA1" s="182"/>
      <c r="IFB1" s="182"/>
      <c r="IFC1" s="182"/>
      <c r="IFD1" s="182"/>
      <c r="IFE1" s="182"/>
      <c r="IFF1" s="182"/>
      <c r="IFG1" s="182"/>
      <c r="IFH1" s="182"/>
      <c r="IFI1" s="182"/>
      <c r="IFJ1" s="182"/>
      <c r="IFK1" s="182"/>
      <c r="IFL1" s="182"/>
      <c r="IFM1" s="182"/>
      <c r="IFN1" s="182"/>
      <c r="IFO1" s="182"/>
      <c r="IFP1" s="182"/>
      <c r="IFQ1" s="182"/>
      <c r="IFR1" s="182"/>
      <c r="IFS1" s="182"/>
      <c r="IFT1" s="182"/>
      <c r="IFU1" s="182"/>
      <c r="IFV1" s="182"/>
      <c r="IFW1" s="182"/>
      <c r="IFX1" s="182"/>
      <c r="IFY1" s="182"/>
      <c r="IFZ1" s="182"/>
      <c r="IGA1" s="182"/>
      <c r="IGB1" s="182"/>
      <c r="IGC1" s="182"/>
      <c r="IGD1" s="182"/>
      <c r="IGE1" s="182"/>
      <c r="IGF1" s="182"/>
      <c r="IGG1" s="182"/>
      <c r="IGH1" s="182"/>
      <c r="IGI1" s="182"/>
      <c r="IGJ1" s="182"/>
      <c r="IGK1" s="182"/>
      <c r="IGL1" s="182"/>
      <c r="IGM1" s="182"/>
      <c r="IGN1" s="182"/>
      <c r="IGO1" s="182"/>
      <c r="IGP1" s="182"/>
      <c r="IGQ1" s="182"/>
      <c r="IGR1" s="182"/>
      <c r="IGS1" s="182"/>
      <c r="IGT1" s="182"/>
      <c r="IGU1" s="182"/>
      <c r="IGV1" s="182"/>
      <c r="IGW1" s="182"/>
      <c r="IGX1" s="182"/>
      <c r="IGY1" s="182"/>
      <c r="IGZ1" s="182"/>
      <c r="IHA1" s="182"/>
      <c r="IHB1" s="182"/>
      <c r="IHC1" s="182"/>
      <c r="IHD1" s="182"/>
      <c r="IHE1" s="182"/>
      <c r="IHF1" s="182"/>
      <c r="IHG1" s="182"/>
      <c r="IHH1" s="182"/>
      <c r="IHI1" s="182"/>
      <c r="IHJ1" s="182"/>
      <c r="IHK1" s="182"/>
      <c r="IHL1" s="182"/>
      <c r="IHM1" s="182"/>
      <c r="IHN1" s="182"/>
      <c r="IHO1" s="182"/>
      <c r="IHP1" s="182"/>
      <c r="IHQ1" s="182"/>
      <c r="IHR1" s="182"/>
      <c r="IHS1" s="182"/>
      <c r="IHT1" s="182"/>
      <c r="IHU1" s="182"/>
      <c r="IHV1" s="182"/>
      <c r="IHW1" s="182"/>
      <c r="IHX1" s="182"/>
      <c r="IHY1" s="182"/>
      <c r="IHZ1" s="182"/>
      <c r="IIA1" s="182"/>
      <c r="IIB1" s="182"/>
      <c r="IIC1" s="182"/>
      <c r="IID1" s="182"/>
      <c r="IIE1" s="182"/>
      <c r="IIF1" s="182"/>
      <c r="IIG1" s="182"/>
      <c r="IIH1" s="182"/>
      <c r="III1" s="182"/>
      <c r="IIJ1" s="182"/>
      <c r="IIK1" s="182"/>
      <c r="IIL1" s="182"/>
      <c r="IIM1" s="182"/>
      <c r="IIN1" s="182"/>
      <c r="IIO1" s="182"/>
      <c r="IIP1" s="182"/>
      <c r="IIQ1" s="182"/>
      <c r="IIR1" s="182"/>
      <c r="IIS1" s="182"/>
      <c r="IIT1" s="182"/>
      <c r="IIU1" s="182"/>
      <c r="IIV1" s="182"/>
      <c r="IIW1" s="182"/>
      <c r="IIX1" s="182"/>
      <c r="IIY1" s="182"/>
      <c r="IIZ1" s="182"/>
      <c r="IJA1" s="182"/>
      <c r="IJB1" s="182"/>
      <c r="IJC1" s="182"/>
      <c r="IJD1" s="182"/>
      <c r="IJE1" s="182"/>
      <c r="IJF1" s="182"/>
      <c r="IJG1" s="182"/>
      <c r="IJH1" s="182"/>
      <c r="IJI1" s="182"/>
      <c r="IJJ1" s="182"/>
      <c r="IJK1" s="182"/>
      <c r="IJL1" s="182"/>
      <c r="IJM1" s="182"/>
      <c r="IJN1" s="182"/>
      <c r="IJO1" s="182"/>
      <c r="IJP1" s="182"/>
      <c r="IJQ1" s="182"/>
      <c r="IJR1" s="182"/>
      <c r="IJS1" s="182"/>
      <c r="IJT1" s="182"/>
      <c r="IJU1" s="182"/>
      <c r="IJV1" s="182"/>
      <c r="IJW1" s="182"/>
      <c r="IJX1" s="182"/>
      <c r="IJY1" s="182"/>
      <c r="IJZ1" s="182"/>
      <c r="IKA1" s="182"/>
      <c r="IKB1" s="182"/>
      <c r="IKC1" s="182"/>
      <c r="IKD1" s="182"/>
      <c r="IKE1" s="182"/>
      <c r="IKF1" s="182"/>
      <c r="IKG1" s="182"/>
      <c r="IKH1" s="182"/>
      <c r="IKI1" s="182"/>
      <c r="IKJ1" s="182"/>
      <c r="IKK1" s="182"/>
      <c r="IKL1" s="182"/>
      <c r="IKM1" s="182"/>
      <c r="IKN1" s="182"/>
      <c r="IKO1" s="182"/>
      <c r="IKP1" s="182"/>
      <c r="IKQ1" s="182"/>
      <c r="IKR1" s="182"/>
      <c r="IKS1" s="182"/>
      <c r="IKT1" s="182"/>
      <c r="IKU1" s="182"/>
      <c r="IKV1" s="182"/>
      <c r="IKW1" s="182"/>
      <c r="IKX1" s="182"/>
      <c r="IKY1" s="182"/>
      <c r="IKZ1" s="182"/>
      <c r="ILA1" s="182"/>
      <c r="ILB1" s="182"/>
      <c r="ILC1" s="182"/>
      <c r="ILD1" s="182"/>
      <c r="ILE1" s="182"/>
      <c r="ILF1" s="182"/>
      <c r="ILG1" s="182"/>
      <c r="ILH1" s="182"/>
      <c r="ILI1" s="182"/>
      <c r="ILJ1" s="182"/>
      <c r="ILK1" s="182"/>
      <c r="ILL1" s="182"/>
      <c r="ILM1" s="182"/>
      <c r="ILN1" s="182"/>
      <c r="ILO1" s="182"/>
      <c r="ILP1" s="182"/>
      <c r="ILQ1" s="182"/>
      <c r="ILR1" s="182"/>
      <c r="ILS1" s="182"/>
      <c r="ILT1" s="182"/>
      <c r="ILU1" s="182"/>
      <c r="ILV1" s="182"/>
      <c r="ILW1" s="182"/>
      <c r="ILX1" s="182"/>
      <c r="ILY1" s="182"/>
      <c r="ILZ1" s="182"/>
      <c r="IMA1" s="182"/>
      <c r="IMB1" s="182"/>
      <c r="IMC1" s="182"/>
      <c r="IMD1" s="182"/>
      <c r="IME1" s="182"/>
      <c r="IMF1" s="182"/>
      <c r="IMG1" s="182"/>
      <c r="IMH1" s="182"/>
      <c r="IMI1" s="182"/>
      <c r="IMJ1" s="182"/>
      <c r="IMK1" s="182"/>
      <c r="IML1" s="182"/>
      <c r="IMM1" s="182"/>
      <c r="IMN1" s="182"/>
      <c r="IMO1" s="182"/>
      <c r="IMP1" s="182"/>
      <c r="IMQ1" s="182"/>
      <c r="IMR1" s="182"/>
      <c r="IMS1" s="182"/>
      <c r="IMT1" s="182"/>
      <c r="IMU1" s="182"/>
      <c r="IMV1" s="182"/>
      <c r="IMW1" s="182"/>
      <c r="IMX1" s="182"/>
      <c r="IMY1" s="182"/>
      <c r="IMZ1" s="182"/>
      <c r="INA1" s="182"/>
      <c r="INB1" s="182"/>
      <c r="INC1" s="182"/>
      <c r="IND1" s="182"/>
      <c r="INE1" s="182"/>
      <c r="INF1" s="182"/>
      <c r="ING1" s="182"/>
      <c r="INH1" s="182"/>
      <c r="INI1" s="182"/>
      <c r="INJ1" s="182"/>
      <c r="INK1" s="182"/>
      <c r="INL1" s="182"/>
      <c r="INM1" s="182"/>
      <c r="INN1" s="182"/>
      <c r="INO1" s="182"/>
      <c r="INP1" s="182"/>
      <c r="INQ1" s="182"/>
      <c r="INR1" s="182"/>
      <c r="INS1" s="182"/>
      <c r="INT1" s="182"/>
      <c r="INU1" s="182"/>
      <c r="INV1" s="182"/>
      <c r="INW1" s="182"/>
      <c r="INX1" s="182"/>
      <c r="INY1" s="182"/>
      <c r="INZ1" s="182"/>
      <c r="IOA1" s="182"/>
      <c r="IOB1" s="182"/>
      <c r="IOC1" s="182"/>
      <c r="IOD1" s="182"/>
      <c r="IOE1" s="182"/>
      <c r="IOF1" s="182"/>
      <c r="IOG1" s="182"/>
      <c r="IOH1" s="182"/>
      <c r="IOI1" s="182"/>
      <c r="IOJ1" s="182"/>
      <c r="IOK1" s="182"/>
      <c r="IOL1" s="182"/>
      <c r="IOM1" s="182"/>
      <c r="ION1" s="182"/>
      <c r="IOO1" s="182"/>
      <c r="IOP1" s="182"/>
      <c r="IOQ1" s="182"/>
      <c r="IOR1" s="182"/>
      <c r="IOS1" s="182"/>
      <c r="IOT1" s="182"/>
      <c r="IOU1" s="182"/>
      <c r="IOV1" s="182"/>
      <c r="IOW1" s="182"/>
      <c r="IOX1" s="182"/>
      <c r="IOY1" s="182"/>
      <c r="IOZ1" s="182"/>
      <c r="IPA1" s="182"/>
      <c r="IPB1" s="182"/>
      <c r="IPC1" s="182"/>
      <c r="IPD1" s="182"/>
      <c r="IPE1" s="182"/>
      <c r="IPF1" s="182"/>
      <c r="IPG1" s="182"/>
      <c r="IPH1" s="182"/>
      <c r="IPI1" s="182"/>
      <c r="IPJ1" s="182"/>
      <c r="IPK1" s="182"/>
      <c r="IPL1" s="182"/>
      <c r="IPM1" s="182"/>
      <c r="IPN1" s="182"/>
      <c r="IPO1" s="182"/>
      <c r="IPP1" s="182"/>
      <c r="IPQ1" s="182"/>
      <c r="IPR1" s="182"/>
      <c r="IPS1" s="182"/>
      <c r="IPT1" s="182"/>
      <c r="IPU1" s="182"/>
      <c r="IPV1" s="182"/>
      <c r="IPW1" s="182"/>
      <c r="IPX1" s="182"/>
      <c r="IPY1" s="182"/>
      <c r="IPZ1" s="182"/>
      <c r="IQA1" s="182"/>
      <c r="IQB1" s="182"/>
      <c r="IQC1" s="182"/>
      <c r="IQD1" s="182"/>
      <c r="IQE1" s="182"/>
      <c r="IQF1" s="182"/>
      <c r="IQG1" s="182"/>
      <c r="IQH1" s="182"/>
      <c r="IQI1" s="182"/>
      <c r="IQJ1" s="182"/>
      <c r="IQK1" s="182"/>
      <c r="IQL1" s="182"/>
      <c r="IQM1" s="182"/>
      <c r="IQN1" s="182"/>
      <c r="IQO1" s="182"/>
      <c r="IQP1" s="182"/>
      <c r="IQQ1" s="182"/>
      <c r="IQR1" s="182"/>
      <c r="IQS1" s="182"/>
      <c r="IQT1" s="182"/>
      <c r="IQU1" s="182"/>
      <c r="IQV1" s="182"/>
      <c r="IQW1" s="182"/>
      <c r="IQX1" s="182"/>
      <c r="IQY1" s="182"/>
      <c r="IQZ1" s="182"/>
      <c r="IRA1" s="182"/>
      <c r="IRB1" s="182"/>
      <c r="IRC1" s="182"/>
      <c r="IRD1" s="182"/>
      <c r="IRE1" s="182"/>
      <c r="IRF1" s="182"/>
      <c r="IRG1" s="182"/>
      <c r="IRH1" s="182"/>
      <c r="IRI1" s="182"/>
      <c r="IRJ1" s="182"/>
      <c r="IRK1" s="182"/>
      <c r="IRL1" s="182"/>
      <c r="IRM1" s="182"/>
      <c r="IRN1" s="182"/>
      <c r="IRO1" s="182"/>
      <c r="IRP1" s="182"/>
      <c r="IRQ1" s="182"/>
      <c r="IRR1" s="182"/>
      <c r="IRS1" s="182"/>
      <c r="IRT1" s="182"/>
      <c r="IRU1" s="182"/>
      <c r="IRV1" s="182"/>
      <c r="IRW1" s="182"/>
      <c r="IRX1" s="182"/>
      <c r="IRY1" s="182"/>
      <c r="IRZ1" s="182"/>
      <c r="ISA1" s="182"/>
      <c r="ISB1" s="182"/>
      <c r="ISC1" s="182"/>
      <c r="ISD1" s="182"/>
      <c r="ISE1" s="182"/>
      <c r="ISF1" s="182"/>
      <c r="ISG1" s="182"/>
      <c r="ISH1" s="182"/>
      <c r="ISI1" s="182"/>
      <c r="ISJ1" s="182"/>
      <c r="ISK1" s="182"/>
      <c r="ISL1" s="182"/>
      <c r="ISM1" s="182"/>
      <c r="ISN1" s="182"/>
      <c r="ISO1" s="182"/>
      <c r="ISP1" s="182"/>
      <c r="ISQ1" s="182"/>
      <c r="ISR1" s="182"/>
      <c r="ISS1" s="182"/>
      <c r="IST1" s="182"/>
      <c r="ISU1" s="182"/>
      <c r="ISV1" s="182"/>
      <c r="ISW1" s="182"/>
      <c r="ISX1" s="182"/>
      <c r="ISY1" s="182"/>
      <c r="ISZ1" s="182"/>
      <c r="ITA1" s="182"/>
      <c r="ITB1" s="182"/>
      <c r="ITC1" s="182"/>
      <c r="ITD1" s="182"/>
      <c r="ITE1" s="182"/>
      <c r="ITF1" s="182"/>
      <c r="ITG1" s="182"/>
      <c r="ITH1" s="182"/>
      <c r="ITI1" s="182"/>
      <c r="ITJ1" s="182"/>
      <c r="ITK1" s="182"/>
      <c r="ITL1" s="182"/>
      <c r="ITM1" s="182"/>
      <c r="ITN1" s="182"/>
      <c r="ITO1" s="182"/>
      <c r="ITP1" s="182"/>
      <c r="ITQ1" s="182"/>
      <c r="ITR1" s="182"/>
      <c r="ITS1" s="182"/>
      <c r="ITT1" s="182"/>
      <c r="ITU1" s="182"/>
      <c r="ITV1" s="182"/>
      <c r="ITW1" s="182"/>
      <c r="ITX1" s="182"/>
      <c r="ITY1" s="182"/>
      <c r="ITZ1" s="182"/>
      <c r="IUA1" s="182"/>
      <c r="IUB1" s="182"/>
      <c r="IUC1" s="182"/>
      <c r="IUD1" s="182"/>
      <c r="IUE1" s="182"/>
      <c r="IUF1" s="182"/>
      <c r="IUG1" s="182"/>
      <c r="IUH1" s="182"/>
      <c r="IUI1" s="182"/>
      <c r="IUJ1" s="182"/>
      <c r="IUK1" s="182"/>
      <c r="IUL1" s="182"/>
      <c r="IUM1" s="182"/>
      <c r="IUN1" s="182"/>
      <c r="IUO1" s="182"/>
      <c r="IUP1" s="182"/>
      <c r="IUQ1" s="182"/>
      <c r="IUR1" s="182"/>
      <c r="IUS1" s="182"/>
      <c r="IUT1" s="182"/>
      <c r="IUU1" s="182"/>
      <c r="IUV1" s="182"/>
      <c r="IUW1" s="182"/>
      <c r="IUX1" s="182"/>
      <c r="IUY1" s="182"/>
      <c r="IUZ1" s="182"/>
      <c r="IVA1" s="182"/>
      <c r="IVB1" s="182"/>
      <c r="IVC1" s="182"/>
      <c r="IVD1" s="182"/>
      <c r="IVE1" s="182"/>
      <c r="IVF1" s="182"/>
      <c r="IVG1" s="182"/>
      <c r="IVH1" s="182"/>
      <c r="IVI1" s="182"/>
      <c r="IVJ1" s="182"/>
      <c r="IVK1" s="182"/>
      <c r="IVL1" s="182"/>
      <c r="IVM1" s="182"/>
      <c r="IVN1" s="182"/>
      <c r="IVO1" s="182"/>
      <c r="IVP1" s="182"/>
      <c r="IVQ1" s="182"/>
      <c r="IVR1" s="182"/>
      <c r="IVS1" s="182"/>
      <c r="IVT1" s="182"/>
      <c r="IVU1" s="182"/>
      <c r="IVV1" s="182"/>
      <c r="IVW1" s="182"/>
      <c r="IVX1" s="182"/>
      <c r="IVY1" s="182"/>
      <c r="IVZ1" s="182"/>
      <c r="IWA1" s="182"/>
      <c r="IWB1" s="182"/>
      <c r="IWC1" s="182"/>
      <c r="IWD1" s="182"/>
      <c r="IWE1" s="182"/>
      <c r="IWF1" s="182"/>
      <c r="IWG1" s="182"/>
      <c r="IWH1" s="182"/>
      <c r="IWI1" s="182"/>
      <c r="IWJ1" s="182"/>
      <c r="IWK1" s="182"/>
      <c r="IWL1" s="182"/>
      <c r="IWM1" s="182"/>
      <c r="IWN1" s="182"/>
      <c r="IWO1" s="182"/>
      <c r="IWP1" s="182"/>
      <c r="IWQ1" s="182"/>
      <c r="IWR1" s="182"/>
      <c r="IWS1" s="182"/>
      <c r="IWT1" s="182"/>
      <c r="IWU1" s="182"/>
      <c r="IWV1" s="182"/>
      <c r="IWW1" s="182"/>
      <c r="IWX1" s="182"/>
      <c r="IWY1" s="182"/>
      <c r="IWZ1" s="182"/>
      <c r="IXA1" s="182"/>
      <c r="IXB1" s="182"/>
      <c r="IXC1" s="182"/>
      <c r="IXD1" s="182"/>
      <c r="IXE1" s="182"/>
      <c r="IXF1" s="182"/>
      <c r="IXG1" s="182"/>
      <c r="IXH1" s="182"/>
      <c r="IXI1" s="182"/>
      <c r="IXJ1" s="182"/>
      <c r="IXK1" s="182"/>
      <c r="IXL1" s="182"/>
      <c r="IXM1" s="182"/>
      <c r="IXN1" s="182"/>
      <c r="IXO1" s="182"/>
      <c r="IXP1" s="182"/>
      <c r="IXQ1" s="182"/>
      <c r="IXR1" s="182"/>
      <c r="IXS1" s="182"/>
      <c r="IXT1" s="182"/>
      <c r="IXU1" s="182"/>
      <c r="IXV1" s="182"/>
      <c r="IXW1" s="182"/>
      <c r="IXX1" s="182"/>
      <c r="IXY1" s="182"/>
      <c r="IXZ1" s="182"/>
      <c r="IYA1" s="182"/>
      <c r="IYB1" s="182"/>
      <c r="IYC1" s="182"/>
      <c r="IYD1" s="182"/>
      <c r="IYE1" s="182"/>
      <c r="IYF1" s="182"/>
      <c r="IYG1" s="182"/>
      <c r="IYH1" s="182"/>
      <c r="IYI1" s="182"/>
      <c r="IYJ1" s="182"/>
      <c r="IYK1" s="182"/>
      <c r="IYL1" s="182"/>
      <c r="IYM1" s="182"/>
      <c r="IYN1" s="182"/>
      <c r="IYO1" s="182"/>
      <c r="IYP1" s="182"/>
      <c r="IYQ1" s="182"/>
      <c r="IYR1" s="182"/>
      <c r="IYS1" s="182"/>
      <c r="IYT1" s="182"/>
      <c r="IYU1" s="182"/>
      <c r="IYV1" s="182"/>
      <c r="IYW1" s="182"/>
      <c r="IYX1" s="182"/>
      <c r="IYY1" s="182"/>
      <c r="IYZ1" s="182"/>
      <c r="IZA1" s="182"/>
      <c r="IZB1" s="182"/>
      <c r="IZC1" s="182"/>
      <c r="IZD1" s="182"/>
      <c r="IZE1" s="182"/>
      <c r="IZF1" s="182"/>
      <c r="IZG1" s="182"/>
      <c r="IZH1" s="182"/>
      <c r="IZI1" s="182"/>
      <c r="IZJ1" s="182"/>
      <c r="IZK1" s="182"/>
      <c r="IZL1" s="182"/>
      <c r="IZM1" s="182"/>
      <c r="IZN1" s="182"/>
      <c r="IZO1" s="182"/>
      <c r="IZP1" s="182"/>
      <c r="IZQ1" s="182"/>
      <c r="IZR1" s="182"/>
      <c r="IZS1" s="182"/>
      <c r="IZT1" s="182"/>
      <c r="IZU1" s="182"/>
      <c r="IZV1" s="182"/>
      <c r="IZW1" s="182"/>
      <c r="IZX1" s="182"/>
      <c r="IZY1" s="182"/>
      <c r="IZZ1" s="182"/>
      <c r="JAA1" s="182"/>
      <c r="JAB1" s="182"/>
      <c r="JAC1" s="182"/>
      <c r="JAD1" s="182"/>
      <c r="JAE1" s="182"/>
      <c r="JAF1" s="182"/>
      <c r="JAG1" s="182"/>
      <c r="JAH1" s="182"/>
      <c r="JAI1" s="182"/>
      <c r="JAJ1" s="182"/>
      <c r="JAK1" s="182"/>
      <c r="JAL1" s="182"/>
      <c r="JAM1" s="182"/>
      <c r="JAN1" s="182"/>
      <c r="JAO1" s="182"/>
      <c r="JAP1" s="182"/>
      <c r="JAQ1" s="182"/>
      <c r="JAR1" s="182"/>
      <c r="JAS1" s="182"/>
      <c r="JAT1" s="182"/>
      <c r="JAU1" s="182"/>
      <c r="JAV1" s="182"/>
      <c r="JAW1" s="182"/>
      <c r="JAX1" s="182"/>
      <c r="JAY1" s="182"/>
      <c r="JAZ1" s="182"/>
      <c r="JBA1" s="182"/>
      <c r="JBB1" s="182"/>
      <c r="JBC1" s="182"/>
      <c r="JBD1" s="182"/>
      <c r="JBE1" s="182"/>
      <c r="JBF1" s="182"/>
      <c r="JBG1" s="182"/>
      <c r="JBH1" s="182"/>
      <c r="JBI1" s="182"/>
      <c r="JBJ1" s="182"/>
      <c r="JBK1" s="182"/>
      <c r="JBL1" s="182"/>
      <c r="JBM1" s="182"/>
      <c r="JBN1" s="182"/>
      <c r="JBO1" s="182"/>
      <c r="JBP1" s="182"/>
      <c r="JBQ1" s="182"/>
      <c r="JBR1" s="182"/>
      <c r="JBS1" s="182"/>
      <c r="JBT1" s="182"/>
      <c r="JBU1" s="182"/>
      <c r="JBV1" s="182"/>
      <c r="JBW1" s="182"/>
      <c r="JBX1" s="182"/>
      <c r="JBY1" s="182"/>
      <c r="JBZ1" s="182"/>
      <c r="JCA1" s="182"/>
      <c r="JCB1" s="182"/>
      <c r="JCC1" s="182"/>
      <c r="JCD1" s="182"/>
      <c r="JCE1" s="182"/>
      <c r="JCF1" s="182"/>
      <c r="JCG1" s="182"/>
      <c r="JCH1" s="182"/>
      <c r="JCI1" s="182"/>
      <c r="JCJ1" s="182"/>
      <c r="JCK1" s="182"/>
      <c r="JCL1" s="182"/>
      <c r="JCM1" s="182"/>
      <c r="JCN1" s="182"/>
      <c r="JCO1" s="182"/>
      <c r="JCP1" s="182"/>
      <c r="JCQ1" s="182"/>
      <c r="JCR1" s="182"/>
      <c r="JCS1" s="182"/>
      <c r="JCT1" s="182"/>
      <c r="JCU1" s="182"/>
      <c r="JCV1" s="182"/>
      <c r="JCW1" s="182"/>
      <c r="JCX1" s="182"/>
      <c r="JCY1" s="182"/>
      <c r="JCZ1" s="182"/>
      <c r="JDA1" s="182"/>
      <c r="JDB1" s="182"/>
      <c r="JDC1" s="182"/>
      <c r="JDD1" s="182"/>
      <c r="JDE1" s="182"/>
      <c r="JDF1" s="182"/>
      <c r="JDG1" s="182"/>
      <c r="JDH1" s="182"/>
      <c r="JDI1" s="182"/>
      <c r="JDJ1" s="182"/>
      <c r="JDK1" s="182"/>
      <c r="JDL1" s="182"/>
      <c r="JDM1" s="182"/>
      <c r="JDN1" s="182"/>
      <c r="JDO1" s="182"/>
      <c r="JDP1" s="182"/>
      <c r="JDQ1" s="182"/>
      <c r="JDR1" s="182"/>
      <c r="JDS1" s="182"/>
      <c r="JDT1" s="182"/>
      <c r="JDU1" s="182"/>
      <c r="JDV1" s="182"/>
      <c r="JDW1" s="182"/>
      <c r="JDX1" s="182"/>
      <c r="JDY1" s="182"/>
      <c r="JDZ1" s="182"/>
      <c r="JEA1" s="182"/>
      <c r="JEB1" s="182"/>
      <c r="JEC1" s="182"/>
      <c r="JED1" s="182"/>
      <c r="JEE1" s="182"/>
      <c r="JEF1" s="182"/>
      <c r="JEG1" s="182"/>
      <c r="JEH1" s="182"/>
      <c r="JEI1" s="182"/>
      <c r="JEJ1" s="182"/>
      <c r="JEK1" s="182"/>
      <c r="JEL1" s="182"/>
      <c r="JEM1" s="182"/>
      <c r="JEN1" s="182"/>
      <c r="JEO1" s="182"/>
      <c r="JEP1" s="182"/>
      <c r="JEQ1" s="182"/>
      <c r="JER1" s="182"/>
      <c r="JES1" s="182"/>
      <c r="JET1" s="182"/>
      <c r="JEU1" s="182"/>
      <c r="JEV1" s="182"/>
      <c r="JEW1" s="182"/>
      <c r="JEX1" s="182"/>
      <c r="JEY1" s="182"/>
      <c r="JEZ1" s="182"/>
      <c r="JFA1" s="182"/>
      <c r="JFB1" s="182"/>
      <c r="JFC1" s="182"/>
      <c r="JFD1" s="182"/>
      <c r="JFE1" s="182"/>
      <c r="JFF1" s="182"/>
      <c r="JFG1" s="182"/>
      <c r="JFH1" s="182"/>
      <c r="JFI1" s="182"/>
      <c r="JFJ1" s="182"/>
      <c r="JFK1" s="182"/>
      <c r="JFL1" s="182"/>
      <c r="JFM1" s="182"/>
      <c r="JFN1" s="182"/>
      <c r="JFO1" s="182"/>
      <c r="JFP1" s="182"/>
      <c r="JFQ1" s="182"/>
      <c r="JFR1" s="182"/>
      <c r="JFS1" s="182"/>
      <c r="JFT1" s="182"/>
      <c r="JFU1" s="182"/>
      <c r="JFV1" s="182"/>
      <c r="JFW1" s="182"/>
      <c r="JFX1" s="182"/>
      <c r="JFY1" s="182"/>
      <c r="JFZ1" s="182"/>
      <c r="JGA1" s="182"/>
      <c r="JGB1" s="182"/>
      <c r="JGC1" s="182"/>
      <c r="JGD1" s="182"/>
      <c r="JGE1" s="182"/>
      <c r="JGF1" s="182"/>
      <c r="JGG1" s="182"/>
      <c r="JGH1" s="182"/>
      <c r="JGI1" s="182"/>
      <c r="JGJ1" s="182"/>
      <c r="JGK1" s="182"/>
      <c r="JGL1" s="182"/>
      <c r="JGM1" s="182"/>
      <c r="JGN1" s="182"/>
      <c r="JGO1" s="182"/>
      <c r="JGP1" s="182"/>
      <c r="JGQ1" s="182"/>
      <c r="JGR1" s="182"/>
      <c r="JGS1" s="182"/>
      <c r="JGT1" s="182"/>
      <c r="JGU1" s="182"/>
      <c r="JGV1" s="182"/>
      <c r="JGW1" s="182"/>
      <c r="JGX1" s="182"/>
      <c r="JGY1" s="182"/>
      <c r="JGZ1" s="182"/>
      <c r="JHA1" s="182"/>
      <c r="JHB1" s="182"/>
      <c r="JHC1" s="182"/>
      <c r="JHD1" s="182"/>
      <c r="JHE1" s="182"/>
      <c r="JHF1" s="182"/>
      <c r="JHG1" s="182"/>
      <c r="JHH1" s="182"/>
      <c r="JHI1" s="182"/>
      <c r="JHJ1" s="182"/>
      <c r="JHK1" s="182"/>
      <c r="JHL1" s="182"/>
      <c r="JHM1" s="182"/>
      <c r="JHN1" s="182"/>
      <c r="JHO1" s="182"/>
      <c r="JHP1" s="182"/>
      <c r="JHQ1" s="182"/>
      <c r="JHR1" s="182"/>
      <c r="JHS1" s="182"/>
      <c r="JHT1" s="182"/>
      <c r="JHU1" s="182"/>
      <c r="JHV1" s="182"/>
      <c r="JHW1" s="182"/>
      <c r="JHX1" s="182"/>
      <c r="JHY1" s="182"/>
      <c r="JHZ1" s="182"/>
      <c r="JIA1" s="182"/>
      <c r="JIB1" s="182"/>
      <c r="JIC1" s="182"/>
      <c r="JID1" s="182"/>
      <c r="JIE1" s="182"/>
      <c r="JIF1" s="182"/>
      <c r="JIG1" s="182"/>
      <c r="JIH1" s="182"/>
      <c r="JII1" s="182"/>
      <c r="JIJ1" s="182"/>
      <c r="JIK1" s="182"/>
      <c r="JIL1" s="182"/>
      <c r="JIM1" s="182"/>
      <c r="JIN1" s="182"/>
      <c r="JIO1" s="182"/>
      <c r="JIP1" s="182"/>
      <c r="JIQ1" s="182"/>
      <c r="JIR1" s="182"/>
      <c r="JIS1" s="182"/>
      <c r="JIT1" s="182"/>
      <c r="JIU1" s="182"/>
      <c r="JIV1" s="182"/>
      <c r="JIW1" s="182"/>
      <c r="JIX1" s="182"/>
      <c r="JIY1" s="182"/>
      <c r="JIZ1" s="182"/>
      <c r="JJA1" s="182"/>
      <c r="JJB1" s="182"/>
      <c r="JJC1" s="182"/>
      <c r="JJD1" s="182"/>
      <c r="JJE1" s="182"/>
      <c r="JJF1" s="182"/>
      <c r="JJG1" s="182"/>
      <c r="JJH1" s="182"/>
      <c r="JJI1" s="182"/>
      <c r="JJJ1" s="182"/>
      <c r="JJK1" s="182"/>
      <c r="JJL1" s="182"/>
      <c r="JJM1" s="182"/>
      <c r="JJN1" s="182"/>
      <c r="JJO1" s="182"/>
      <c r="JJP1" s="182"/>
      <c r="JJQ1" s="182"/>
      <c r="JJR1" s="182"/>
      <c r="JJS1" s="182"/>
      <c r="JJT1" s="182"/>
      <c r="JJU1" s="182"/>
      <c r="JJV1" s="182"/>
      <c r="JJW1" s="182"/>
      <c r="JJX1" s="182"/>
      <c r="JJY1" s="182"/>
      <c r="JJZ1" s="182"/>
      <c r="JKA1" s="182"/>
      <c r="JKB1" s="182"/>
      <c r="JKC1" s="182"/>
      <c r="JKD1" s="182"/>
      <c r="JKE1" s="182"/>
      <c r="JKF1" s="182"/>
      <c r="JKG1" s="182"/>
      <c r="JKH1" s="182"/>
      <c r="JKI1" s="182"/>
      <c r="JKJ1" s="182"/>
      <c r="JKK1" s="182"/>
      <c r="JKL1" s="182"/>
      <c r="JKM1" s="182"/>
      <c r="JKN1" s="182"/>
      <c r="JKO1" s="182"/>
      <c r="JKP1" s="182"/>
      <c r="JKQ1" s="182"/>
      <c r="JKR1" s="182"/>
      <c r="JKS1" s="182"/>
      <c r="JKT1" s="182"/>
      <c r="JKU1" s="182"/>
      <c r="JKV1" s="182"/>
      <c r="JKW1" s="182"/>
      <c r="JKX1" s="182"/>
      <c r="JKY1" s="182"/>
      <c r="JKZ1" s="182"/>
      <c r="JLA1" s="182"/>
      <c r="JLB1" s="182"/>
      <c r="JLC1" s="182"/>
      <c r="JLD1" s="182"/>
      <c r="JLE1" s="182"/>
      <c r="JLF1" s="182"/>
      <c r="JLG1" s="182"/>
      <c r="JLH1" s="182"/>
      <c r="JLI1" s="182"/>
      <c r="JLJ1" s="182"/>
      <c r="JLK1" s="182"/>
      <c r="JLL1" s="182"/>
      <c r="JLM1" s="182"/>
      <c r="JLN1" s="182"/>
      <c r="JLO1" s="182"/>
      <c r="JLP1" s="182"/>
      <c r="JLQ1" s="182"/>
      <c r="JLR1" s="182"/>
      <c r="JLS1" s="182"/>
      <c r="JLT1" s="182"/>
      <c r="JLU1" s="182"/>
      <c r="JLV1" s="182"/>
      <c r="JLW1" s="182"/>
      <c r="JLX1" s="182"/>
      <c r="JLY1" s="182"/>
      <c r="JLZ1" s="182"/>
      <c r="JMA1" s="182"/>
      <c r="JMB1" s="182"/>
      <c r="JMC1" s="182"/>
      <c r="JMD1" s="182"/>
      <c r="JME1" s="182"/>
      <c r="JMF1" s="182"/>
      <c r="JMG1" s="182"/>
      <c r="JMH1" s="182"/>
      <c r="JMI1" s="182"/>
      <c r="JMJ1" s="182"/>
      <c r="JMK1" s="182"/>
      <c r="JML1" s="182"/>
      <c r="JMM1" s="182"/>
      <c r="JMN1" s="182"/>
      <c r="JMO1" s="182"/>
      <c r="JMP1" s="182"/>
      <c r="JMQ1" s="182"/>
      <c r="JMR1" s="182"/>
      <c r="JMS1" s="182"/>
      <c r="JMT1" s="182"/>
      <c r="JMU1" s="182"/>
      <c r="JMV1" s="182"/>
      <c r="JMW1" s="182"/>
      <c r="JMX1" s="182"/>
      <c r="JMY1" s="182"/>
      <c r="JMZ1" s="182"/>
      <c r="JNA1" s="182"/>
      <c r="JNB1" s="182"/>
      <c r="JNC1" s="182"/>
      <c r="JND1" s="182"/>
      <c r="JNE1" s="182"/>
      <c r="JNF1" s="182"/>
      <c r="JNG1" s="182"/>
      <c r="JNH1" s="182"/>
      <c r="JNI1" s="182"/>
      <c r="JNJ1" s="182"/>
      <c r="JNK1" s="182"/>
      <c r="JNL1" s="182"/>
      <c r="JNM1" s="182"/>
      <c r="JNN1" s="182"/>
      <c r="JNO1" s="182"/>
      <c r="JNP1" s="182"/>
      <c r="JNQ1" s="182"/>
      <c r="JNR1" s="182"/>
      <c r="JNS1" s="182"/>
      <c r="JNT1" s="182"/>
      <c r="JNU1" s="182"/>
      <c r="JNV1" s="182"/>
      <c r="JNW1" s="182"/>
      <c r="JNX1" s="182"/>
      <c r="JNY1" s="182"/>
      <c r="JNZ1" s="182"/>
      <c r="JOA1" s="182"/>
      <c r="JOB1" s="182"/>
      <c r="JOC1" s="182"/>
      <c r="JOD1" s="182"/>
      <c r="JOE1" s="182"/>
      <c r="JOF1" s="182"/>
      <c r="JOG1" s="182"/>
      <c r="JOH1" s="182"/>
      <c r="JOI1" s="182"/>
      <c r="JOJ1" s="182"/>
      <c r="JOK1" s="182"/>
      <c r="JOL1" s="182"/>
      <c r="JOM1" s="182"/>
      <c r="JON1" s="182"/>
      <c r="JOO1" s="182"/>
      <c r="JOP1" s="182"/>
      <c r="JOQ1" s="182"/>
      <c r="JOR1" s="182"/>
      <c r="JOS1" s="182"/>
      <c r="JOT1" s="182"/>
      <c r="JOU1" s="182"/>
      <c r="JOV1" s="182"/>
      <c r="JOW1" s="182"/>
      <c r="JOX1" s="182"/>
      <c r="JOY1" s="182"/>
      <c r="JOZ1" s="182"/>
      <c r="JPA1" s="182"/>
      <c r="JPB1" s="182"/>
      <c r="JPC1" s="182"/>
      <c r="JPD1" s="182"/>
      <c r="JPE1" s="182"/>
      <c r="JPF1" s="182"/>
      <c r="JPG1" s="182"/>
      <c r="JPH1" s="182"/>
      <c r="JPI1" s="182"/>
      <c r="JPJ1" s="182"/>
      <c r="JPK1" s="182"/>
      <c r="JPL1" s="182"/>
      <c r="JPM1" s="182"/>
      <c r="JPN1" s="182"/>
      <c r="JPO1" s="182"/>
      <c r="JPP1" s="182"/>
      <c r="JPQ1" s="182"/>
      <c r="JPR1" s="182"/>
      <c r="JPS1" s="182"/>
      <c r="JPT1" s="182"/>
      <c r="JPU1" s="182"/>
      <c r="JPV1" s="182"/>
      <c r="JPW1" s="182"/>
      <c r="JPX1" s="182"/>
      <c r="JPY1" s="182"/>
      <c r="JPZ1" s="182"/>
      <c r="JQA1" s="182"/>
      <c r="JQB1" s="182"/>
      <c r="JQC1" s="182"/>
      <c r="JQD1" s="182"/>
      <c r="JQE1" s="182"/>
      <c r="JQF1" s="182"/>
      <c r="JQG1" s="182"/>
      <c r="JQH1" s="182"/>
      <c r="JQI1" s="182"/>
      <c r="JQJ1" s="182"/>
      <c r="JQK1" s="182"/>
      <c r="JQL1" s="182"/>
      <c r="JQM1" s="182"/>
      <c r="JQN1" s="182"/>
      <c r="JQO1" s="182"/>
      <c r="JQP1" s="182"/>
      <c r="JQQ1" s="182"/>
      <c r="JQR1" s="182"/>
      <c r="JQS1" s="182"/>
      <c r="JQT1" s="182"/>
      <c r="JQU1" s="182"/>
      <c r="JQV1" s="182"/>
      <c r="JQW1" s="182"/>
      <c r="JQX1" s="182"/>
      <c r="JQY1" s="182"/>
      <c r="JQZ1" s="182"/>
      <c r="JRA1" s="182"/>
      <c r="JRB1" s="182"/>
      <c r="JRC1" s="182"/>
      <c r="JRD1" s="182"/>
      <c r="JRE1" s="182"/>
      <c r="JRF1" s="182"/>
      <c r="JRG1" s="182"/>
      <c r="JRH1" s="182"/>
      <c r="JRI1" s="182"/>
      <c r="JRJ1" s="182"/>
      <c r="JRK1" s="182"/>
      <c r="JRL1" s="182"/>
      <c r="JRM1" s="182"/>
      <c r="JRN1" s="182"/>
      <c r="JRO1" s="182"/>
      <c r="JRP1" s="182"/>
      <c r="JRQ1" s="182"/>
      <c r="JRR1" s="182"/>
      <c r="JRS1" s="182"/>
      <c r="JRT1" s="182"/>
      <c r="JRU1" s="182"/>
      <c r="JRV1" s="182"/>
      <c r="JRW1" s="182"/>
      <c r="JRX1" s="182"/>
      <c r="JRY1" s="182"/>
      <c r="JRZ1" s="182"/>
      <c r="JSA1" s="182"/>
      <c r="JSB1" s="182"/>
      <c r="JSC1" s="182"/>
      <c r="JSD1" s="182"/>
      <c r="JSE1" s="182"/>
      <c r="JSF1" s="182"/>
      <c r="JSG1" s="182"/>
      <c r="JSH1" s="182"/>
      <c r="JSI1" s="182"/>
      <c r="JSJ1" s="182"/>
      <c r="JSK1" s="182"/>
      <c r="JSL1" s="182"/>
      <c r="JSM1" s="182"/>
      <c r="JSN1" s="182"/>
      <c r="JSO1" s="182"/>
      <c r="JSP1" s="182"/>
      <c r="JSQ1" s="182"/>
      <c r="JSR1" s="182"/>
      <c r="JSS1" s="182"/>
      <c r="JST1" s="182"/>
      <c r="JSU1" s="182"/>
      <c r="JSV1" s="182"/>
      <c r="JSW1" s="182"/>
      <c r="JSX1" s="182"/>
      <c r="JSY1" s="182"/>
      <c r="JSZ1" s="182"/>
      <c r="JTA1" s="182"/>
      <c r="JTB1" s="182"/>
      <c r="JTC1" s="182"/>
      <c r="JTD1" s="182"/>
      <c r="JTE1" s="182"/>
      <c r="JTF1" s="182"/>
      <c r="JTG1" s="182"/>
      <c r="JTH1" s="182"/>
      <c r="JTI1" s="182"/>
      <c r="JTJ1" s="182"/>
      <c r="JTK1" s="182"/>
      <c r="JTL1" s="182"/>
      <c r="JTM1" s="182"/>
      <c r="JTN1" s="182"/>
      <c r="JTO1" s="182"/>
      <c r="JTP1" s="182"/>
      <c r="JTQ1" s="182"/>
      <c r="JTR1" s="182"/>
      <c r="JTS1" s="182"/>
      <c r="JTT1" s="182"/>
      <c r="JTU1" s="182"/>
      <c r="JTV1" s="182"/>
      <c r="JTW1" s="182"/>
      <c r="JTX1" s="182"/>
      <c r="JTY1" s="182"/>
      <c r="JTZ1" s="182"/>
      <c r="JUA1" s="182"/>
      <c r="JUB1" s="182"/>
      <c r="JUC1" s="182"/>
      <c r="JUD1" s="182"/>
      <c r="JUE1" s="182"/>
      <c r="JUF1" s="182"/>
      <c r="JUG1" s="182"/>
      <c r="JUH1" s="182"/>
      <c r="JUI1" s="182"/>
      <c r="JUJ1" s="182"/>
      <c r="JUK1" s="182"/>
      <c r="JUL1" s="182"/>
      <c r="JUM1" s="182"/>
      <c r="JUN1" s="182"/>
      <c r="JUO1" s="182"/>
      <c r="JUP1" s="182"/>
      <c r="JUQ1" s="182"/>
      <c r="JUR1" s="182"/>
      <c r="JUS1" s="182"/>
      <c r="JUT1" s="182"/>
      <c r="JUU1" s="182"/>
      <c r="JUV1" s="182"/>
      <c r="JUW1" s="182"/>
      <c r="JUX1" s="182"/>
      <c r="JUY1" s="182"/>
      <c r="JUZ1" s="182"/>
      <c r="JVA1" s="182"/>
      <c r="JVB1" s="182"/>
      <c r="JVC1" s="182"/>
      <c r="JVD1" s="182"/>
      <c r="JVE1" s="182"/>
      <c r="JVF1" s="182"/>
      <c r="JVG1" s="182"/>
      <c r="JVH1" s="182"/>
      <c r="JVI1" s="182"/>
      <c r="JVJ1" s="182"/>
      <c r="JVK1" s="182"/>
      <c r="JVL1" s="182"/>
      <c r="JVM1" s="182"/>
      <c r="JVN1" s="182"/>
      <c r="JVO1" s="182"/>
      <c r="JVP1" s="182"/>
      <c r="JVQ1" s="182"/>
      <c r="JVR1" s="182"/>
      <c r="JVS1" s="182"/>
      <c r="JVT1" s="182"/>
      <c r="JVU1" s="182"/>
      <c r="JVV1" s="182"/>
      <c r="JVW1" s="182"/>
      <c r="JVX1" s="182"/>
      <c r="JVY1" s="182"/>
      <c r="JVZ1" s="182"/>
      <c r="JWA1" s="182"/>
      <c r="JWB1" s="182"/>
      <c r="JWC1" s="182"/>
      <c r="JWD1" s="182"/>
      <c r="JWE1" s="182"/>
      <c r="JWF1" s="182"/>
      <c r="JWG1" s="182"/>
      <c r="JWH1" s="182"/>
      <c r="JWI1" s="182"/>
      <c r="JWJ1" s="182"/>
      <c r="JWK1" s="182"/>
      <c r="JWL1" s="182"/>
      <c r="JWM1" s="182"/>
      <c r="JWN1" s="182"/>
      <c r="JWO1" s="182"/>
      <c r="JWP1" s="182"/>
      <c r="JWQ1" s="182"/>
      <c r="JWR1" s="182"/>
      <c r="JWS1" s="182"/>
      <c r="JWT1" s="182"/>
      <c r="JWU1" s="182"/>
      <c r="JWV1" s="182"/>
      <c r="JWW1" s="182"/>
      <c r="JWX1" s="182"/>
      <c r="JWY1" s="182"/>
      <c r="JWZ1" s="182"/>
      <c r="JXA1" s="182"/>
      <c r="JXB1" s="182"/>
      <c r="JXC1" s="182"/>
      <c r="JXD1" s="182"/>
      <c r="JXE1" s="182"/>
      <c r="JXF1" s="182"/>
      <c r="JXG1" s="182"/>
      <c r="JXH1" s="182"/>
      <c r="JXI1" s="182"/>
      <c r="JXJ1" s="182"/>
      <c r="JXK1" s="182"/>
      <c r="JXL1" s="182"/>
      <c r="JXM1" s="182"/>
      <c r="JXN1" s="182"/>
      <c r="JXO1" s="182"/>
      <c r="JXP1" s="182"/>
      <c r="JXQ1" s="182"/>
      <c r="JXR1" s="182"/>
      <c r="JXS1" s="182"/>
      <c r="JXT1" s="182"/>
      <c r="JXU1" s="182"/>
      <c r="JXV1" s="182"/>
      <c r="JXW1" s="182"/>
      <c r="JXX1" s="182"/>
      <c r="JXY1" s="182"/>
      <c r="JXZ1" s="182"/>
      <c r="JYA1" s="182"/>
      <c r="JYB1" s="182"/>
      <c r="JYC1" s="182"/>
      <c r="JYD1" s="182"/>
      <c r="JYE1" s="182"/>
      <c r="JYF1" s="182"/>
      <c r="JYG1" s="182"/>
      <c r="JYH1" s="182"/>
      <c r="JYI1" s="182"/>
      <c r="JYJ1" s="182"/>
      <c r="JYK1" s="182"/>
      <c r="JYL1" s="182"/>
      <c r="JYM1" s="182"/>
      <c r="JYN1" s="182"/>
      <c r="JYO1" s="182"/>
      <c r="JYP1" s="182"/>
      <c r="JYQ1" s="182"/>
      <c r="JYR1" s="182"/>
      <c r="JYS1" s="182"/>
      <c r="JYT1" s="182"/>
      <c r="JYU1" s="182"/>
      <c r="JYV1" s="182"/>
      <c r="JYW1" s="182"/>
      <c r="JYX1" s="182"/>
      <c r="JYY1" s="182"/>
      <c r="JYZ1" s="182"/>
      <c r="JZA1" s="182"/>
      <c r="JZB1" s="182"/>
      <c r="JZC1" s="182"/>
      <c r="JZD1" s="182"/>
      <c r="JZE1" s="182"/>
      <c r="JZF1" s="182"/>
      <c r="JZG1" s="182"/>
      <c r="JZH1" s="182"/>
      <c r="JZI1" s="182"/>
      <c r="JZJ1" s="182"/>
      <c r="JZK1" s="182"/>
      <c r="JZL1" s="182"/>
      <c r="JZM1" s="182"/>
      <c r="JZN1" s="182"/>
      <c r="JZO1" s="182"/>
      <c r="JZP1" s="182"/>
      <c r="JZQ1" s="182"/>
      <c r="JZR1" s="182"/>
      <c r="JZS1" s="182"/>
      <c r="JZT1" s="182"/>
      <c r="JZU1" s="182"/>
      <c r="JZV1" s="182"/>
      <c r="JZW1" s="182"/>
      <c r="JZX1" s="182"/>
      <c r="JZY1" s="182"/>
      <c r="JZZ1" s="182"/>
      <c r="KAA1" s="182"/>
      <c r="KAB1" s="182"/>
      <c r="KAC1" s="182"/>
      <c r="KAD1" s="182"/>
      <c r="KAE1" s="182"/>
      <c r="KAF1" s="182"/>
      <c r="KAG1" s="182"/>
      <c r="KAH1" s="182"/>
      <c r="KAI1" s="182"/>
      <c r="KAJ1" s="182"/>
      <c r="KAK1" s="182"/>
      <c r="KAL1" s="182"/>
      <c r="KAM1" s="182"/>
      <c r="KAN1" s="182"/>
      <c r="KAO1" s="182"/>
      <c r="KAP1" s="182"/>
      <c r="KAQ1" s="182"/>
      <c r="KAR1" s="182"/>
      <c r="KAS1" s="182"/>
      <c r="KAT1" s="182"/>
      <c r="KAU1" s="182"/>
      <c r="KAV1" s="182"/>
      <c r="KAW1" s="182"/>
      <c r="KAX1" s="182"/>
      <c r="KAY1" s="182"/>
      <c r="KAZ1" s="182"/>
      <c r="KBA1" s="182"/>
      <c r="KBB1" s="182"/>
      <c r="KBC1" s="182"/>
      <c r="KBD1" s="182"/>
      <c r="KBE1" s="182"/>
      <c r="KBF1" s="182"/>
      <c r="KBG1" s="182"/>
      <c r="KBH1" s="182"/>
      <c r="KBI1" s="182"/>
      <c r="KBJ1" s="182"/>
      <c r="KBK1" s="182"/>
      <c r="KBL1" s="182"/>
      <c r="KBM1" s="182"/>
      <c r="KBN1" s="182"/>
      <c r="KBO1" s="182"/>
      <c r="KBP1" s="182"/>
      <c r="KBQ1" s="182"/>
      <c r="KBR1" s="182"/>
      <c r="KBS1" s="182"/>
      <c r="KBT1" s="182"/>
      <c r="KBU1" s="182"/>
      <c r="KBV1" s="182"/>
      <c r="KBW1" s="182"/>
      <c r="KBX1" s="182"/>
      <c r="KBY1" s="182"/>
      <c r="KBZ1" s="182"/>
      <c r="KCA1" s="182"/>
      <c r="KCB1" s="182"/>
      <c r="KCC1" s="182"/>
      <c r="KCD1" s="182"/>
      <c r="KCE1" s="182"/>
      <c r="KCF1" s="182"/>
      <c r="KCG1" s="182"/>
      <c r="KCH1" s="182"/>
      <c r="KCI1" s="182"/>
      <c r="KCJ1" s="182"/>
      <c r="KCK1" s="182"/>
      <c r="KCL1" s="182"/>
      <c r="KCM1" s="182"/>
      <c r="KCN1" s="182"/>
      <c r="KCO1" s="182"/>
      <c r="KCP1" s="182"/>
      <c r="KCQ1" s="182"/>
      <c r="KCR1" s="182"/>
      <c r="KCS1" s="182"/>
      <c r="KCT1" s="182"/>
      <c r="KCU1" s="182"/>
      <c r="KCV1" s="182"/>
      <c r="KCW1" s="182"/>
      <c r="KCX1" s="182"/>
      <c r="KCY1" s="182"/>
      <c r="KCZ1" s="182"/>
      <c r="KDA1" s="182"/>
      <c r="KDB1" s="182"/>
      <c r="KDC1" s="182"/>
      <c r="KDD1" s="182"/>
      <c r="KDE1" s="182"/>
      <c r="KDF1" s="182"/>
      <c r="KDG1" s="182"/>
      <c r="KDH1" s="182"/>
      <c r="KDI1" s="182"/>
      <c r="KDJ1" s="182"/>
      <c r="KDK1" s="182"/>
      <c r="KDL1" s="182"/>
      <c r="KDM1" s="182"/>
      <c r="KDN1" s="182"/>
      <c r="KDO1" s="182"/>
      <c r="KDP1" s="182"/>
      <c r="KDQ1" s="182"/>
      <c r="KDR1" s="182"/>
      <c r="KDS1" s="182"/>
      <c r="KDT1" s="182"/>
      <c r="KDU1" s="182"/>
      <c r="KDV1" s="182"/>
      <c r="KDW1" s="182"/>
      <c r="KDX1" s="182"/>
      <c r="KDY1" s="182"/>
      <c r="KDZ1" s="182"/>
      <c r="KEA1" s="182"/>
      <c r="KEB1" s="182"/>
      <c r="KEC1" s="182"/>
      <c r="KED1" s="182"/>
      <c r="KEE1" s="182"/>
      <c r="KEF1" s="182"/>
      <c r="KEG1" s="182"/>
      <c r="KEH1" s="182"/>
      <c r="KEI1" s="182"/>
      <c r="KEJ1" s="182"/>
      <c r="KEK1" s="182"/>
      <c r="KEL1" s="182"/>
      <c r="KEM1" s="182"/>
      <c r="KEN1" s="182"/>
      <c r="KEO1" s="182"/>
      <c r="KEP1" s="182"/>
      <c r="KEQ1" s="182"/>
      <c r="KER1" s="182"/>
      <c r="KES1" s="182"/>
      <c r="KET1" s="182"/>
      <c r="KEU1" s="182"/>
      <c r="KEV1" s="182"/>
      <c r="KEW1" s="182"/>
      <c r="KEX1" s="182"/>
      <c r="KEY1" s="182"/>
      <c r="KEZ1" s="182"/>
      <c r="KFA1" s="182"/>
      <c r="KFB1" s="182"/>
      <c r="KFC1" s="182"/>
      <c r="KFD1" s="182"/>
      <c r="KFE1" s="182"/>
      <c r="KFF1" s="182"/>
      <c r="KFG1" s="182"/>
      <c r="KFH1" s="182"/>
      <c r="KFI1" s="182"/>
      <c r="KFJ1" s="182"/>
      <c r="KFK1" s="182"/>
      <c r="KFL1" s="182"/>
      <c r="KFM1" s="182"/>
      <c r="KFN1" s="182"/>
      <c r="KFO1" s="182"/>
      <c r="KFP1" s="182"/>
      <c r="KFQ1" s="182"/>
      <c r="KFR1" s="182"/>
      <c r="KFS1" s="182"/>
      <c r="KFT1" s="182"/>
      <c r="KFU1" s="182"/>
      <c r="KFV1" s="182"/>
      <c r="KFW1" s="182"/>
      <c r="KFX1" s="182"/>
      <c r="KFY1" s="182"/>
      <c r="KFZ1" s="182"/>
      <c r="KGA1" s="182"/>
      <c r="KGB1" s="182"/>
      <c r="KGC1" s="182"/>
      <c r="KGD1" s="182"/>
      <c r="KGE1" s="182"/>
      <c r="KGF1" s="182"/>
      <c r="KGG1" s="182"/>
      <c r="KGH1" s="182"/>
      <c r="KGI1" s="182"/>
      <c r="KGJ1" s="182"/>
      <c r="KGK1" s="182"/>
      <c r="KGL1" s="182"/>
      <c r="KGM1" s="182"/>
      <c r="KGN1" s="182"/>
      <c r="KGO1" s="182"/>
      <c r="KGP1" s="182"/>
      <c r="KGQ1" s="182"/>
      <c r="KGR1" s="182"/>
      <c r="KGS1" s="182"/>
      <c r="KGT1" s="182"/>
      <c r="KGU1" s="182"/>
      <c r="KGV1" s="182"/>
      <c r="KGW1" s="182"/>
      <c r="KGX1" s="182"/>
      <c r="KGY1" s="182"/>
      <c r="KGZ1" s="182"/>
      <c r="KHA1" s="182"/>
      <c r="KHB1" s="182"/>
      <c r="KHC1" s="182"/>
      <c r="KHD1" s="182"/>
      <c r="KHE1" s="182"/>
      <c r="KHF1" s="182"/>
      <c r="KHG1" s="182"/>
      <c r="KHH1" s="182"/>
      <c r="KHI1" s="182"/>
      <c r="KHJ1" s="182"/>
      <c r="KHK1" s="182"/>
      <c r="KHL1" s="182"/>
      <c r="KHM1" s="182"/>
      <c r="KHN1" s="182"/>
      <c r="KHO1" s="182"/>
      <c r="KHP1" s="182"/>
      <c r="KHQ1" s="182"/>
      <c r="KHR1" s="182"/>
      <c r="KHS1" s="182"/>
      <c r="KHT1" s="182"/>
      <c r="KHU1" s="182"/>
      <c r="KHV1" s="182"/>
      <c r="KHW1" s="182"/>
      <c r="KHX1" s="182"/>
      <c r="KHY1" s="182"/>
      <c r="KHZ1" s="182"/>
      <c r="KIA1" s="182"/>
      <c r="KIB1" s="182"/>
      <c r="KIC1" s="182"/>
      <c r="KID1" s="182"/>
      <c r="KIE1" s="182"/>
      <c r="KIF1" s="182"/>
      <c r="KIG1" s="182"/>
      <c r="KIH1" s="182"/>
      <c r="KII1" s="182"/>
      <c r="KIJ1" s="182"/>
      <c r="KIK1" s="182"/>
      <c r="KIL1" s="182"/>
      <c r="KIM1" s="182"/>
      <c r="KIN1" s="182"/>
      <c r="KIO1" s="182"/>
      <c r="KIP1" s="182"/>
      <c r="KIQ1" s="182"/>
      <c r="KIR1" s="182"/>
      <c r="KIS1" s="182"/>
      <c r="KIT1" s="182"/>
      <c r="KIU1" s="182"/>
      <c r="KIV1" s="182"/>
      <c r="KIW1" s="182"/>
      <c r="KIX1" s="182"/>
      <c r="KIY1" s="182"/>
      <c r="KIZ1" s="182"/>
      <c r="KJA1" s="182"/>
      <c r="KJB1" s="182"/>
      <c r="KJC1" s="182"/>
      <c r="KJD1" s="182"/>
      <c r="KJE1" s="182"/>
      <c r="KJF1" s="182"/>
      <c r="KJG1" s="182"/>
      <c r="KJH1" s="182"/>
      <c r="KJI1" s="182"/>
      <c r="KJJ1" s="182"/>
      <c r="KJK1" s="182"/>
      <c r="KJL1" s="182"/>
      <c r="KJM1" s="182"/>
      <c r="KJN1" s="182"/>
      <c r="KJO1" s="182"/>
      <c r="KJP1" s="182"/>
      <c r="KJQ1" s="182"/>
      <c r="KJR1" s="182"/>
      <c r="KJS1" s="182"/>
      <c r="KJT1" s="182"/>
      <c r="KJU1" s="182"/>
      <c r="KJV1" s="182"/>
      <c r="KJW1" s="182"/>
      <c r="KJX1" s="182"/>
      <c r="KJY1" s="182"/>
      <c r="KJZ1" s="182"/>
      <c r="KKA1" s="182"/>
      <c r="KKB1" s="182"/>
      <c r="KKC1" s="182"/>
      <c r="KKD1" s="182"/>
      <c r="KKE1" s="182"/>
      <c r="KKF1" s="182"/>
      <c r="KKG1" s="182"/>
      <c r="KKH1" s="182"/>
      <c r="KKI1" s="182"/>
      <c r="KKJ1" s="182"/>
      <c r="KKK1" s="182"/>
      <c r="KKL1" s="182"/>
      <c r="KKM1" s="182"/>
      <c r="KKN1" s="182"/>
      <c r="KKO1" s="182"/>
      <c r="KKP1" s="182"/>
      <c r="KKQ1" s="182"/>
      <c r="KKR1" s="182"/>
      <c r="KKS1" s="182"/>
      <c r="KKT1" s="182"/>
      <c r="KKU1" s="182"/>
      <c r="KKV1" s="182"/>
      <c r="KKW1" s="182"/>
      <c r="KKX1" s="182"/>
      <c r="KKY1" s="182"/>
      <c r="KKZ1" s="182"/>
      <c r="KLA1" s="182"/>
      <c r="KLB1" s="182"/>
      <c r="KLC1" s="182"/>
      <c r="KLD1" s="182"/>
      <c r="KLE1" s="182"/>
      <c r="KLF1" s="182"/>
      <c r="KLG1" s="182"/>
      <c r="KLH1" s="182"/>
      <c r="KLI1" s="182"/>
      <c r="KLJ1" s="182"/>
      <c r="KLK1" s="182"/>
      <c r="KLL1" s="182"/>
      <c r="KLM1" s="182"/>
      <c r="KLN1" s="182"/>
      <c r="KLO1" s="182"/>
      <c r="KLP1" s="182"/>
      <c r="KLQ1" s="182"/>
      <c r="KLR1" s="182"/>
      <c r="KLS1" s="182"/>
      <c r="KLT1" s="182"/>
      <c r="KLU1" s="182"/>
      <c r="KLV1" s="182"/>
      <c r="KLW1" s="182"/>
      <c r="KLX1" s="182"/>
      <c r="KLY1" s="182"/>
      <c r="KLZ1" s="182"/>
      <c r="KMA1" s="182"/>
      <c r="KMB1" s="182"/>
      <c r="KMC1" s="182"/>
      <c r="KMD1" s="182"/>
      <c r="KME1" s="182"/>
      <c r="KMF1" s="182"/>
      <c r="KMG1" s="182"/>
      <c r="KMH1" s="182"/>
      <c r="KMI1" s="182"/>
      <c r="KMJ1" s="182"/>
      <c r="KMK1" s="182"/>
      <c r="KML1" s="182"/>
      <c r="KMM1" s="182"/>
      <c r="KMN1" s="182"/>
      <c r="KMO1" s="182"/>
      <c r="KMP1" s="182"/>
      <c r="KMQ1" s="182"/>
      <c r="KMR1" s="182"/>
      <c r="KMS1" s="182"/>
      <c r="KMT1" s="182"/>
      <c r="KMU1" s="182"/>
      <c r="KMV1" s="182"/>
      <c r="KMW1" s="182"/>
      <c r="KMX1" s="182"/>
      <c r="KMY1" s="182"/>
      <c r="KMZ1" s="182"/>
      <c r="KNA1" s="182"/>
      <c r="KNB1" s="182"/>
      <c r="KNC1" s="182"/>
      <c r="KND1" s="182"/>
      <c r="KNE1" s="182"/>
      <c r="KNF1" s="182"/>
      <c r="KNG1" s="182"/>
      <c r="KNH1" s="182"/>
      <c r="KNI1" s="182"/>
      <c r="KNJ1" s="182"/>
      <c r="KNK1" s="182"/>
      <c r="KNL1" s="182"/>
      <c r="KNM1" s="182"/>
      <c r="KNN1" s="182"/>
      <c r="KNO1" s="182"/>
      <c r="KNP1" s="182"/>
      <c r="KNQ1" s="182"/>
      <c r="KNR1" s="182"/>
      <c r="KNS1" s="182"/>
      <c r="KNT1" s="182"/>
      <c r="KNU1" s="182"/>
      <c r="KNV1" s="182"/>
      <c r="KNW1" s="182"/>
      <c r="KNX1" s="182"/>
      <c r="KNY1" s="182"/>
      <c r="KNZ1" s="182"/>
      <c r="KOA1" s="182"/>
      <c r="KOB1" s="182"/>
      <c r="KOC1" s="182"/>
      <c r="KOD1" s="182"/>
      <c r="KOE1" s="182"/>
      <c r="KOF1" s="182"/>
      <c r="KOG1" s="182"/>
      <c r="KOH1" s="182"/>
      <c r="KOI1" s="182"/>
      <c r="KOJ1" s="182"/>
      <c r="KOK1" s="182"/>
      <c r="KOL1" s="182"/>
      <c r="KOM1" s="182"/>
      <c r="KON1" s="182"/>
      <c r="KOO1" s="182"/>
      <c r="KOP1" s="182"/>
      <c r="KOQ1" s="182"/>
      <c r="KOR1" s="182"/>
      <c r="KOS1" s="182"/>
      <c r="KOT1" s="182"/>
      <c r="KOU1" s="182"/>
      <c r="KOV1" s="182"/>
      <c r="KOW1" s="182"/>
      <c r="KOX1" s="182"/>
      <c r="KOY1" s="182"/>
      <c r="KOZ1" s="182"/>
      <c r="KPA1" s="182"/>
      <c r="KPB1" s="182"/>
      <c r="KPC1" s="182"/>
      <c r="KPD1" s="182"/>
      <c r="KPE1" s="182"/>
      <c r="KPF1" s="182"/>
      <c r="KPG1" s="182"/>
      <c r="KPH1" s="182"/>
      <c r="KPI1" s="182"/>
      <c r="KPJ1" s="182"/>
      <c r="KPK1" s="182"/>
      <c r="KPL1" s="182"/>
      <c r="KPM1" s="182"/>
      <c r="KPN1" s="182"/>
      <c r="KPO1" s="182"/>
      <c r="KPP1" s="182"/>
      <c r="KPQ1" s="182"/>
      <c r="KPR1" s="182"/>
      <c r="KPS1" s="182"/>
      <c r="KPT1" s="182"/>
      <c r="KPU1" s="182"/>
      <c r="KPV1" s="182"/>
      <c r="KPW1" s="182"/>
      <c r="KPX1" s="182"/>
      <c r="KPY1" s="182"/>
      <c r="KPZ1" s="182"/>
      <c r="KQA1" s="182"/>
      <c r="KQB1" s="182"/>
      <c r="KQC1" s="182"/>
      <c r="KQD1" s="182"/>
      <c r="KQE1" s="182"/>
      <c r="KQF1" s="182"/>
      <c r="KQG1" s="182"/>
      <c r="KQH1" s="182"/>
      <c r="KQI1" s="182"/>
      <c r="KQJ1" s="182"/>
      <c r="KQK1" s="182"/>
      <c r="KQL1" s="182"/>
      <c r="KQM1" s="182"/>
      <c r="KQN1" s="182"/>
      <c r="KQO1" s="182"/>
      <c r="KQP1" s="182"/>
      <c r="KQQ1" s="182"/>
      <c r="KQR1" s="182"/>
      <c r="KQS1" s="182"/>
      <c r="KQT1" s="182"/>
      <c r="KQU1" s="182"/>
      <c r="KQV1" s="182"/>
      <c r="KQW1" s="182"/>
      <c r="KQX1" s="182"/>
      <c r="KQY1" s="182"/>
      <c r="KQZ1" s="182"/>
      <c r="KRA1" s="182"/>
      <c r="KRB1" s="182"/>
      <c r="KRC1" s="182"/>
      <c r="KRD1" s="182"/>
      <c r="KRE1" s="182"/>
      <c r="KRF1" s="182"/>
      <c r="KRG1" s="182"/>
      <c r="KRH1" s="182"/>
      <c r="KRI1" s="182"/>
      <c r="KRJ1" s="182"/>
      <c r="KRK1" s="182"/>
      <c r="KRL1" s="182"/>
      <c r="KRM1" s="182"/>
      <c r="KRN1" s="182"/>
      <c r="KRO1" s="182"/>
      <c r="KRP1" s="182"/>
      <c r="KRQ1" s="182"/>
      <c r="KRR1" s="182"/>
      <c r="KRS1" s="182"/>
      <c r="KRT1" s="182"/>
      <c r="KRU1" s="182"/>
      <c r="KRV1" s="182"/>
      <c r="KRW1" s="182"/>
      <c r="KRX1" s="182"/>
      <c r="KRY1" s="182"/>
      <c r="KRZ1" s="182"/>
      <c r="KSA1" s="182"/>
      <c r="KSB1" s="182"/>
      <c r="KSC1" s="182"/>
      <c r="KSD1" s="182"/>
      <c r="KSE1" s="182"/>
      <c r="KSF1" s="182"/>
      <c r="KSG1" s="182"/>
      <c r="KSH1" s="182"/>
      <c r="KSI1" s="182"/>
      <c r="KSJ1" s="182"/>
      <c r="KSK1" s="182"/>
      <c r="KSL1" s="182"/>
      <c r="KSM1" s="182"/>
      <c r="KSN1" s="182"/>
      <c r="KSO1" s="182"/>
      <c r="KSP1" s="182"/>
      <c r="KSQ1" s="182"/>
      <c r="KSR1" s="182"/>
      <c r="KSS1" s="182"/>
      <c r="KST1" s="182"/>
      <c r="KSU1" s="182"/>
      <c r="KSV1" s="182"/>
      <c r="KSW1" s="182"/>
      <c r="KSX1" s="182"/>
      <c r="KSY1" s="182"/>
      <c r="KSZ1" s="182"/>
      <c r="KTA1" s="182"/>
      <c r="KTB1" s="182"/>
      <c r="KTC1" s="182"/>
      <c r="KTD1" s="182"/>
      <c r="KTE1" s="182"/>
      <c r="KTF1" s="182"/>
      <c r="KTG1" s="182"/>
      <c r="KTH1" s="182"/>
      <c r="KTI1" s="182"/>
      <c r="KTJ1" s="182"/>
      <c r="KTK1" s="182"/>
      <c r="KTL1" s="182"/>
      <c r="KTM1" s="182"/>
      <c r="KTN1" s="182"/>
      <c r="KTO1" s="182"/>
      <c r="KTP1" s="182"/>
      <c r="KTQ1" s="182"/>
      <c r="KTR1" s="182"/>
      <c r="KTS1" s="182"/>
      <c r="KTT1" s="182"/>
      <c r="KTU1" s="182"/>
      <c r="KTV1" s="182"/>
      <c r="KTW1" s="182"/>
      <c r="KTX1" s="182"/>
      <c r="KTY1" s="182"/>
      <c r="KTZ1" s="182"/>
      <c r="KUA1" s="182"/>
      <c r="KUB1" s="182"/>
      <c r="KUC1" s="182"/>
      <c r="KUD1" s="182"/>
      <c r="KUE1" s="182"/>
      <c r="KUF1" s="182"/>
      <c r="KUG1" s="182"/>
      <c r="KUH1" s="182"/>
      <c r="KUI1" s="182"/>
      <c r="KUJ1" s="182"/>
      <c r="KUK1" s="182"/>
      <c r="KUL1" s="182"/>
      <c r="KUM1" s="182"/>
      <c r="KUN1" s="182"/>
      <c r="KUO1" s="182"/>
      <c r="KUP1" s="182"/>
      <c r="KUQ1" s="182"/>
      <c r="KUR1" s="182"/>
      <c r="KUS1" s="182"/>
      <c r="KUT1" s="182"/>
      <c r="KUU1" s="182"/>
      <c r="KUV1" s="182"/>
      <c r="KUW1" s="182"/>
      <c r="KUX1" s="182"/>
      <c r="KUY1" s="182"/>
      <c r="KUZ1" s="182"/>
      <c r="KVA1" s="182"/>
      <c r="KVB1" s="182"/>
      <c r="KVC1" s="182"/>
      <c r="KVD1" s="182"/>
      <c r="KVE1" s="182"/>
      <c r="KVF1" s="182"/>
      <c r="KVG1" s="182"/>
      <c r="KVH1" s="182"/>
      <c r="KVI1" s="182"/>
      <c r="KVJ1" s="182"/>
      <c r="KVK1" s="182"/>
      <c r="KVL1" s="182"/>
      <c r="KVM1" s="182"/>
      <c r="KVN1" s="182"/>
      <c r="KVO1" s="182"/>
      <c r="KVP1" s="182"/>
      <c r="KVQ1" s="182"/>
      <c r="KVR1" s="182"/>
      <c r="KVS1" s="182"/>
      <c r="KVT1" s="182"/>
      <c r="KVU1" s="182"/>
      <c r="KVV1" s="182"/>
      <c r="KVW1" s="182"/>
      <c r="KVX1" s="182"/>
      <c r="KVY1" s="182"/>
      <c r="KVZ1" s="182"/>
      <c r="KWA1" s="182"/>
      <c r="KWB1" s="182"/>
      <c r="KWC1" s="182"/>
      <c r="KWD1" s="182"/>
      <c r="KWE1" s="182"/>
      <c r="KWF1" s="182"/>
      <c r="KWG1" s="182"/>
      <c r="KWH1" s="182"/>
      <c r="KWI1" s="182"/>
      <c r="KWJ1" s="182"/>
      <c r="KWK1" s="182"/>
      <c r="KWL1" s="182"/>
      <c r="KWM1" s="182"/>
      <c r="KWN1" s="182"/>
      <c r="KWO1" s="182"/>
      <c r="KWP1" s="182"/>
      <c r="KWQ1" s="182"/>
      <c r="KWR1" s="182"/>
      <c r="KWS1" s="182"/>
      <c r="KWT1" s="182"/>
      <c r="KWU1" s="182"/>
      <c r="KWV1" s="182"/>
      <c r="KWW1" s="182"/>
      <c r="KWX1" s="182"/>
      <c r="KWY1" s="182"/>
      <c r="KWZ1" s="182"/>
      <c r="KXA1" s="182"/>
      <c r="KXB1" s="182"/>
      <c r="KXC1" s="182"/>
      <c r="KXD1" s="182"/>
      <c r="KXE1" s="182"/>
      <c r="KXF1" s="182"/>
      <c r="KXG1" s="182"/>
      <c r="KXH1" s="182"/>
      <c r="KXI1" s="182"/>
      <c r="KXJ1" s="182"/>
      <c r="KXK1" s="182"/>
      <c r="KXL1" s="182"/>
      <c r="KXM1" s="182"/>
      <c r="KXN1" s="182"/>
      <c r="KXO1" s="182"/>
      <c r="KXP1" s="182"/>
      <c r="KXQ1" s="182"/>
      <c r="KXR1" s="182"/>
      <c r="KXS1" s="182"/>
      <c r="KXT1" s="182"/>
      <c r="KXU1" s="182"/>
      <c r="KXV1" s="182"/>
      <c r="KXW1" s="182"/>
      <c r="KXX1" s="182"/>
      <c r="KXY1" s="182"/>
      <c r="KXZ1" s="182"/>
      <c r="KYA1" s="182"/>
      <c r="KYB1" s="182"/>
      <c r="KYC1" s="182"/>
      <c r="KYD1" s="182"/>
      <c r="KYE1" s="182"/>
      <c r="KYF1" s="182"/>
      <c r="KYG1" s="182"/>
      <c r="KYH1" s="182"/>
      <c r="KYI1" s="182"/>
      <c r="KYJ1" s="182"/>
      <c r="KYK1" s="182"/>
      <c r="KYL1" s="182"/>
      <c r="KYM1" s="182"/>
      <c r="KYN1" s="182"/>
      <c r="KYO1" s="182"/>
      <c r="KYP1" s="182"/>
      <c r="KYQ1" s="182"/>
      <c r="KYR1" s="182"/>
      <c r="KYS1" s="182"/>
      <c r="KYT1" s="182"/>
      <c r="KYU1" s="182"/>
      <c r="KYV1" s="182"/>
      <c r="KYW1" s="182"/>
      <c r="KYX1" s="182"/>
      <c r="KYY1" s="182"/>
      <c r="KYZ1" s="182"/>
      <c r="KZA1" s="182"/>
      <c r="KZB1" s="182"/>
      <c r="KZC1" s="182"/>
      <c r="KZD1" s="182"/>
      <c r="KZE1" s="182"/>
      <c r="KZF1" s="182"/>
      <c r="KZG1" s="182"/>
      <c r="KZH1" s="182"/>
      <c r="KZI1" s="182"/>
      <c r="KZJ1" s="182"/>
      <c r="KZK1" s="182"/>
      <c r="KZL1" s="182"/>
      <c r="KZM1" s="182"/>
      <c r="KZN1" s="182"/>
      <c r="KZO1" s="182"/>
      <c r="KZP1" s="182"/>
      <c r="KZQ1" s="182"/>
      <c r="KZR1" s="182"/>
      <c r="KZS1" s="182"/>
      <c r="KZT1" s="182"/>
      <c r="KZU1" s="182"/>
      <c r="KZV1" s="182"/>
      <c r="KZW1" s="182"/>
      <c r="KZX1" s="182"/>
      <c r="KZY1" s="182"/>
      <c r="KZZ1" s="182"/>
      <c r="LAA1" s="182"/>
      <c r="LAB1" s="182"/>
      <c r="LAC1" s="182"/>
      <c r="LAD1" s="182"/>
      <c r="LAE1" s="182"/>
      <c r="LAF1" s="182"/>
      <c r="LAG1" s="182"/>
      <c r="LAH1" s="182"/>
      <c r="LAI1" s="182"/>
      <c r="LAJ1" s="182"/>
      <c r="LAK1" s="182"/>
      <c r="LAL1" s="182"/>
      <c r="LAM1" s="182"/>
      <c r="LAN1" s="182"/>
      <c r="LAO1" s="182"/>
      <c r="LAP1" s="182"/>
      <c r="LAQ1" s="182"/>
      <c r="LAR1" s="182"/>
      <c r="LAS1" s="182"/>
      <c r="LAT1" s="182"/>
      <c r="LAU1" s="182"/>
      <c r="LAV1" s="182"/>
      <c r="LAW1" s="182"/>
      <c r="LAX1" s="182"/>
      <c r="LAY1" s="182"/>
      <c r="LAZ1" s="182"/>
      <c r="LBA1" s="182"/>
      <c r="LBB1" s="182"/>
      <c r="LBC1" s="182"/>
      <c r="LBD1" s="182"/>
      <c r="LBE1" s="182"/>
      <c r="LBF1" s="182"/>
      <c r="LBG1" s="182"/>
      <c r="LBH1" s="182"/>
      <c r="LBI1" s="182"/>
      <c r="LBJ1" s="182"/>
      <c r="LBK1" s="182"/>
      <c r="LBL1" s="182"/>
      <c r="LBM1" s="182"/>
      <c r="LBN1" s="182"/>
      <c r="LBO1" s="182"/>
      <c r="LBP1" s="182"/>
      <c r="LBQ1" s="182"/>
      <c r="LBR1" s="182"/>
      <c r="LBS1" s="182"/>
      <c r="LBT1" s="182"/>
      <c r="LBU1" s="182"/>
      <c r="LBV1" s="182"/>
      <c r="LBW1" s="182"/>
      <c r="LBX1" s="182"/>
      <c r="LBY1" s="182"/>
      <c r="LBZ1" s="182"/>
      <c r="LCA1" s="182"/>
      <c r="LCB1" s="182"/>
      <c r="LCC1" s="182"/>
      <c r="LCD1" s="182"/>
      <c r="LCE1" s="182"/>
      <c r="LCF1" s="182"/>
      <c r="LCG1" s="182"/>
      <c r="LCH1" s="182"/>
      <c r="LCI1" s="182"/>
      <c r="LCJ1" s="182"/>
      <c r="LCK1" s="182"/>
      <c r="LCL1" s="182"/>
      <c r="LCM1" s="182"/>
      <c r="LCN1" s="182"/>
      <c r="LCO1" s="182"/>
      <c r="LCP1" s="182"/>
      <c r="LCQ1" s="182"/>
      <c r="LCR1" s="182"/>
      <c r="LCS1" s="182"/>
      <c r="LCT1" s="182"/>
      <c r="LCU1" s="182"/>
      <c r="LCV1" s="182"/>
      <c r="LCW1" s="182"/>
      <c r="LCX1" s="182"/>
      <c r="LCY1" s="182"/>
      <c r="LCZ1" s="182"/>
      <c r="LDA1" s="182"/>
      <c r="LDB1" s="182"/>
      <c r="LDC1" s="182"/>
      <c r="LDD1" s="182"/>
      <c r="LDE1" s="182"/>
      <c r="LDF1" s="182"/>
      <c r="LDG1" s="182"/>
      <c r="LDH1" s="182"/>
      <c r="LDI1" s="182"/>
      <c r="LDJ1" s="182"/>
      <c r="LDK1" s="182"/>
      <c r="LDL1" s="182"/>
      <c r="LDM1" s="182"/>
      <c r="LDN1" s="182"/>
      <c r="LDO1" s="182"/>
      <c r="LDP1" s="182"/>
      <c r="LDQ1" s="182"/>
      <c r="LDR1" s="182"/>
      <c r="LDS1" s="182"/>
      <c r="LDT1" s="182"/>
      <c r="LDU1" s="182"/>
      <c r="LDV1" s="182"/>
      <c r="LDW1" s="182"/>
      <c r="LDX1" s="182"/>
      <c r="LDY1" s="182"/>
      <c r="LDZ1" s="182"/>
      <c r="LEA1" s="182"/>
      <c r="LEB1" s="182"/>
      <c r="LEC1" s="182"/>
      <c r="LED1" s="182"/>
      <c r="LEE1" s="182"/>
      <c r="LEF1" s="182"/>
      <c r="LEG1" s="182"/>
      <c r="LEH1" s="182"/>
      <c r="LEI1" s="182"/>
      <c r="LEJ1" s="182"/>
      <c r="LEK1" s="182"/>
      <c r="LEL1" s="182"/>
      <c r="LEM1" s="182"/>
      <c r="LEN1" s="182"/>
      <c r="LEO1" s="182"/>
      <c r="LEP1" s="182"/>
      <c r="LEQ1" s="182"/>
      <c r="LER1" s="182"/>
      <c r="LES1" s="182"/>
      <c r="LET1" s="182"/>
      <c r="LEU1" s="182"/>
      <c r="LEV1" s="182"/>
      <c r="LEW1" s="182"/>
      <c r="LEX1" s="182"/>
      <c r="LEY1" s="182"/>
      <c r="LEZ1" s="182"/>
      <c r="LFA1" s="182"/>
      <c r="LFB1" s="182"/>
      <c r="LFC1" s="182"/>
      <c r="LFD1" s="182"/>
      <c r="LFE1" s="182"/>
      <c r="LFF1" s="182"/>
      <c r="LFG1" s="182"/>
      <c r="LFH1" s="182"/>
      <c r="LFI1" s="182"/>
      <c r="LFJ1" s="182"/>
      <c r="LFK1" s="182"/>
      <c r="LFL1" s="182"/>
      <c r="LFM1" s="182"/>
      <c r="LFN1" s="182"/>
      <c r="LFO1" s="182"/>
      <c r="LFP1" s="182"/>
      <c r="LFQ1" s="182"/>
      <c r="LFR1" s="182"/>
      <c r="LFS1" s="182"/>
      <c r="LFT1" s="182"/>
      <c r="LFU1" s="182"/>
      <c r="LFV1" s="182"/>
      <c r="LFW1" s="182"/>
      <c r="LFX1" s="182"/>
      <c r="LFY1" s="182"/>
      <c r="LFZ1" s="182"/>
      <c r="LGA1" s="182"/>
      <c r="LGB1" s="182"/>
      <c r="LGC1" s="182"/>
      <c r="LGD1" s="182"/>
      <c r="LGE1" s="182"/>
      <c r="LGF1" s="182"/>
      <c r="LGG1" s="182"/>
      <c r="LGH1" s="182"/>
      <c r="LGI1" s="182"/>
      <c r="LGJ1" s="182"/>
      <c r="LGK1" s="182"/>
      <c r="LGL1" s="182"/>
      <c r="LGM1" s="182"/>
      <c r="LGN1" s="182"/>
      <c r="LGO1" s="182"/>
      <c r="LGP1" s="182"/>
      <c r="LGQ1" s="182"/>
      <c r="LGR1" s="182"/>
      <c r="LGS1" s="182"/>
      <c r="LGT1" s="182"/>
      <c r="LGU1" s="182"/>
      <c r="LGV1" s="182"/>
      <c r="LGW1" s="182"/>
      <c r="LGX1" s="182"/>
      <c r="LGY1" s="182"/>
      <c r="LGZ1" s="182"/>
      <c r="LHA1" s="182"/>
      <c r="LHB1" s="182"/>
      <c r="LHC1" s="182"/>
      <c r="LHD1" s="182"/>
      <c r="LHE1" s="182"/>
      <c r="LHF1" s="182"/>
      <c r="LHG1" s="182"/>
      <c r="LHH1" s="182"/>
      <c r="LHI1" s="182"/>
      <c r="LHJ1" s="182"/>
      <c r="LHK1" s="182"/>
      <c r="LHL1" s="182"/>
      <c r="LHM1" s="182"/>
      <c r="LHN1" s="182"/>
      <c r="LHO1" s="182"/>
      <c r="LHP1" s="182"/>
      <c r="LHQ1" s="182"/>
      <c r="LHR1" s="182"/>
      <c r="LHS1" s="182"/>
      <c r="LHT1" s="182"/>
      <c r="LHU1" s="182"/>
      <c r="LHV1" s="182"/>
      <c r="LHW1" s="182"/>
      <c r="LHX1" s="182"/>
      <c r="LHY1" s="182"/>
      <c r="LHZ1" s="182"/>
      <c r="LIA1" s="182"/>
      <c r="LIB1" s="182"/>
      <c r="LIC1" s="182"/>
      <c r="LID1" s="182"/>
      <c r="LIE1" s="182"/>
      <c r="LIF1" s="182"/>
      <c r="LIG1" s="182"/>
      <c r="LIH1" s="182"/>
      <c r="LII1" s="182"/>
      <c r="LIJ1" s="182"/>
      <c r="LIK1" s="182"/>
      <c r="LIL1" s="182"/>
      <c r="LIM1" s="182"/>
      <c r="LIN1" s="182"/>
      <c r="LIO1" s="182"/>
      <c r="LIP1" s="182"/>
      <c r="LIQ1" s="182"/>
      <c r="LIR1" s="182"/>
      <c r="LIS1" s="182"/>
      <c r="LIT1" s="182"/>
      <c r="LIU1" s="182"/>
      <c r="LIV1" s="182"/>
      <c r="LIW1" s="182"/>
      <c r="LIX1" s="182"/>
      <c r="LIY1" s="182"/>
      <c r="LIZ1" s="182"/>
      <c r="LJA1" s="182"/>
      <c r="LJB1" s="182"/>
      <c r="LJC1" s="182"/>
      <c r="LJD1" s="182"/>
      <c r="LJE1" s="182"/>
      <c r="LJF1" s="182"/>
      <c r="LJG1" s="182"/>
      <c r="LJH1" s="182"/>
      <c r="LJI1" s="182"/>
      <c r="LJJ1" s="182"/>
      <c r="LJK1" s="182"/>
      <c r="LJL1" s="182"/>
      <c r="LJM1" s="182"/>
      <c r="LJN1" s="182"/>
      <c r="LJO1" s="182"/>
      <c r="LJP1" s="182"/>
      <c r="LJQ1" s="182"/>
      <c r="LJR1" s="182"/>
      <c r="LJS1" s="182"/>
      <c r="LJT1" s="182"/>
      <c r="LJU1" s="182"/>
      <c r="LJV1" s="182"/>
      <c r="LJW1" s="182"/>
      <c r="LJX1" s="182"/>
      <c r="LJY1" s="182"/>
      <c r="LJZ1" s="182"/>
      <c r="LKA1" s="182"/>
      <c r="LKB1" s="182"/>
      <c r="LKC1" s="182"/>
      <c r="LKD1" s="182"/>
      <c r="LKE1" s="182"/>
      <c r="LKF1" s="182"/>
      <c r="LKG1" s="182"/>
      <c r="LKH1" s="182"/>
      <c r="LKI1" s="182"/>
      <c r="LKJ1" s="182"/>
      <c r="LKK1" s="182"/>
      <c r="LKL1" s="182"/>
      <c r="LKM1" s="182"/>
      <c r="LKN1" s="182"/>
      <c r="LKO1" s="182"/>
      <c r="LKP1" s="182"/>
      <c r="LKQ1" s="182"/>
      <c r="LKR1" s="182"/>
      <c r="LKS1" s="182"/>
      <c r="LKT1" s="182"/>
      <c r="LKU1" s="182"/>
      <c r="LKV1" s="182"/>
      <c r="LKW1" s="182"/>
      <c r="LKX1" s="182"/>
      <c r="LKY1" s="182"/>
      <c r="LKZ1" s="182"/>
      <c r="LLA1" s="182"/>
      <c r="LLB1" s="182"/>
      <c r="LLC1" s="182"/>
      <c r="LLD1" s="182"/>
      <c r="LLE1" s="182"/>
      <c r="LLF1" s="182"/>
      <c r="LLG1" s="182"/>
      <c r="LLH1" s="182"/>
      <c r="LLI1" s="182"/>
      <c r="LLJ1" s="182"/>
      <c r="LLK1" s="182"/>
      <c r="LLL1" s="182"/>
      <c r="LLM1" s="182"/>
      <c r="LLN1" s="182"/>
      <c r="LLO1" s="182"/>
      <c r="LLP1" s="182"/>
      <c r="LLQ1" s="182"/>
      <c r="LLR1" s="182"/>
      <c r="LLS1" s="182"/>
      <c r="LLT1" s="182"/>
      <c r="LLU1" s="182"/>
      <c r="LLV1" s="182"/>
      <c r="LLW1" s="182"/>
      <c r="LLX1" s="182"/>
      <c r="LLY1" s="182"/>
      <c r="LLZ1" s="182"/>
      <c r="LMA1" s="182"/>
      <c r="LMB1" s="182"/>
      <c r="LMC1" s="182"/>
      <c r="LMD1" s="182"/>
      <c r="LME1" s="182"/>
      <c r="LMF1" s="182"/>
      <c r="LMG1" s="182"/>
      <c r="LMH1" s="182"/>
      <c r="LMI1" s="182"/>
      <c r="LMJ1" s="182"/>
      <c r="LMK1" s="182"/>
      <c r="LML1" s="182"/>
      <c r="LMM1" s="182"/>
      <c r="LMN1" s="182"/>
      <c r="LMO1" s="182"/>
      <c r="LMP1" s="182"/>
      <c r="LMQ1" s="182"/>
      <c r="LMR1" s="182"/>
      <c r="LMS1" s="182"/>
      <c r="LMT1" s="182"/>
      <c r="LMU1" s="182"/>
      <c r="LMV1" s="182"/>
      <c r="LMW1" s="182"/>
      <c r="LMX1" s="182"/>
      <c r="LMY1" s="182"/>
      <c r="LMZ1" s="182"/>
      <c r="LNA1" s="182"/>
      <c r="LNB1" s="182"/>
      <c r="LNC1" s="182"/>
      <c r="LND1" s="182"/>
      <c r="LNE1" s="182"/>
      <c r="LNF1" s="182"/>
      <c r="LNG1" s="182"/>
      <c r="LNH1" s="182"/>
      <c r="LNI1" s="182"/>
      <c r="LNJ1" s="182"/>
      <c r="LNK1" s="182"/>
      <c r="LNL1" s="182"/>
      <c r="LNM1" s="182"/>
      <c r="LNN1" s="182"/>
      <c r="LNO1" s="182"/>
      <c r="LNP1" s="182"/>
      <c r="LNQ1" s="182"/>
      <c r="LNR1" s="182"/>
      <c r="LNS1" s="182"/>
      <c r="LNT1" s="182"/>
      <c r="LNU1" s="182"/>
      <c r="LNV1" s="182"/>
      <c r="LNW1" s="182"/>
      <c r="LNX1" s="182"/>
      <c r="LNY1" s="182"/>
      <c r="LNZ1" s="182"/>
      <c r="LOA1" s="182"/>
      <c r="LOB1" s="182"/>
      <c r="LOC1" s="182"/>
      <c r="LOD1" s="182"/>
      <c r="LOE1" s="182"/>
      <c r="LOF1" s="182"/>
      <c r="LOG1" s="182"/>
      <c r="LOH1" s="182"/>
      <c r="LOI1" s="182"/>
      <c r="LOJ1" s="182"/>
      <c r="LOK1" s="182"/>
      <c r="LOL1" s="182"/>
      <c r="LOM1" s="182"/>
      <c r="LON1" s="182"/>
      <c r="LOO1" s="182"/>
      <c r="LOP1" s="182"/>
      <c r="LOQ1" s="182"/>
      <c r="LOR1" s="182"/>
      <c r="LOS1" s="182"/>
      <c r="LOT1" s="182"/>
      <c r="LOU1" s="182"/>
      <c r="LOV1" s="182"/>
      <c r="LOW1" s="182"/>
      <c r="LOX1" s="182"/>
      <c r="LOY1" s="182"/>
      <c r="LOZ1" s="182"/>
      <c r="LPA1" s="182"/>
      <c r="LPB1" s="182"/>
      <c r="LPC1" s="182"/>
      <c r="LPD1" s="182"/>
      <c r="LPE1" s="182"/>
      <c r="LPF1" s="182"/>
      <c r="LPG1" s="182"/>
      <c r="LPH1" s="182"/>
      <c r="LPI1" s="182"/>
      <c r="LPJ1" s="182"/>
      <c r="LPK1" s="182"/>
      <c r="LPL1" s="182"/>
      <c r="LPM1" s="182"/>
      <c r="LPN1" s="182"/>
      <c r="LPO1" s="182"/>
      <c r="LPP1" s="182"/>
      <c r="LPQ1" s="182"/>
      <c r="LPR1" s="182"/>
      <c r="LPS1" s="182"/>
      <c r="LPT1" s="182"/>
      <c r="LPU1" s="182"/>
      <c r="LPV1" s="182"/>
      <c r="LPW1" s="182"/>
      <c r="LPX1" s="182"/>
      <c r="LPY1" s="182"/>
      <c r="LPZ1" s="182"/>
      <c r="LQA1" s="182"/>
      <c r="LQB1" s="182"/>
      <c r="LQC1" s="182"/>
      <c r="LQD1" s="182"/>
      <c r="LQE1" s="182"/>
      <c r="LQF1" s="182"/>
      <c r="LQG1" s="182"/>
      <c r="LQH1" s="182"/>
      <c r="LQI1" s="182"/>
      <c r="LQJ1" s="182"/>
      <c r="LQK1" s="182"/>
      <c r="LQL1" s="182"/>
      <c r="LQM1" s="182"/>
      <c r="LQN1" s="182"/>
      <c r="LQO1" s="182"/>
      <c r="LQP1" s="182"/>
      <c r="LQQ1" s="182"/>
      <c r="LQR1" s="182"/>
      <c r="LQS1" s="182"/>
      <c r="LQT1" s="182"/>
      <c r="LQU1" s="182"/>
      <c r="LQV1" s="182"/>
      <c r="LQW1" s="182"/>
      <c r="LQX1" s="182"/>
      <c r="LQY1" s="182"/>
      <c r="LQZ1" s="182"/>
      <c r="LRA1" s="182"/>
      <c r="LRB1" s="182"/>
      <c r="LRC1" s="182"/>
      <c r="LRD1" s="182"/>
      <c r="LRE1" s="182"/>
      <c r="LRF1" s="182"/>
      <c r="LRG1" s="182"/>
      <c r="LRH1" s="182"/>
      <c r="LRI1" s="182"/>
      <c r="LRJ1" s="182"/>
      <c r="LRK1" s="182"/>
      <c r="LRL1" s="182"/>
      <c r="LRM1" s="182"/>
      <c r="LRN1" s="182"/>
      <c r="LRO1" s="182"/>
      <c r="LRP1" s="182"/>
      <c r="LRQ1" s="182"/>
      <c r="LRR1" s="182"/>
      <c r="LRS1" s="182"/>
      <c r="LRT1" s="182"/>
      <c r="LRU1" s="182"/>
      <c r="LRV1" s="182"/>
      <c r="LRW1" s="182"/>
      <c r="LRX1" s="182"/>
      <c r="LRY1" s="182"/>
      <c r="LRZ1" s="182"/>
      <c r="LSA1" s="182"/>
      <c r="LSB1" s="182"/>
      <c r="LSC1" s="182"/>
      <c r="LSD1" s="182"/>
      <c r="LSE1" s="182"/>
      <c r="LSF1" s="182"/>
      <c r="LSG1" s="182"/>
      <c r="LSH1" s="182"/>
      <c r="LSI1" s="182"/>
      <c r="LSJ1" s="182"/>
      <c r="LSK1" s="182"/>
      <c r="LSL1" s="182"/>
      <c r="LSM1" s="182"/>
      <c r="LSN1" s="182"/>
      <c r="LSO1" s="182"/>
      <c r="LSP1" s="182"/>
      <c r="LSQ1" s="182"/>
      <c r="LSR1" s="182"/>
      <c r="LSS1" s="182"/>
      <c r="LST1" s="182"/>
      <c r="LSU1" s="182"/>
      <c r="LSV1" s="182"/>
      <c r="LSW1" s="182"/>
      <c r="LSX1" s="182"/>
      <c r="LSY1" s="182"/>
      <c r="LSZ1" s="182"/>
      <c r="LTA1" s="182"/>
      <c r="LTB1" s="182"/>
      <c r="LTC1" s="182"/>
      <c r="LTD1" s="182"/>
      <c r="LTE1" s="182"/>
      <c r="LTF1" s="182"/>
      <c r="LTG1" s="182"/>
      <c r="LTH1" s="182"/>
      <c r="LTI1" s="182"/>
      <c r="LTJ1" s="182"/>
      <c r="LTK1" s="182"/>
      <c r="LTL1" s="182"/>
      <c r="LTM1" s="182"/>
      <c r="LTN1" s="182"/>
      <c r="LTO1" s="182"/>
      <c r="LTP1" s="182"/>
      <c r="LTQ1" s="182"/>
      <c r="LTR1" s="182"/>
      <c r="LTS1" s="182"/>
      <c r="LTT1" s="182"/>
      <c r="LTU1" s="182"/>
      <c r="LTV1" s="182"/>
      <c r="LTW1" s="182"/>
      <c r="LTX1" s="182"/>
      <c r="LTY1" s="182"/>
      <c r="LTZ1" s="182"/>
      <c r="LUA1" s="182"/>
      <c r="LUB1" s="182"/>
      <c r="LUC1" s="182"/>
      <c r="LUD1" s="182"/>
      <c r="LUE1" s="182"/>
      <c r="LUF1" s="182"/>
      <c r="LUG1" s="182"/>
      <c r="LUH1" s="182"/>
      <c r="LUI1" s="182"/>
      <c r="LUJ1" s="182"/>
      <c r="LUK1" s="182"/>
      <c r="LUL1" s="182"/>
      <c r="LUM1" s="182"/>
      <c r="LUN1" s="182"/>
      <c r="LUO1" s="182"/>
      <c r="LUP1" s="182"/>
      <c r="LUQ1" s="182"/>
      <c r="LUR1" s="182"/>
      <c r="LUS1" s="182"/>
      <c r="LUT1" s="182"/>
      <c r="LUU1" s="182"/>
      <c r="LUV1" s="182"/>
      <c r="LUW1" s="182"/>
      <c r="LUX1" s="182"/>
      <c r="LUY1" s="182"/>
      <c r="LUZ1" s="182"/>
      <c r="LVA1" s="182"/>
      <c r="LVB1" s="182"/>
      <c r="LVC1" s="182"/>
      <c r="LVD1" s="182"/>
      <c r="LVE1" s="182"/>
      <c r="LVF1" s="182"/>
      <c r="LVG1" s="182"/>
      <c r="LVH1" s="182"/>
      <c r="LVI1" s="182"/>
      <c r="LVJ1" s="182"/>
      <c r="LVK1" s="182"/>
      <c r="LVL1" s="182"/>
      <c r="LVM1" s="182"/>
      <c r="LVN1" s="182"/>
      <c r="LVO1" s="182"/>
      <c r="LVP1" s="182"/>
      <c r="LVQ1" s="182"/>
      <c r="LVR1" s="182"/>
      <c r="LVS1" s="182"/>
      <c r="LVT1" s="182"/>
      <c r="LVU1" s="182"/>
      <c r="LVV1" s="182"/>
      <c r="LVW1" s="182"/>
      <c r="LVX1" s="182"/>
      <c r="LVY1" s="182"/>
      <c r="LVZ1" s="182"/>
      <c r="LWA1" s="182"/>
      <c r="LWB1" s="182"/>
      <c r="LWC1" s="182"/>
      <c r="LWD1" s="182"/>
      <c r="LWE1" s="182"/>
      <c r="LWF1" s="182"/>
      <c r="LWG1" s="182"/>
      <c r="LWH1" s="182"/>
      <c r="LWI1" s="182"/>
      <c r="LWJ1" s="182"/>
      <c r="LWK1" s="182"/>
      <c r="LWL1" s="182"/>
      <c r="LWM1" s="182"/>
      <c r="LWN1" s="182"/>
      <c r="LWO1" s="182"/>
      <c r="LWP1" s="182"/>
      <c r="LWQ1" s="182"/>
      <c r="LWR1" s="182"/>
      <c r="LWS1" s="182"/>
      <c r="LWT1" s="182"/>
      <c r="LWU1" s="182"/>
      <c r="LWV1" s="182"/>
      <c r="LWW1" s="182"/>
      <c r="LWX1" s="182"/>
      <c r="LWY1" s="182"/>
      <c r="LWZ1" s="182"/>
      <c r="LXA1" s="182"/>
      <c r="LXB1" s="182"/>
      <c r="LXC1" s="182"/>
      <c r="LXD1" s="182"/>
      <c r="LXE1" s="182"/>
      <c r="LXF1" s="182"/>
      <c r="LXG1" s="182"/>
      <c r="LXH1" s="182"/>
      <c r="LXI1" s="182"/>
      <c r="LXJ1" s="182"/>
      <c r="LXK1" s="182"/>
      <c r="LXL1" s="182"/>
      <c r="LXM1" s="182"/>
      <c r="LXN1" s="182"/>
      <c r="LXO1" s="182"/>
      <c r="LXP1" s="182"/>
      <c r="LXQ1" s="182"/>
      <c r="LXR1" s="182"/>
      <c r="LXS1" s="182"/>
      <c r="LXT1" s="182"/>
      <c r="LXU1" s="182"/>
      <c r="LXV1" s="182"/>
      <c r="LXW1" s="182"/>
      <c r="LXX1" s="182"/>
      <c r="LXY1" s="182"/>
      <c r="LXZ1" s="182"/>
      <c r="LYA1" s="182"/>
      <c r="LYB1" s="182"/>
      <c r="LYC1" s="182"/>
      <c r="LYD1" s="182"/>
      <c r="LYE1" s="182"/>
      <c r="LYF1" s="182"/>
      <c r="LYG1" s="182"/>
      <c r="LYH1" s="182"/>
      <c r="LYI1" s="182"/>
      <c r="LYJ1" s="182"/>
      <c r="LYK1" s="182"/>
      <c r="LYL1" s="182"/>
      <c r="LYM1" s="182"/>
      <c r="LYN1" s="182"/>
      <c r="LYO1" s="182"/>
      <c r="LYP1" s="182"/>
      <c r="LYQ1" s="182"/>
      <c r="LYR1" s="182"/>
      <c r="LYS1" s="182"/>
      <c r="LYT1" s="182"/>
      <c r="LYU1" s="182"/>
      <c r="LYV1" s="182"/>
      <c r="LYW1" s="182"/>
      <c r="LYX1" s="182"/>
      <c r="LYY1" s="182"/>
      <c r="LYZ1" s="182"/>
      <c r="LZA1" s="182"/>
      <c r="LZB1" s="182"/>
      <c r="LZC1" s="182"/>
      <c r="LZD1" s="182"/>
      <c r="LZE1" s="182"/>
      <c r="LZF1" s="182"/>
      <c r="LZG1" s="182"/>
      <c r="LZH1" s="182"/>
      <c r="LZI1" s="182"/>
      <c r="LZJ1" s="182"/>
      <c r="LZK1" s="182"/>
      <c r="LZL1" s="182"/>
      <c r="LZM1" s="182"/>
      <c r="LZN1" s="182"/>
      <c r="LZO1" s="182"/>
      <c r="LZP1" s="182"/>
      <c r="LZQ1" s="182"/>
      <c r="LZR1" s="182"/>
      <c r="LZS1" s="182"/>
      <c r="LZT1" s="182"/>
      <c r="LZU1" s="182"/>
      <c r="LZV1" s="182"/>
      <c r="LZW1" s="182"/>
      <c r="LZX1" s="182"/>
      <c r="LZY1" s="182"/>
      <c r="LZZ1" s="182"/>
      <c r="MAA1" s="182"/>
      <c r="MAB1" s="182"/>
      <c r="MAC1" s="182"/>
      <c r="MAD1" s="182"/>
      <c r="MAE1" s="182"/>
      <c r="MAF1" s="182"/>
      <c r="MAG1" s="182"/>
      <c r="MAH1" s="182"/>
      <c r="MAI1" s="182"/>
      <c r="MAJ1" s="182"/>
      <c r="MAK1" s="182"/>
      <c r="MAL1" s="182"/>
      <c r="MAM1" s="182"/>
      <c r="MAN1" s="182"/>
      <c r="MAO1" s="182"/>
      <c r="MAP1" s="182"/>
      <c r="MAQ1" s="182"/>
      <c r="MAR1" s="182"/>
      <c r="MAS1" s="182"/>
      <c r="MAT1" s="182"/>
      <c r="MAU1" s="182"/>
      <c r="MAV1" s="182"/>
      <c r="MAW1" s="182"/>
      <c r="MAX1" s="182"/>
      <c r="MAY1" s="182"/>
      <c r="MAZ1" s="182"/>
      <c r="MBA1" s="182"/>
      <c r="MBB1" s="182"/>
      <c r="MBC1" s="182"/>
      <c r="MBD1" s="182"/>
      <c r="MBE1" s="182"/>
      <c r="MBF1" s="182"/>
      <c r="MBG1" s="182"/>
      <c r="MBH1" s="182"/>
      <c r="MBI1" s="182"/>
      <c r="MBJ1" s="182"/>
      <c r="MBK1" s="182"/>
      <c r="MBL1" s="182"/>
      <c r="MBM1" s="182"/>
      <c r="MBN1" s="182"/>
      <c r="MBO1" s="182"/>
      <c r="MBP1" s="182"/>
      <c r="MBQ1" s="182"/>
      <c r="MBR1" s="182"/>
      <c r="MBS1" s="182"/>
      <c r="MBT1" s="182"/>
      <c r="MBU1" s="182"/>
      <c r="MBV1" s="182"/>
      <c r="MBW1" s="182"/>
      <c r="MBX1" s="182"/>
      <c r="MBY1" s="182"/>
      <c r="MBZ1" s="182"/>
      <c r="MCA1" s="182"/>
      <c r="MCB1" s="182"/>
      <c r="MCC1" s="182"/>
      <c r="MCD1" s="182"/>
      <c r="MCE1" s="182"/>
      <c r="MCF1" s="182"/>
      <c r="MCG1" s="182"/>
      <c r="MCH1" s="182"/>
      <c r="MCI1" s="182"/>
      <c r="MCJ1" s="182"/>
      <c r="MCK1" s="182"/>
      <c r="MCL1" s="182"/>
      <c r="MCM1" s="182"/>
      <c r="MCN1" s="182"/>
      <c r="MCO1" s="182"/>
      <c r="MCP1" s="182"/>
      <c r="MCQ1" s="182"/>
      <c r="MCR1" s="182"/>
      <c r="MCS1" s="182"/>
      <c r="MCT1" s="182"/>
      <c r="MCU1" s="182"/>
      <c r="MCV1" s="182"/>
      <c r="MCW1" s="182"/>
      <c r="MCX1" s="182"/>
      <c r="MCY1" s="182"/>
      <c r="MCZ1" s="182"/>
      <c r="MDA1" s="182"/>
      <c r="MDB1" s="182"/>
      <c r="MDC1" s="182"/>
      <c r="MDD1" s="182"/>
      <c r="MDE1" s="182"/>
      <c r="MDF1" s="182"/>
      <c r="MDG1" s="182"/>
      <c r="MDH1" s="182"/>
      <c r="MDI1" s="182"/>
      <c r="MDJ1" s="182"/>
      <c r="MDK1" s="182"/>
      <c r="MDL1" s="182"/>
      <c r="MDM1" s="182"/>
      <c r="MDN1" s="182"/>
      <c r="MDO1" s="182"/>
      <c r="MDP1" s="182"/>
      <c r="MDQ1" s="182"/>
      <c r="MDR1" s="182"/>
      <c r="MDS1" s="182"/>
      <c r="MDT1" s="182"/>
      <c r="MDU1" s="182"/>
      <c r="MDV1" s="182"/>
      <c r="MDW1" s="182"/>
      <c r="MDX1" s="182"/>
      <c r="MDY1" s="182"/>
      <c r="MDZ1" s="182"/>
      <c r="MEA1" s="182"/>
      <c r="MEB1" s="182"/>
      <c r="MEC1" s="182"/>
      <c r="MED1" s="182"/>
      <c r="MEE1" s="182"/>
      <c r="MEF1" s="182"/>
      <c r="MEG1" s="182"/>
      <c r="MEH1" s="182"/>
      <c r="MEI1" s="182"/>
      <c r="MEJ1" s="182"/>
      <c r="MEK1" s="182"/>
      <c r="MEL1" s="182"/>
      <c r="MEM1" s="182"/>
      <c r="MEN1" s="182"/>
      <c r="MEO1" s="182"/>
      <c r="MEP1" s="182"/>
      <c r="MEQ1" s="182"/>
      <c r="MER1" s="182"/>
      <c r="MES1" s="182"/>
      <c r="MET1" s="182"/>
      <c r="MEU1" s="182"/>
      <c r="MEV1" s="182"/>
      <c r="MEW1" s="182"/>
      <c r="MEX1" s="182"/>
      <c r="MEY1" s="182"/>
      <c r="MEZ1" s="182"/>
      <c r="MFA1" s="182"/>
      <c r="MFB1" s="182"/>
      <c r="MFC1" s="182"/>
      <c r="MFD1" s="182"/>
      <c r="MFE1" s="182"/>
      <c r="MFF1" s="182"/>
      <c r="MFG1" s="182"/>
      <c r="MFH1" s="182"/>
      <c r="MFI1" s="182"/>
      <c r="MFJ1" s="182"/>
      <c r="MFK1" s="182"/>
      <c r="MFL1" s="182"/>
      <c r="MFM1" s="182"/>
      <c r="MFN1" s="182"/>
      <c r="MFO1" s="182"/>
      <c r="MFP1" s="182"/>
      <c r="MFQ1" s="182"/>
      <c r="MFR1" s="182"/>
      <c r="MFS1" s="182"/>
      <c r="MFT1" s="182"/>
      <c r="MFU1" s="182"/>
      <c r="MFV1" s="182"/>
      <c r="MFW1" s="182"/>
      <c r="MFX1" s="182"/>
      <c r="MFY1" s="182"/>
      <c r="MFZ1" s="182"/>
      <c r="MGA1" s="182"/>
      <c r="MGB1" s="182"/>
      <c r="MGC1" s="182"/>
      <c r="MGD1" s="182"/>
      <c r="MGE1" s="182"/>
      <c r="MGF1" s="182"/>
      <c r="MGG1" s="182"/>
      <c r="MGH1" s="182"/>
      <c r="MGI1" s="182"/>
      <c r="MGJ1" s="182"/>
      <c r="MGK1" s="182"/>
      <c r="MGL1" s="182"/>
      <c r="MGM1" s="182"/>
      <c r="MGN1" s="182"/>
      <c r="MGO1" s="182"/>
      <c r="MGP1" s="182"/>
      <c r="MGQ1" s="182"/>
      <c r="MGR1" s="182"/>
      <c r="MGS1" s="182"/>
      <c r="MGT1" s="182"/>
      <c r="MGU1" s="182"/>
      <c r="MGV1" s="182"/>
      <c r="MGW1" s="182"/>
      <c r="MGX1" s="182"/>
      <c r="MGY1" s="182"/>
      <c r="MGZ1" s="182"/>
      <c r="MHA1" s="182"/>
      <c r="MHB1" s="182"/>
      <c r="MHC1" s="182"/>
      <c r="MHD1" s="182"/>
      <c r="MHE1" s="182"/>
      <c r="MHF1" s="182"/>
      <c r="MHG1" s="182"/>
      <c r="MHH1" s="182"/>
      <c r="MHI1" s="182"/>
      <c r="MHJ1" s="182"/>
      <c r="MHK1" s="182"/>
      <c r="MHL1" s="182"/>
      <c r="MHM1" s="182"/>
      <c r="MHN1" s="182"/>
      <c r="MHO1" s="182"/>
      <c r="MHP1" s="182"/>
      <c r="MHQ1" s="182"/>
      <c r="MHR1" s="182"/>
      <c r="MHS1" s="182"/>
      <c r="MHT1" s="182"/>
      <c r="MHU1" s="182"/>
      <c r="MHV1" s="182"/>
      <c r="MHW1" s="182"/>
      <c r="MHX1" s="182"/>
      <c r="MHY1" s="182"/>
      <c r="MHZ1" s="182"/>
      <c r="MIA1" s="182"/>
      <c r="MIB1" s="182"/>
      <c r="MIC1" s="182"/>
      <c r="MID1" s="182"/>
      <c r="MIE1" s="182"/>
      <c r="MIF1" s="182"/>
      <c r="MIG1" s="182"/>
      <c r="MIH1" s="182"/>
      <c r="MII1" s="182"/>
      <c r="MIJ1" s="182"/>
      <c r="MIK1" s="182"/>
      <c r="MIL1" s="182"/>
      <c r="MIM1" s="182"/>
      <c r="MIN1" s="182"/>
      <c r="MIO1" s="182"/>
      <c r="MIP1" s="182"/>
      <c r="MIQ1" s="182"/>
      <c r="MIR1" s="182"/>
      <c r="MIS1" s="182"/>
      <c r="MIT1" s="182"/>
      <c r="MIU1" s="182"/>
      <c r="MIV1" s="182"/>
      <c r="MIW1" s="182"/>
      <c r="MIX1" s="182"/>
      <c r="MIY1" s="182"/>
      <c r="MIZ1" s="182"/>
      <c r="MJA1" s="182"/>
      <c r="MJB1" s="182"/>
      <c r="MJC1" s="182"/>
      <c r="MJD1" s="182"/>
      <c r="MJE1" s="182"/>
      <c r="MJF1" s="182"/>
      <c r="MJG1" s="182"/>
      <c r="MJH1" s="182"/>
      <c r="MJI1" s="182"/>
      <c r="MJJ1" s="182"/>
      <c r="MJK1" s="182"/>
      <c r="MJL1" s="182"/>
      <c r="MJM1" s="182"/>
      <c r="MJN1" s="182"/>
      <c r="MJO1" s="182"/>
      <c r="MJP1" s="182"/>
      <c r="MJQ1" s="182"/>
      <c r="MJR1" s="182"/>
      <c r="MJS1" s="182"/>
      <c r="MJT1" s="182"/>
      <c r="MJU1" s="182"/>
      <c r="MJV1" s="182"/>
      <c r="MJW1" s="182"/>
      <c r="MJX1" s="182"/>
      <c r="MJY1" s="182"/>
      <c r="MJZ1" s="182"/>
      <c r="MKA1" s="182"/>
      <c r="MKB1" s="182"/>
      <c r="MKC1" s="182"/>
      <c r="MKD1" s="182"/>
      <c r="MKE1" s="182"/>
      <c r="MKF1" s="182"/>
      <c r="MKG1" s="182"/>
      <c r="MKH1" s="182"/>
      <c r="MKI1" s="182"/>
      <c r="MKJ1" s="182"/>
      <c r="MKK1" s="182"/>
      <c r="MKL1" s="182"/>
      <c r="MKM1" s="182"/>
      <c r="MKN1" s="182"/>
      <c r="MKO1" s="182"/>
      <c r="MKP1" s="182"/>
      <c r="MKQ1" s="182"/>
      <c r="MKR1" s="182"/>
      <c r="MKS1" s="182"/>
      <c r="MKT1" s="182"/>
      <c r="MKU1" s="182"/>
      <c r="MKV1" s="182"/>
      <c r="MKW1" s="182"/>
      <c r="MKX1" s="182"/>
      <c r="MKY1" s="182"/>
      <c r="MKZ1" s="182"/>
      <c r="MLA1" s="182"/>
      <c r="MLB1" s="182"/>
      <c r="MLC1" s="182"/>
      <c r="MLD1" s="182"/>
      <c r="MLE1" s="182"/>
      <c r="MLF1" s="182"/>
      <c r="MLG1" s="182"/>
      <c r="MLH1" s="182"/>
      <c r="MLI1" s="182"/>
      <c r="MLJ1" s="182"/>
      <c r="MLK1" s="182"/>
      <c r="MLL1" s="182"/>
      <c r="MLM1" s="182"/>
      <c r="MLN1" s="182"/>
      <c r="MLO1" s="182"/>
      <c r="MLP1" s="182"/>
      <c r="MLQ1" s="182"/>
      <c r="MLR1" s="182"/>
      <c r="MLS1" s="182"/>
      <c r="MLT1" s="182"/>
      <c r="MLU1" s="182"/>
      <c r="MLV1" s="182"/>
      <c r="MLW1" s="182"/>
      <c r="MLX1" s="182"/>
      <c r="MLY1" s="182"/>
      <c r="MLZ1" s="182"/>
      <c r="MMA1" s="182"/>
      <c r="MMB1" s="182"/>
      <c r="MMC1" s="182"/>
      <c r="MMD1" s="182"/>
      <c r="MME1" s="182"/>
      <c r="MMF1" s="182"/>
      <c r="MMG1" s="182"/>
      <c r="MMH1" s="182"/>
      <c r="MMI1" s="182"/>
      <c r="MMJ1" s="182"/>
      <c r="MMK1" s="182"/>
      <c r="MML1" s="182"/>
      <c r="MMM1" s="182"/>
      <c r="MMN1" s="182"/>
      <c r="MMO1" s="182"/>
      <c r="MMP1" s="182"/>
      <c r="MMQ1" s="182"/>
      <c r="MMR1" s="182"/>
      <c r="MMS1" s="182"/>
      <c r="MMT1" s="182"/>
      <c r="MMU1" s="182"/>
      <c r="MMV1" s="182"/>
      <c r="MMW1" s="182"/>
      <c r="MMX1" s="182"/>
      <c r="MMY1" s="182"/>
      <c r="MMZ1" s="182"/>
      <c r="MNA1" s="182"/>
      <c r="MNB1" s="182"/>
      <c r="MNC1" s="182"/>
      <c r="MND1" s="182"/>
      <c r="MNE1" s="182"/>
      <c r="MNF1" s="182"/>
      <c r="MNG1" s="182"/>
      <c r="MNH1" s="182"/>
      <c r="MNI1" s="182"/>
      <c r="MNJ1" s="182"/>
      <c r="MNK1" s="182"/>
      <c r="MNL1" s="182"/>
      <c r="MNM1" s="182"/>
      <c r="MNN1" s="182"/>
      <c r="MNO1" s="182"/>
      <c r="MNP1" s="182"/>
      <c r="MNQ1" s="182"/>
      <c r="MNR1" s="182"/>
      <c r="MNS1" s="182"/>
      <c r="MNT1" s="182"/>
      <c r="MNU1" s="182"/>
      <c r="MNV1" s="182"/>
      <c r="MNW1" s="182"/>
      <c r="MNX1" s="182"/>
      <c r="MNY1" s="182"/>
      <c r="MNZ1" s="182"/>
      <c r="MOA1" s="182"/>
      <c r="MOB1" s="182"/>
      <c r="MOC1" s="182"/>
      <c r="MOD1" s="182"/>
      <c r="MOE1" s="182"/>
      <c r="MOF1" s="182"/>
      <c r="MOG1" s="182"/>
      <c r="MOH1" s="182"/>
      <c r="MOI1" s="182"/>
      <c r="MOJ1" s="182"/>
      <c r="MOK1" s="182"/>
      <c r="MOL1" s="182"/>
      <c r="MOM1" s="182"/>
      <c r="MON1" s="182"/>
      <c r="MOO1" s="182"/>
      <c r="MOP1" s="182"/>
      <c r="MOQ1" s="182"/>
      <c r="MOR1" s="182"/>
      <c r="MOS1" s="182"/>
      <c r="MOT1" s="182"/>
      <c r="MOU1" s="182"/>
      <c r="MOV1" s="182"/>
      <c r="MOW1" s="182"/>
      <c r="MOX1" s="182"/>
      <c r="MOY1" s="182"/>
      <c r="MOZ1" s="182"/>
      <c r="MPA1" s="182"/>
      <c r="MPB1" s="182"/>
      <c r="MPC1" s="182"/>
      <c r="MPD1" s="182"/>
      <c r="MPE1" s="182"/>
      <c r="MPF1" s="182"/>
      <c r="MPG1" s="182"/>
      <c r="MPH1" s="182"/>
      <c r="MPI1" s="182"/>
      <c r="MPJ1" s="182"/>
      <c r="MPK1" s="182"/>
      <c r="MPL1" s="182"/>
      <c r="MPM1" s="182"/>
      <c r="MPN1" s="182"/>
      <c r="MPO1" s="182"/>
      <c r="MPP1" s="182"/>
      <c r="MPQ1" s="182"/>
      <c r="MPR1" s="182"/>
      <c r="MPS1" s="182"/>
      <c r="MPT1" s="182"/>
      <c r="MPU1" s="182"/>
      <c r="MPV1" s="182"/>
      <c r="MPW1" s="182"/>
      <c r="MPX1" s="182"/>
      <c r="MPY1" s="182"/>
      <c r="MPZ1" s="182"/>
      <c r="MQA1" s="182"/>
      <c r="MQB1" s="182"/>
      <c r="MQC1" s="182"/>
      <c r="MQD1" s="182"/>
      <c r="MQE1" s="182"/>
      <c r="MQF1" s="182"/>
      <c r="MQG1" s="182"/>
      <c r="MQH1" s="182"/>
      <c r="MQI1" s="182"/>
      <c r="MQJ1" s="182"/>
      <c r="MQK1" s="182"/>
      <c r="MQL1" s="182"/>
      <c r="MQM1" s="182"/>
      <c r="MQN1" s="182"/>
      <c r="MQO1" s="182"/>
      <c r="MQP1" s="182"/>
      <c r="MQQ1" s="182"/>
      <c r="MQR1" s="182"/>
      <c r="MQS1" s="182"/>
      <c r="MQT1" s="182"/>
      <c r="MQU1" s="182"/>
      <c r="MQV1" s="182"/>
      <c r="MQW1" s="182"/>
      <c r="MQX1" s="182"/>
      <c r="MQY1" s="182"/>
      <c r="MQZ1" s="182"/>
      <c r="MRA1" s="182"/>
      <c r="MRB1" s="182"/>
      <c r="MRC1" s="182"/>
      <c r="MRD1" s="182"/>
      <c r="MRE1" s="182"/>
      <c r="MRF1" s="182"/>
      <c r="MRG1" s="182"/>
      <c r="MRH1" s="182"/>
      <c r="MRI1" s="182"/>
      <c r="MRJ1" s="182"/>
      <c r="MRK1" s="182"/>
      <c r="MRL1" s="182"/>
      <c r="MRM1" s="182"/>
      <c r="MRN1" s="182"/>
      <c r="MRO1" s="182"/>
      <c r="MRP1" s="182"/>
      <c r="MRQ1" s="182"/>
      <c r="MRR1" s="182"/>
      <c r="MRS1" s="182"/>
      <c r="MRT1" s="182"/>
      <c r="MRU1" s="182"/>
      <c r="MRV1" s="182"/>
      <c r="MRW1" s="182"/>
      <c r="MRX1" s="182"/>
      <c r="MRY1" s="182"/>
      <c r="MRZ1" s="182"/>
      <c r="MSA1" s="182"/>
      <c r="MSB1" s="182"/>
      <c r="MSC1" s="182"/>
      <c r="MSD1" s="182"/>
      <c r="MSE1" s="182"/>
      <c r="MSF1" s="182"/>
      <c r="MSG1" s="182"/>
      <c r="MSH1" s="182"/>
      <c r="MSI1" s="182"/>
      <c r="MSJ1" s="182"/>
      <c r="MSK1" s="182"/>
      <c r="MSL1" s="182"/>
      <c r="MSM1" s="182"/>
      <c r="MSN1" s="182"/>
      <c r="MSO1" s="182"/>
      <c r="MSP1" s="182"/>
      <c r="MSQ1" s="182"/>
      <c r="MSR1" s="182"/>
      <c r="MSS1" s="182"/>
      <c r="MST1" s="182"/>
      <c r="MSU1" s="182"/>
      <c r="MSV1" s="182"/>
      <c r="MSW1" s="182"/>
      <c r="MSX1" s="182"/>
      <c r="MSY1" s="182"/>
      <c r="MSZ1" s="182"/>
      <c r="MTA1" s="182"/>
      <c r="MTB1" s="182"/>
      <c r="MTC1" s="182"/>
      <c r="MTD1" s="182"/>
      <c r="MTE1" s="182"/>
      <c r="MTF1" s="182"/>
      <c r="MTG1" s="182"/>
      <c r="MTH1" s="182"/>
      <c r="MTI1" s="182"/>
      <c r="MTJ1" s="182"/>
      <c r="MTK1" s="182"/>
      <c r="MTL1" s="182"/>
      <c r="MTM1" s="182"/>
      <c r="MTN1" s="182"/>
      <c r="MTO1" s="182"/>
      <c r="MTP1" s="182"/>
      <c r="MTQ1" s="182"/>
      <c r="MTR1" s="182"/>
      <c r="MTS1" s="182"/>
      <c r="MTT1" s="182"/>
      <c r="MTU1" s="182"/>
      <c r="MTV1" s="182"/>
      <c r="MTW1" s="182"/>
      <c r="MTX1" s="182"/>
      <c r="MTY1" s="182"/>
      <c r="MTZ1" s="182"/>
      <c r="MUA1" s="182"/>
      <c r="MUB1" s="182"/>
      <c r="MUC1" s="182"/>
      <c r="MUD1" s="182"/>
      <c r="MUE1" s="182"/>
      <c r="MUF1" s="182"/>
      <c r="MUG1" s="182"/>
      <c r="MUH1" s="182"/>
      <c r="MUI1" s="182"/>
      <c r="MUJ1" s="182"/>
      <c r="MUK1" s="182"/>
      <c r="MUL1" s="182"/>
      <c r="MUM1" s="182"/>
      <c r="MUN1" s="182"/>
      <c r="MUO1" s="182"/>
      <c r="MUP1" s="182"/>
      <c r="MUQ1" s="182"/>
      <c r="MUR1" s="182"/>
      <c r="MUS1" s="182"/>
      <c r="MUT1" s="182"/>
      <c r="MUU1" s="182"/>
      <c r="MUV1" s="182"/>
      <c r="MUW1" s="182"/>
      <c r="MUX1" s="182"/>
      <c r="MUY1" s="182"/>
      <c r="MUZ1" s="182"/>
      <c r="MVA1" s="182"/>
      <c r="MVB1" s="182"/>
      <c r="MVC1" s="182"/>
      <c r="MVD1" s="182"/>
      <c r="MVE1" s="182"/>
      <c r="MVF1" s="182"/>
      <c r="MVG1" s="182"/>
      <c r="MVH1" s="182"/>
      <c r="MVI1" s="182"/>
      <c r="MVJ1" s="182"/>
      <c r="MVK1" s="182"/>
      <c r="MVL1" s="182"/>
      <c r="MVM1" s="182"/>
      <c r="MVN1" s="182"/>
      <c r="MVO1" s="182"/>
      <c r="MVP1" s="182"/>
      <c r="MVQ1" s="182"/>
      <c r="MVR1" s="182"/>
      <c r="MVS1" s="182"/>
      <c r="MVT1" s="182"/>
      <c r="MVU1" s="182"/>
      <c r="MVV1" s="182"/>
      <c r="MVW1" s="182"/>
      <c r="MVX1" s="182"/>
      <c r="MVY1" s="182"/>
      <c r="MVZ1" s="182"/>
      <c r="MWA1" s="182"/>
      <c r="MWB1" s="182"/>
      <c r="MWC1" s="182"/>
      <c r="MWD1" s="182"/>
      <c r="MWE1" s="182"/>
      <c r="MWF1" s="182"/>
      <c r="MWG1" s="182"/>
      <c r="MWH1" s="182"/>
      <c r="MWI1" s="182"/>
      <c r="MWJ1" s="182"/>
      <c r="MWK1" s="182"/>
      <c r="MWL1" s="182"/>
      <c r="MWM1" s="182"/>
      <c r="MWN1" s="182"/>
      <c r="MWO1" s="182"/>
      <c r="MWP1" s="182"/>
      <c r="MWQ1" s="182"/>
      <c r="MWR1" s="182"/>
      <c r="MWS1" s="182"/>
      <c r="MWT1" s="182"/>
      <c r="MWU1" s="182"/>
      <c r="MWV1" s="182"/>
      <c r="MWW1" s="182"/>
      <c r="MWX1" s="182"/>
      <c r="MWY1" s="182"/>
      <c r="MWZ1" s="182"/>
      <c r="MXA1" s="182"/>
      <c r="MXB1" s="182"/>
      <c r="MXC1" s="182"/>
      <c r="MXD1" s="182"/>
      <c r="MXE1" s="182"/>
      <c r="MXF1" s="182"/>
      <c r="MXG1" s="182"/>
      <c r="MXH1" s="182"/>
      <c r="MXI1" s="182"/>
      <c r="MXJ1" s="182"/>
      <c r="MXK1" s="182"/>
      <c r="MXL1" s="182"/>
      <c r="MXM1" s="182"/>
      <c r="MXN1" s="182"/>
      <c r="MXO1" s="182"/>
      <c r="MXP1" s="182"/>
      <c r="MXQ1" s="182"/>
      <c r="MXR1" s="182"/>
      <c r="MXS1" s="182"/>
      <c r="MXT1" s="182"/>
      <c r="MXU1" s="182"/>
      <c r="MXV1" s="182"/>
      <c r="MXW1" s="182"/>
      <c r="MXX1" s="182"/>
      <c r="MXY1" s="182"/>
      <c r="MXZ1" s="182"/>
      <c r="MYA1" s="182"/>
      <c r="MYB1" s="182"/>
      <c r="MYC1" s="182"/>
      <c r="MYD1" s="182"/>
      <c r="MYE1" s="182"/>
      <c r="MYF1" s="182"/>
      <c r="MYG1" s="182"/>
      <c r="MYH1" s="182"/>
      <c r="MYI1" s="182"/>
      <c r="MYJ1" s="182"/>
      <c r="MYK1" s="182"/>
      <c r="MYL1" s="182"/>
      <c r="MYM1" s="182"/>
      <c r="MYN1" s="182"/>
      <c r="MYO1" s="182"/>
      <c r="MYP1" s="182"/>
      <c r="MYQ1" s="182"/>
      <c r="MYR1" s="182"/>
      <c r="MYS1" s="182"/>
      <c r="MYT1" s="182"/>
      <c r="MYU1" s="182"/>
      <c r="MYV1" s="182"/>
      <c r="MYW1" s="182"/>
      <c r="MYX1" s="182"/>
      <c r="MYY1" s="182"/>
      <c r="MYZ1" s="182"/>
      <c r="MZA1" s="182"/>
      <c r="MZB1" s="182"/>
      <c r="MZC1" s="182"/>
      <c r="MZD1" s="182"/>
      <c r="MZE1" s="182"/>
      <c r="MZF1" s="182"/>
      <c r="MZG1" s="182"/>
      <c r="MZH1" s="182"/>
      <c r="MZI1" s="182"/>
      <c r="MZJ1" s="182"/>
      <c r="MZK1" s="182"/>
      <c r="MZL1" s="182"/>
      <c r="MZM1" s="182"/>
      <c r="MZN1" s="182"/>
      <c r="MZO1" s="182"/>
      <c r="MZP1" s="182"/>
      <c r="MZQ1" s="182"/>
      <c r="MZR1" s="182"/>
      <c r="MZS1" s="182"/>
      <c r="MZT1" s="182"/>
      <c r="MZU1" s="182"/>
      <c r="MZV1" s="182"/>
      <c r="MZW1" s="182"/>
      <c r="MZX1" s="182"/>
      <c r="MZY1" s="182"/>
      <c r="MZZ1" s="182"/>
      <c r="NAA1" s="182"/>
      <c r="NAB1" s="182"/>
      <c r="NAC1" s="182"/>
      <c r="NAD1" s="182"/>
      <c r="NAE1" s="182"/>
      <c r="NAF1" s="182"/>
      <c r="NAG1" s="182"/>
      <c r="NAH1" s="182"/>
      <c r="NAI1" s="182"/>
      <c r="NAJ1" s="182"/>
      <c r="NAK1" s="182"/>
      <c r="NAL1" s="182"/>
      <c r="NAM1" s="182"/>
      <c r="NAN1" s="182"/>
      <c r="NAO1" s="182"/>
      <c r="NAP1" s="182"/>
      <c r="NAQ1" s="182"/>
      <c r="NAR1" s="182"/>
      <c r="NAS1" s="182"/>
      <c r="NAT1" s="182"/>
      <c r="NAU1" s="182"/>
      <c r="NAV1" s="182"/>
      <c r="NAW1" s="182"/>
      <c r="NAX1" s="182"/>
      <c r="NAY1" s="182"/>
      <c r="NAZ1" s="182"/>
      <c r="NBA1" s="182"/>
      <c r="NBB1" s="182"/>
      <c r="NBC1" s="182"/>
      <c r="NBD1" s="182"/>
      <c r="NBE1" s="182"/>
      <c r="NBF1" s="182"/>
      <c r="NBG1" s="182"/>
      <c r="NBH1" s="182"/>
      <c r="NBI1" s="182"/>
      <c r="NBJ1" s="182"/>
      <c r="NBK1" s="182"/>
      <c r="NBL1" s="182"/>
      <c r="NBM1" s="182"/>
      <c r="NBN1" s="182"/>
      <c r="NBO1" s="182"/>
      <c r="NBP1" s="182"/>
      <c r="NBQ1" s="182"/>
      <c r="NBR1" s="182"/>
      <c r="NBS1" s="182"/>
      <c r="NBT1" s="182"/>
      <c r="NBU1" s="182"/>
      <c r="NBV1" s="182"/>
      <c r="NBW1" s="182"/>
      <c r="NBX1" s="182"/>
      <c r="NBY1" s="182"/>
      <c r="NBZ1" s="182"/>
      <c r="NCA1" s="182"/>
      <c r="NCB1" s="182"/>
      <c r="NCC1" s="182"/>
      <c r="NCD1" s="182"/>
      <c r="NCE1" s="182"/>
      <c r="NCF1" s="182"/>
      <c r="NCG1" s="182"/>
      <c r="NCH1" s="182"/>
      <c r="NCI1" s="182"/>
      <c r="NCJ1" s="182"/>
      <c r="NCK1" s="182"/>
      <c r="NCL1" s="182"/>
      <c r="NCM1" s="182"/>
      <c r="NCN1" s="182"/>
      <c r="NCO1" s="182"/>
      <c r="NCP1" s="182"/>
      <c r="NCQ1" s="182"/>
      <c r="NCR1" s="182"/>
      <c r="NCS1" s="182"/>
      <c r="NCT1" s="182"/>
      <c r="NCU1" s="182"/>
      <c r="NCV1" s="182"/>
      <c r="NCW1" s="182"/>
      <c r="NCX1" s="182"/>
      <c r="NCY1" s="182"/>
      <c r="NCZ1" s="182"/>
      <c r="NDA1" s="182"/>
      <c r="NDB1" s="182"/>
      <c r="NDC1" s="182"/>
      <c r="NDD1" s="182"/>
      <c r="NDE1" s="182"/>
      <c r="NDF1" s="182"/>
      <c r="NDG1" s="182"/>
      <c r="NDH1" s="182"/>
      <c r="NDI1" s="182"/>
      <c r="NDJ1" s="182"/>
      <c r="NDK1" s="182"/>
      <c r="NDL1" s="182"/>
      <c r="NDM1" s="182"/>
      <c r="NDN1" s="182"/>
      <c r="NDO1" s="182"/>
      <c r="NDP1" s="182"/>
      <c r="NDQ1" s="182"/>
      <c r="NDR1" s="182"/>
      <c r="NDS1" s="182"/>
      <c r="NDT1" s="182"/>
      <c r="NDU1" s="182"/>
      <c r="NDV1" s="182"/>
      <c r="NDW1" s="182"/>
      <c r="NDX1" s="182"/>
      <c r="NDY1" s="182"/>
      <c r="NDZ1" s="182"/>
      <c r="NEA1" s="182"/>
      <c r="NEB1" s="182"/>
      <c r="NEC1" s="182"/>
      <c r="NED1" s="182"/>
      <c r="NEE1" s="182"/>
      <c r="NEF1" s="182"/>
      <c r="NEG1" s="182"/>
      <c r="NEH1" s="182"/>
      <c r="NEI1" s="182"/>
      <c r="NEJ1" s="182"/>
      <c r="NEK1" s="182"/>
      <c r="NEL1" s="182"/>
      <c r="NEM1" s="182"/>
      <c r="NEN1" s="182"/>
      <c r="NEO1" s="182"/>
      <c r="NEP1" s="182"/>
      <c r="NEQ1" s="182"/>
      <c r="NER1" s="182"/>
      <c r="NES1" s="182"/>
      <c r="NET1" s="182"/>
      <c r="NEU1" s="182"/>
      <c r="NEV1" s="182"/>
      <c r="NEW1" s="182"/>
      <c r="NEX1" s="182"/>
      <c r="NEY1" s="182"/>
      <c r="NEZ1" s="182"/>
      <c r="NFA1" s="182"/>
      <c r="NFB1" s="182"/>
      <c r="NFC1" s="182"/>
      <c r="NFD1" s="182"/>
      <c r="NFE1" s="182"/>
      <c r="NFF1" s="182"/>
      <c r="NFG1" s="182"/>
      <c r="NFH1" s="182"/>
      <c r="NFI1" s="182"/>
      <c r="NFJ1" s="182"/>
      <c r="NFK1" s="182"/>
      <c r="NFL1" s="182"/>
      <c r="NFM1" s="182"/>
      <c r="NFN1" s="182"/>
      <c r="NFO1" s="182"/>
      <c r="NFP1" s="182"/>
      <c r="NFQ1" s="182"/>
      <c r="NFR1" s="182"/>
      <c r="NFS1" s="182"/>
      <c r="NFT1" s="182"/>
      <c r="NFU1" s="182"/>
      <c r="NFV1" s="182"/>
      <c r="NFW1" s="182"/>
      <c r="NFX1" s="182"/>
      <c r="NFY1" s="182"/>
      <c r="NFZ1" s="182"/>
      <c r="NGA1" s="182"/>
      <c r="NGB1" s="182"/>
      <c r="NGC1" s="182"/>
      <c r="NGD1" s="182"/>
      <c r="NGE1" s="182"/>
      <c r="NGF1" s="182"/>
      <c r="NGG1" s="182"/>
      <c r="NGH1" s="182"/>
      <c r="NGI1" s="182"/>
      <c r="NGJ1" s="182"/>
      <c r="NGK1" s="182"/>
      <c r="NGL1" s="182"/>
      <c r="NGM1" s="182"/>
      <c r="NGN1" s="182"/>
      <c r="NGO1" s="182"/>
      <c r="NGP1" s="182"/>
      <c r="NGQ1" s="182"/>
      <c r="NGR1" s="182"/>
      <c r="NGS1" s="182"/>
      <c r="NGT1" s="182"/>
      <c r="NGU1" s="182"/>
      <c r="NGV1" s="182"/>
      <c r="NGW1" s="182"/>
      <c r="NGX1" s="182"/>
      <c r="NGY1" s="182"/>
      <c r="NGZ1" s="182"/>
      <c r="NHA1" s="182"/>
      <c r="NHB1" s="182"/>
      <c r="NHC1" s="182"/>
      <c r="NHD1" s="182"/>
      <c r="NHE1" s="182"/>
      <c r="NHF1" s="182"/>
      <c r="NHG1" s="182"/>
      <c r="NHH1" s="182"/>
      <c r="NHI1" s="182"/>
      <c r="NHJ1" s="182"/>
      <c r="NHK1" s="182"/>
      <c r="NHL1" s="182"/>
      <c r="NHM1" s="182"/>
      <c r="NHN1" s="182"/>
      <c r="NHO1" s="182"/>
      <c r="NHP1" s="182"/>
      <c r="NHQ1" s="182"/>
      <c r="NHR1" s="182"/>
      <c r="NHS1" s="182"/>
      <c r="NHT1" s="182"/>
      <c r="NHU1" s="182"/>
      <c r="NHV1" s="182"/>
      <c r="NHW1" s="182"/>
      <c r="NHX1" s="182"/>
      <c r="NHY1" s="182"/>
      <c r="NHZ1" s="182"/>
      <c r="NIA1" s="182"/>
      <c r="NIB1" s="182"/>
      <c r="NIC1" s="182"/>
      <c r="NID1" s="182"/>
      <c r="NIE1" s="182"/>
      <c r="NIF1" s="182"/>
      <c r="NIG1" s="182"/>
      <c r="NIH1" s="182"/>
      <c r="NII1" s="182"/>
      <c r="NIJ1" s="182"/>
      <c r="NIK1" s="182"/>
      <c r="NIL1" s="182"/>
      <c r="NIM1" s="182"/>
      <c r="NIN1" s="182"/>
      <c r="NIO1" s="182"/>
      <c r="NIP1" s="182"/>
      <c r="NIQ1" s="182"/>
      <c r="NIR1" s="182"/>
      <c r="NIS1" s="182"/>
      <c r="NIT1" s="182"/>
      <c r="NIU1" s="182"/>
      <c r="NIV1" s="182"/>
      <c r="NIW1" s="182"/>
      <c r="NIX1" s="182"/>
      <c r="NIY1" s="182"/>
      <c r="NIZ1" s="182"/>
      <c r="NJA1" s="182"/>
      <c r="NJB1" s="182"/>
      <c r="NJC1" s="182"/>
      <c r="NJD1" s="182"/>
      <c r="NJE1" s="182"/>
      <c r="NJF1" s="182"/>
      <c r="NJG1" s="182"/>
      <c r="NJH1" s="182"/>
      <c r="NJI1" s="182"/>
      <c r="NJJ1" s="182"/>
      <c r="NJK1" s="182"/>
      <c r="NJL1" s="182"/>
      <c r="NJM1" s="182"/>
      <c r="NJN1" s="182"/>
      <c r="NJO1" s="182"/>
      <c r="NJP1" s="182"/>
      <c r="NJQ1" s="182"/>
      <c r="NJR1" s="182"/>
      <c r="NJS1" s="182"/>
      <c r="NJT1" s="182"/>
      <c r="NJU1" s="182"/>
      <c r="NJV1" s="182"/>
      <c r="NJW1" s="182"/>
      <c r="NJX1" s="182"/>
      <c r="NJY1" s="182"/>
      <c r="NJZ1" s="182"/>
      <c r="NKA1" s="182"/>
      <c r="NKB1" s="182"/>
      <c r="NKC1" s="182"/>
      <c r="NKD1" s="182"/>
      <c r="NKE1" s="182"/>
      <c r="NKF1" s="182"/>
      <c r="NKG1" s="182"/>
      <c r="NKH1" s="182"/>
      <c r="NKI1" s="182"/>
      <c r="NKJ1" s="182"/>
      <c r="NKK1" s="182"/>
      <c r="NKL1" s="182"/>
      <c r="NKM1" s="182"/>
      <c r="NKN1" s="182"/>
      <c r="NKO1" s="182"/>
      <c r="NKP1" s="182"/>
      <c r="NKQ1" s="182"/>
      <c r="NKR1" s="182"/>
      <c r="NKS1" s="182"/>
      <c r="NKT1" s="182"/>
      <c r="NKU1" s="182"/>
      <c r="NKV1" s="182"/>
      <c r="NKW1" s="182"/>
      <c r="NKX1" s="182"/>
      <c r="NKY1" s="182"/>
      <c r="NKZ1" s="182"/>
      <c r="NLA1" s="182"/>
      <c r="NLB1" s="182"/>
      <c r="NLC1" s="182"/>
      <c r="NLD1" s="182"/>
      <c r="NLE1" s="182"/>
      <c r="NLF1" s="182"/>
      <c r="NLG1" s="182"/>
      <c r="NLH1" s="182"/>
      <c r="NLI1" s="182"/>
      <c r="NLJ1" s="182"/>
      <c r="NLK1" s="182"/>
      <c r="NLL1" s="182"/>
      <c r="NLM1" s="182"/>
      <c r="NLN1" s="182"/>
      <c r="NLO1" s="182"/>
      <c r="NLP1" s="182"/>
      <c r="NLQ1" s="182"/>
      <c r="NLR1" s="182"/>
      <c r="NLS1" s="182"/>
      <c r="NLT1" s="182"/>
      <c r="NLU1" s="182"/>
      <c r="NLV1" s="182"/>
      <c r="NLW1" s="182"/>
      <c r="NLX1" s="182"/>
      <c r="NLY1" s="182"/>
      <c r="NLZ1" s="182"/>
      <c r="NMA1" s="182"/>
      <c r="NMB1" s="182"/>
      <c r="NMC1" s="182"/>
      <c r="NMD1" s="182"/>
      <c r="NME1" s="182"/>
      <c r="NMF1" s="182"/>
      <c r="NMG1" s="182"/>
      <c r="NMH1" s="182"/>
      <c r="NMI1" s="182"/>
      <c r="NMJ1" s="182"/>
      <c r="NMK1" s="182"/>
      <c r="NML1" s="182"/>
      <c r="NMM1" s="182"/>
      <c r="NMN1" s="182"/>
      <c r="NMO1" s="182"/>
      <c r="NMP1" s="182"/>
      <c r="NMQ1" s="182"/>
      <c r="NMR1" s="182"/>
      <c r="NMS1" s="182"/>
      <c r="NMT1" s="182"/>
      <c r="NMU1" s="182"/>
      <c r="NMV1" s="182"/>
      <c r="NMW1" s="182"/>
      <c r="NMX1" s="182"/>
      <c r="NMY1" s="182"/>
      <c r="NMZ1" s="182"/>
      <c r="NNA1" s="182"/>
      <c r="NNB1" s="182"/>
      <c r="NNC1" s="182"/>
      <c r="NND1" s="182"/>
      <c r="NNE1" s="182"/>
      <c r="NNF1" s="182"/>
      <c r="NNG1" s="182"/>
      <c r="NNH1" s="182"/>
      <c r="NNI1" s="182"/>
      <c r="NNJ1" s="182"/>
      <c r="NNK1" s="182"/>
      <c r="NNL1" s="182"/>
      <c r="NNM1" s="182"/>
      <c r="NNN1" s="182"/>
      <c r="NNO1" s="182"/>
      <c r="NNP1" s="182"/>
      <c r="NNQ1" s="182"/>
      <c r="NNR1" s="182"/>
      <c r="NNS1" s="182"/>
      <c r="NNT1" s="182"/>
      <c r="NNU1" s="182"/>
      <c r="NNV1" s="182"/>
      <c r="NNW1" s="182"/>
      <c r="NNX1" s="182"/>
      <c r="NNY1" s="182"/>
      <c r="NNZ1" s="182"/>
      <c r="NOA1" s="182"/>
      <c r="NOB1" s="182"/>
      <c r="NOC1" s="182"/>
      <c r="NOD1" s="182"/>
      <c r="NOE1" s="182"/>
      <c r="NOF1" s="182"/>
      <c r="NOG1" s="182"/>
      <c r="NOH1" s="182"/>
      <c r="NOI1" s="182"/>
      <c r="NOJ1" s="182"/>
      <c r="NOK1" s="182"/>
      <c r="NOL1" s="182"/>
      <c r="NOM1" s="182"/>
      <c r="NON1" s="182"/>
      <c r="NOO1" s="182"/>
      <c r="NOP1" s="182"/>
      <c r="NOQ1" s="182"/>
      <c r="NOR1" s="182"/>
      <c r="NOS1" s="182"/>
      <c r="NOT1" s="182"/>
      <c r="NOU1" s="182"/>
      <c r="NOV1" s="182"/>
      <c r="NOW1" s="182"/>
      <c r="NOX1" s="182"/>
      <c r="NOY1" s="182"/>
      <c r="NOZ1" s="182"/>
      <c r="NPA1" s="182"/>
      <c r="NPB1" s="182"/>
      <c r="NPC1" s="182"/>
      <c r="NPD1" s="182"/>
      <c r="NPE1" s="182"/>
      <c r="NPF1" s="182"/>
      <c r="NPG1" s="182"/>
      <c r="NPH1" s="182"/>
      <c r="NPI1" s="182"/>
      <c r="NPJ1" s="182"/>
      <c r="NPK1" s="182"/>
      <c r="NPL1" s="182"/>
      <c r="NPM1" s="182"/>
      <c r="NPN1" s="182"/>
      <c r="NPO1" s="182"/>
      <c r="NPP1" s="182"/>
      <c r="NPQ1" s="182"/>
      <c r="NPR1" s="182"/>
      <c r="NPS1" s="182"/>
      <c r="NPT1" s="182"/>
      <c r="NPU1" s="182"/>
      <c r="NPV1" s="182"/>
      <c r="NPW1" s="182"/>
      <c r="NPX1" s="182"/>
      <c r="NPY1" s="182"/>
      <c r="NPZ1" s="182"/>
      <c r="NQA1" s="182"/>
      <c r="NQB1" s="182"/>
      <c r="NQC1" s="182"/>
      <c r="NQD1" s="182"/>
      <c r="NQE1" s="182"/>
      <c r="NQF1" s="182"/>
      <c r="NQG1" s="182"/>
      <c r="NQH1" s="182"/>
      <c r="NQI1" s="182"/>
      <c r="NQJ1" s="182"/>
      <c r="NQK1" s="182"/>
      <c r="NQL1" s="182"/>
      <c r="NQM1" s="182"/>
      <c r="NQN1" s="182"/>
      <c r="NQO1" s="182"/>
      <c r="NQP1" s="182"/>
      <c r="NQQ1" s="182"/>
      <c r="NQR1" s="182"/>
      <c r="NQS1" s="182"/>
      <c r="NQT1" s="182"/>
      <c r="NQU1" s="182"/>
      <c r="NQV1" s="182"/>
      <c r="NQW1" s="182"/>
      <c r="NQX1" s="182"/>
      <c r="NQY1" s="182"/>
      <c r="NQZ1" s="182"/>
      <c r="NRA1" s="182"/>
      <c r="NRB1" s="182"/>
      <c r="NRC1" s="182"/>
      <c r="NRD1" s="182"/>
      <c r="NRE1" s="182"/>
      <c r="NRF1" s="182"/>
      <c r="NRG1" s="182"/>
      <c r="NRH1" s="182"/>
      <c r="NRI1" s="182"/>
      <c r="NRJ1" s="182"/>
      <c r="NRK1" s="182"/>
      <c r="NRL1" s="182"/>
      <c r="NRM1" s="182"/>
      <c r="NRN1" s="182"/>
      <c r="NRO1" s="182"/>
      <c r="NRP1" s="182"/>
      <c r="NRQ1" s="182"/>
      <c r="NRR1" s="182"/>
      <c r="NRS1" s="182"/>
      <c r="NRT1" s="182"/>
      <c r="NRU1" s="182"/>
      <c r="NRV1" s="182"/>
      <c r="NRW1" s="182"/>
      <c r="NRX1" s="182"/>
      <c r="NRY1" s="182"/>
      <c r="NRZ1" s="182"/>
      <c r="NSA1" s="182"/>
      <c r="NSB1" s="182"/>
      <c r="NSC1" s="182"/>
      <c r="NSD1" s="182"/>
      <c r="NSE1" s="182"/>
      <c r="NSF1" s="182"/>
      <c r="NSG1" s="182"/>
      <c r="NSH1" s="182"/>
      <c r="NSI1" s="182"/>
      <c r="NSJ1" s="182"/>
      <c r="NSK1" s="182"/>
      <c r="NSL1" s="182"/>
      <c r="NSM1" s="182"/>
      <c r="NSN1" s="182"/>
      <c r="NSO1" s="182"/>
      <c r="NSP1" s="182"/>
      <c r="NSQ1" s="182"/>
      <c r="NSR1" s="182"/>
      <c r="NSS1" s="182"/>
      <c r="NST1" s="182"/>
      <c r="NSU1" s="182"/>
      <c r="NSV1" s="182"/>
      <c r="NSW1" s="182"/>
      <c r="NSX1" s="182"/>
      <c r="NSY1" s="182"/>
      <c r="NSZ1" s="182"/>
      <c r="NTA1" s="182"/>
      <c r="NTB1" s="182"/>
      <c r="NTC1" s="182"/>
      <c r="NTD1" s="182"/>
      <c r="NTE1" s="182"/>
      <c r="NTF1" s="182"/>
      <c r="NTG1" s="182"/>
      <c r="NTH1" s="182"/>
      <c r="NTI1" s="182"/>
      <c r="NTJ1" s="182"/>
      <c r="NTK1" s="182"/>
      <c r="NTL1" s="182"/>
      <c r="NTM1" s="182"/>
      <c r="NTN1" s="182"/>
      <c r="NTO1" s="182"/>
      <c r="NTP1" s="182"/>
      <c r="NTQ1" s="182"/>
      <c r="NTR1" s="182"/>
      <c r="NTS1" s="182"/>
      <c r="NTT1" s="182"/>
      <c r="NTU1" s="182"/>
      <c r="NTV1" s="182"/>
      <c r="NTW1" s="182"/>
      <c r="NTX1" s="182"/>
      <c r="NTY1" s="182"/>
      <c r="NTZ1" s="182"/>
      <c r="NUA1" s="182"/>
      <c r="NUB1" s="182"/>
      <c r="NUC1" s="182"/>
      <c r="NUD1" s="182"/>
      <c r="NUE1" s="182"/>
      <c r="NUF1" s="182"/>
      <c r="NUG1" s="182"/>
      <c r="NUH1" s="182"/>
      <c r="NUI1" s="182"/>
      <c r="NUJ1" s="182"/>
      <c r="NUK1" s="182"/>
      <c r="NUL1" s="182"/>
      <c r="NUM1" s="182"/>
      <c r="NUN1" s="182"/>
      <c r="NUO1" s="182"/>
      <c r="NUP1" s="182"/>
      <c r="NUQ1" s="182"/>
      <c r="NUR1" s="182"/>
      <c r="NUS1" s="182"/>
      <c r="NUT1" s="182"/>
      <c r="NUU1" s="182"/>
      <c r="NUV1" s="182"/>
      <c r="NUW1" s="182"/>
      <c r="NUX1" s="182"/>
      <c r="NUY1" s="182"/>
      <c r="NUZ1" s="182"/>
      <c r="NVA1" s="182"/>
      <c r="NVB1" s="182"/>
      <c r="NVC1" s="182"/>
      <c r="NVD1" s="182"/>
      <c r="NVE1" s="182"/>
      <c r="NVF1" s="182"/>
      <c r="NVG1" s="182"/>
      <c r="NVH1" s="182"/>
      <c r="NVI1" s="182"/>
      <c r="NVJ1" s="182"/>
      <c r="NVK1" s="182"/>
      <c r="NVL1" s="182"/>
      <c r="NVM1" s="182"/>
      <c r="NVN1" s="182"/>
      <c r="NVO1" s="182"/>
      <c r="NVP1" s="182"/>
      <c r="NVQ1" s="182"/>
      <c r="NVR1" s="182"/>
      <c r="NVS1" s="182"/>
      <c r="NVT1" s="182"/>
      <c r="NVU1" s="182"/>
      <c r="NVV1" s="182"/>
      <c r="NVW1" s="182"/>
      <c r="NVX1" s="182"/>
      <c r="NVY1" s="182"/>
      <c r="NVZ1" s="182"/>
      <c r="NWA1" s="182"/>
      <c r="NWB1" s="182"/>
      <c r="NWC1" s="182"/>
      <c r="NWD1" s="182"/>
      <c r="NWE1" s="182"/>
      <c r="NWF1" s="182"/>
      <c r="NWG1" s="182"/>
      <c r="NWH1" s="182"/>
      <c r="NWI1" s="182"/>
      <c r="NWJ1" s="182"/>
      <c r="NWK1" s="182"/>
      <c r="NWL1" s="182"/>
      <c r="NWM1" s="182"/>
      <c r="NWN1" s="182"/>
      <c r="NWO1" s="182"/>
      <c r="NWP1" s="182"/>
      <c r="NWQ1" s="182"/>
      <c r="NWR1" s="182"/>
      <c r="NWS1" s="182"/>
      <c r="NWT1" s="182"/>
      <c r="NWU1" s="182"/>
      <c r="NWV1" s="182"/>
      <c r="NWW1" s="182"/>
      <c r="NWX1" s="182"/>
      <c r="NWY1" s="182"/>
      <c r="NWZ1" s="182"/>
      <c r="NXA1" s="182"/>
      <c r="NXB1" s="182"/>
      <c r="NXC1" s="182"/>
      <c r="NXD1" s="182"/>
      <c r="NXE1" s="182"/>
      <c r="NXF1" s="182"/>
      <c r="NXG1" s="182"/>
      <c r="NXH1" s="182"/>
      <c r="NXI1" s="182"/>
      <c r="NXJ1" s="182"/>
      <c r="NXK1" s="182"/>
      <c r="NXL1" s="182"/>
      <c r="NXM1" s="182"/>
      <c r="NXN1" s="182"/>
      <c r="NXO1" s="182"/>
      <c r="NXP1" s="182"/>
      <c r="NXQ1" s="182"/>
      <c r="NXR1" s="182"/>
      <c r="NXS1" s="182"/>
      <c r="NXT1" s="182"/>
      <c r="NXU1" s="182"/>
      <c r="NXV1" s="182"/>
      <c r="NXW1" s="182"/>
      <c r="NXX1" s="182"/>
      <c r="NXY1" s="182"/>
      <c r="NXZ1" s="182"/>
      <c r="NYA1" s="182"/>
      <c r="NYB1" s="182"/>
      <c r="NYC1" s="182"/>
      <c r="NYD1" s="182"/>
      <c r="NYE1" s="182"/>
      <c r="NYF1" s="182"/>
      <c r="NYG1" s="182"/>
      <c r="NYH1" s="182"/>
      <c r="NYI1" s="182"/>
      <c r="NYJ1" s="182"/>
      <c r="NYK1" s="182"/>
      <c r="NYL1" s="182"/>
      <c r="NYM1" s="182"/>
      <c r="NYN1" s="182"/>
      <c r="NYO1" s="182"/>
      <c r="NYP1" s="182"/>
      <c r="NYQ1" s="182"/>
      <c r="NYR1" s="182"/>
      <c r="NYS1" s="182"/>
      <c r="NYT1" s="182"/>
      <c r="NYU1" s="182"/>
      <c r="NYV1" s="182"/>
      <c r="NYW1" s="182"/>
      <c r="NYX1" s="182"/>
      <c r="NYY1" s="182"/>
      <c r="NYZ1" s="182"/>
      <c r="NZA1" s="182"/>
      <c r="NZB1" s="182"/>
      <c r="NZC1" s="182"/>
      <c r="NZD1" s="182"/>
      <c r="NZE1" s="182"/>
      <c r="NZF1" s="182"/>
      <c r="NZG1" s="182"/>
      <c r="NZH1" s="182"/>
      <c r="NZI1" s="182"/>
      <c r="NZJ1" s="182"/>
      <c r="NZK1" s="182"/>
      <c r="NZL1" s="182"/>
      <c r="NZM1" s="182"/>
      <c r="NZN1" s="182"/>
      <c r="NZO1" s="182"/>
      <c r="NZP1" s="182"/>
      <c r="NZQ1" s="182"/>
      <c r="NZR1" s="182"/>
      <c r="NZS1" s="182"/>
      <c r="NZT1" s="182"/>
      <c r="NZU1" s="182"/>
      <c r="NZV1" s="182"/>
      <c r="NZW1" s="182"/>
      <c r="NZX1" s="182"/>
      <c r="NZY1" s="182"/>
      <c r="NZZ1" s="182"/>
      <c r="OAA1" s="182"/>
      <c r="OAB1" s="182"/>
      <c r="OAC1" s="182"/>
      <c r="OAD1" s="182"/>
      <c r="OAE1" s="182"/>
      <c r="OAF1" s="182"/>
      <c r="OAG1" s="182"/>
      <c r="OAH1" s="182"/>
      <c r="OAI1" s="182"/>
      <c r="OAJ1" s="182"/>
      <c r="OAK1" s="182"/>
      <c r="OAL1" s="182"/>
      <c r="OAM1" s="182"/>
      <c r="OAN1" s="182"/>
      <c r="OAO1" s="182"/>
      <c r="OAP1" s="182"/>
      <c r="OAQ1" s="182"/>
      <c r="OAR1" s="182"/>
      <c r="OAS1" s="182"/>
      <c r="OAT1" s="182"/>
      <c r="OAU1" s="182"/>
      <c r="OAV1" s="182"/>
      <c r="OAW1" s="182"/>
      <c r="OAX1" s="182"/>
      <c r="OAY1" s="182"/>
      <c r="OAZ1" s="182"/>
      <c r="OBA1" s="182"/>
      <c r="OBB1" s="182"/>
      <c r="OBC1" s="182"/>
      <c r="OBD1" s="182"/>
      <c r="OBE1" s="182"/>
      <c r="OBF1" s="182"/>
      <c r="OBG1" s="182"/>
      <c r="OBH1" s="182"/>
      <c r="OBI1" s="182"/>
      <c r="OBJ1" s="182"/>
      <c r="OBK1" s="182"/>
      <c r="OBL1" s="182"/>
      <c r="OBM1" s="182"/>
      <c r="OBN1" s="182"/>
      <c r="OBO1" s="182"/>
      <c r="OBP1" s="182"/>
      <c r="OBQ1" s="182"/>
      <c r="OBR1" s="182"/>
      <c r="OBS1" s="182"/>
      <c r="OBT1" s="182"/>
      <c r="OBU1" s="182"/>
      <c r="OBV1" s="182"/>
      <c r="OBW1" s="182"/>
      <c r="OBX1" s="182"/>
      <c r="OBY1" s="182"/>
      <c r="OBZ1" s="182"/>
      <c r="OCA1" s="182"/>
      <c r="OCB1" s="182"/>
      <c r="OCC1" s="182"/>
      <c r="OCD1" s="182"/>
      <c r="OCE1" s="182"/>
      <c r="OCF1" s="182"/>
      <c r="OCG1" s="182"/>
      <c r="OCH1" s="182"/>
      <c r="OCI1" s="182"/>
      <c r="OCJ1" s="182"/>
      <c r="OCK1" s="182"/>
      <c r="OCL1" s="182"/>
      <c r="OCM1" s="182"/>
      <c r="OCN1" s="182"/>
      <c r="OCO1" s="182"/>
      <c r="OCP1" s="182"/>
      <c r="OCQ1" s="182"/>
      <c r="OCR1" s="182"/>
      <c r="OCS1" s="182"/>
      <c r="OCT1" s="182"/>
      <c r="OCU1" s="182"/>
      <c r="OCV1" s="182"/>
      <c r="OCW1" s="182"/>
      <c r="OCX1" s="182"/>
      <c r="OCY1" s="182"/>
      <c r="OCZ1" s="182"/>
      <c r="ODA1" s="182"/>
      <c r="ODB1" s="182"/>
      <c r="ODC1" s="182"/>
      <c r="ODD1" s="182"/>
      <c r="ODE1" s="182"/>
      <c r="ODF1" s="182"/>
      <c r="ODG1" s="182"/>
      <c r="ODH1" s="182"/>
      <c r="ODI1" s="182"/>
      <c r="ODJ1" s="182"/>
      <c r="ODK1" s="182"/>
      <c r="ODL1" s="182"/>
      <c r="ODM1" s="182"/>
      <c r="ODN1" s="182"/>
      <c r="ODO1" s="182"/>
      <c r="ODP1" s="182"/>
      <c r="ODQ1" s="182"/>
      <c r="ODR1" s="182"/>
      <c r="ODS1" s="182"/>
      <c r="ODT1" s="182"/>
      <c r="ODU1" s="182"/>
      <c r="ODV1" s="182"/>
      <c r="ODW1" s="182"/>
      <c r="ODX1" s="182"/>
      <c r="ODY1" s="182"/>
      <c r="ODZ1" s="182"/>
      <c r="OEA1" s="182"/>
      <c r="OEB1" s="182"/>
      <c r="OEC1" s="182"/>
      <c r="OED1" s="182"/>
      <c r="OEE1" s="182"/>
      <c r="OEF1" s="182"/>
      <c r="OEG1" s="182"/>
      <c r="OEH1" s="182"/>
      <c r="OEI1" s="182"/>
      <c r="OEJ1" s="182"/>
      <c r="OEK1" s="182"/>
      <c r="OEL1" s="182"/>
      <c r="OEM1" s="182"/>
      <c r="OEN1" s="182"/>
      <c r="OEO1" s="182"/>
      <c r="OEP1" s="182"/>
      <c r="OEQ1" s="182"/>
      <c r="OER1" s="182"/>
      <c r="OES1" s="182"/>
      <c r="OET1" s="182"/>
      <c r="OEU1" s="182"/>
      <c r="OEV1" s="182"/>
      <c r="OEW1" s="182"/>
      <c r="OEX1" s="182"/>
      <c r="OEY1" s="182"/>
      <c r="OEZ1" s="182"/>
      <c r="OFA1" s="182"/>
      <c r="OFB1" s="182"/>
      <c r="OFC1" s="182"/>
      <c r="OFD1" s="182"/>
      <c r="OFE1" s="182"/>
      <c r="OFF1" s="182"/>
      <c r="OFG1" s="182"/>
      <c r="OFH1" s="182"/>
      <c r="OFI1" s="182"/>
      <c r="OFJ1" s="182"/>
      <c r="OFK1" s="182"/>
      <c r="OFL1" s="182"/>
      <c r="OFM1" s="182"/>
      <c r="OFN1" s="182"/>
      <c r="OFO1" s="182"/>
      <c r="OFP1" s="182"/>
      <c r="OFQ1" s="182"/>
      <c r="OFR1" s="182"/>
      <c r="OFS1" s="182"/>
      <c r="OFT1" s="182"/>
      <c r="OFU1" s="182"/>
      <c r="OFV1" s="182"/>
      <c r="OFW1" s="182"/>
      <c r="OFX1" s="182"/>
      <c r="OFY1" s="182"/>
      <c r="OFZ1" s="182"/>
      <c r="OGA1" s="182"/>
      <c r="OGB1" s="182"/>
      <c r="OGC1" s="182"/>
      <c r="OGD1" s="182"/>
      <c r="OGE1" s="182"/>
      <c r="OGF1" s="182"/>
      <c r="OGG1" s="182"/>
      <c r="OGH1" s="182"/>
      <c r="OGI1" s="182"/>
      <c r="OGJ1" s="182"/>
      <c r="OGK1" s="182"/>
      <c r="OGL1" s="182"/>
      <c r="OGM1" s="182"/>
      <c r="OGN1" s="182"/>
      <c r="OGO1" s="182"/>
      <c r="OGP1" s="182"/>
      <c r="OGQ1" s="182"/>
      <c r="OGR1" s="182"/>
      <c r="OGS1" s="182"/>
      <c r="OGT1" s="182"/>
      <c r="OGU1" s="182"/>
      <c r="OGV1" s="182"/>
      <c r="OGW1" s="182"/>
      <c r="OGX1" s="182"/>
      <c r="OGY1" s="182"/>
      <c r="OGZ1" s="182"/>
      <c r="OHA1" s="182"/>
      <c r="OHB1" s="182"/>
      <c r="OHC1" s="182"/>
      <c r="OHD1" s="182"/>
      <c r="OHE1" s="182"/>
      <c r="OHF1" s="182"/>
      <c r="OHG1" s="182"/>
      <c r="OHH1" s="182"/>
      <c r="OHI1" s="182"/>
      <c r="OHJ1" s="182"/>
      <c r="OHK1" s="182"/>
      <c r="OHL1" s="182"/>
      <c r="OHM1" s="182"/>
      <c r="OHN1" s="182"/>
      <c r="OHO1" s="182"/>
      <c r="OHP1" s="182"/>
      <c r="OHQ1" s="182"/>
      <c r="OHR1" s="182"/>
      <c r="OHS1" s="182"/>
      <c r="OHT1" s="182"/>
      <c r="OHU1" s="182"/>
      <c r="OHV1" s="182"/>
      <c r="OHW1" s="182"/>
      <c r="OHX1" s="182"/>
      <c r="OHY1" s="182"/>
      <c r="OHZ1" s="182"/>
      <c r="OIA1" s="182"/>
      <c r="OIB1" s="182"/>
      <c r="OIC1" s="182"/>
      <c r="OID1" s="182"/>
      <c r="OIE1" s="182"/>
      <c r="OIF1" s="182"/>
      <c r="OIG1" s="182"/>
      <c r="OIH1" s="182"/>
      <c r="OII1" s="182"/>
      <c r="OIJ1" s="182"/>
      <c r="OIK1" s="182"/>
      <c r="OIL1" s="182"/>
      <c r="OIM1" s="182"/>
      <c r="OIN1" s="182"/>
      <c r="OIO1" s="182"/>
      <c r="OIP1" s="182"/>
      <c r="OIQ1" s="182"/>
      <c r="OIR1" s="182"/>
      <c r="OIS1" s="182"/>
      <c r="OIT1" s="182"/>
      <c r="OIU1" s="182"/>
      <c r="OIV1" s="182"/>
      <c r="OIW1" s="182"/>
      <c r="OIX1" s="182"/>
      <c r="OIY1" s="182"/>
      <c r="OIZ1" s="182"/>
      <c r="OJA1" s="182"/>
      <c r="OJB1" s="182"/>
      <c r="OJC1" s="182"/>
      <c r="OJD1" s="182"/>
      <c r="OJE1" s="182"/>
      <c r="OJF1" s="182"/>
      <c r="OJG1" s="182"/>
      <c r="OJH1" s="182"/>
      <c r="OJI1" s="182"/>
      <c r="OJJ1" s="182"/>
      <c r="OJK1" s="182"/>
      <c r="OJL1" s="182"/>
      <c r="OJM1" s="182"/>
      <c r="OJN1" s="182"/>
      <c r="OJO1" s="182"/>
      <c r="OJP1" s="182"/>
      <c r="OJQ1" s="182"/>
      <c r="OJR1" s="182"/>
      <c r="OJS1" s="182"/>
      <c r="OJT1" s="182"/>
      <c r="OJU1" s="182"/>
      <c r="OJV1" s="182"/>
      <c r="OJW1" s="182"/>
      <c r="OJX1" s="182"/>
      <c r="OJY1" s="182"/>
      <c r="OJZ1" s="182"/>
      <c r="OKA1" s="182"/>
      <c r="OKB1" s="182"/>
      <c r="OKC1" s="182"/>
      <c r="OKD1" s="182"/>
      <c r="OKE1" s="182"/>
      <c r="OKF1" s="182"/>
      <c r="OKG1" s="182"/>
      <c r="OKH1" s="182"/>
      <c r="OKI1" s="182"/>
      <c r="OKJ1" s="182"/>
      <c r="OKK1" s="182"/>
      <c r="OKL1" s="182"/>
      <c r="OKM1" s="182"/>
      <c r="OKN1" s="182"/>
      <c r="OKO1" s="182"/>
      <c r="OKP1" s="182"/>
      <c r="OKQ1" s="182"/>
      <c r="OKR1" s="182"/>
      <c r="OKS1" s="182"/>
      <c r="OKT1" s="182"/>
      <c r="OKU1" s="182"/>
      <c r="OKV1" s="182"/>
      <c r="OKW1" s="182"/>
      <c r="OKX1" s="182"/>
      <c r="OKY1" s="182"/>
      <c r="OKZ1" s="182"/>
      <c r="OLA1" s="182"/>
      <c r="OLB1" s="182"/>
      <c r="OLC1" s="182"/>
      <c r="OLD1" s="182"/>
      <c r="OLE1" s="182"/>
      <c r="OLF1" s="182"/>
      <c r="OLG1" s="182"/>
      <c r="OLH1" s="182"/>
      <c r="OLI1" s="182"/>
      <c r="OLJ1" s="182"/>
      <c r="OLK1" s="182"/>
      <c r="OLL1" s="182"/>
      <c r="OLM1" s="182"/>
      <c r="OLN1" s="182"/>
      <c r="OLO1" s="182"/>
      <c r="OLP1" s="182"/>
      <c r="OLQ1" s="182"/>
      <c r="OLR1" s="182"/>
      <c r="OLS1" s="182"/>
      <c r="OLT1" s="182"/>
      <c r="OLU1" s="182"/>
      <c r="OLV1" s="182"/>
      <c r="OLW1" s="182"/>
      <c r="OLX1" s="182"/>
      <c r="OLY1" s="182"/>
      <c r="OLZ1" s="182"/>
      <c r="OMA1" s="182"/>
      <c r="OMB1" s="182"/>
      <c r="OMC1" s="182"/>
      <c r="OMD1" s="182"/>
      <c r="OME1" s="182"/>
      <c r="OMF1" s="182"/>
      <c r="OMG1" s="182"/>
      <c r="OMH1" s="182"/>
      <c r="OMI1" s="182"/>
      <c r="OMJ1" s="182"/>
      <c r="OMK1" s="182"/>
      <c r="OML1" s="182"/>
      <c r="OMM1" s="182"/>
      <c r="OMN1" s="182"/>
      <c r="OMO1" s="182"/>
      <c r="OMP1" s="182"/>
      <c r="OMQ1" s="182"/>
      <c r="OMR1" s="182"/>
      <c r="OMS1" s="182"/>
      <c r="OMT1" s="182"/>
      <c r="OMU1" s="182"/>
      <c r="OMV1" s="182"/>
      <c r="OMW1" s="182"/>
      <c r="OMX1" s="182"/>
      <c r="OMY1" s="182"/>
      <c r="OMZ1" s="182"/>
      <c r="ONA1" s="182"/>
      <c r="ONB1" s="182"/>
      <c r="ONC1" s="182"/>
      <c r="OND1" s="182"/>
      <c r="ONE1" s="182"/>
      <c r="ONF1" s="182"/>
      <c r="ONG1" s="182"/>
      <c r="ONH1" s="182"/>
      <c r="ONI1" s="182"/>
      <c r="ONJ1" s="182"/>
      <c r="ONK1" s="182"/>
      <c r="ONL1" s="182"/>
      <c r="ONM1" s="182"/>
      <c r="ONN1" s="182"/>
      <c r="ONO1" s="182"/>
      <c r="ONP1" s="182"/>
      <c r="ONQ1" s="182"/>
      <c r="ONR1" s="182"/>
      <c r="ONS1" s="182"/>
      <c r="ONT1" s="182"/>
      <c r="ONU1" s="182"/>
      <c r="ONV1" s="182"/>
      <c r="ONW1" s="182"/>
      <c r="ONX1" s="182"/>
      <c r="ONY1" s="182"/>
      <c r="ONZ1" s="182"/>
      <c r="OOA1" s="182"/>
      <c r="OOB1" s="182"/>
      <c r="OOC1" s="182"/>
      <c r="OOD1" s="182"/>
      <c r="OOE1" s="182"/>
      <c r="OOF1" s="182"/>
      <c r="OOG1" s="182"/>
      <c r="OOH1" s="182"/>
      <c r="OOI1" s="182"/>
      <c r="OOJ1" s="182"/>
      <c r="OOK1" s="182"/>
      <c r="OOL1" s="182"/>
      <c r="OOM1" s="182"/>
      <c r="OON1" s="182"/>
      <c r="OOO1" s="182"/>
      <c r="OOP1" s="182"/>
      <c r="OOQ1" s="182"/>
      <c r="OOR1" s="182"/>
      <c r="OOS1" s="182"/>
      <c r="OOT1" s="182"/>
      <c r="OOU1" s="182"/>
      <c r="OOV1" s="182"/>
      <c r="OOW1" s="182"/>
      <c r="OOX1" s="182"/>
      <c r="OOY1" s="182"/>
      <c r="OOZ1" s="182"/>
      <c r="OPA1" s="182"/>
      <c r="OPB1" s="182"/>
      <c r="OPC1" s="182"/>
      <c r="OPD1" s="182"/>
      <c r="OPE1" s="182"/>
      <c r="OPF1" s="182"/>
      <c r="OPG1" s="182"/>
      <c r="OPH1" s="182"/>
      <c r="OPI1" s="182"/>
      <c r="OPJ1" s="182"/>
      <c r="OPK1" s="182"/>
      <c r="OPL1" s="182"/>
      <c r="OPM1" s="182"/>
      <c r="OPN1" s="182"/>
      <c r="OPO1" s="182"/>
      <c r="OPP1" s="182"/>
      <c r="OPQ1" s="182"/>
      <c r="OPR1" s="182"/>
      <c r="OPS1" s="182"/>
      <c r="OPT1" s="182"/>
      <c r="OPU1" s="182"/>
      <c r="OPV1" s="182"/>
      <c r="OPW1" s="182"/>
      <c r="OPX1" s="182"/>
      <c r="OPY1" s="182"/>
      <c r="OPZ1" s="182"/>
      <c r="OQA1" s="182"/>
      <c r="OQB1" s="182"/>
      <c r="OQC1" s="182"/>
      <c r="OQD1" s="182"/>
      <c r="OQE1" s="182"/>
      <c r="OQF1" s="182"/>
      <c r="OQG1" s="182"/>
      <c r="OQH1" s="182"/>
      <c r="OQI1" s="182"/>
      <c r="OQJ1" s="182"/>
      <c r="OQK1" s="182"/>
      <c r="OQL1" s="182"/>
      <c r="OQM1" s="182"/>
      <c r="OQN1" s="182"/>
      <c r="OQO1" s="182"/>
      <c r="OQP1" s="182"/>
      <c r="OQQ1" s="182"/>
      <c r="OQR1" s="182"/>
      <c r="OQS1" s="182"/>
      <c r="OQT1" s="182"/>
      <c r="OQU1" s="182"/>
      <c r="OQV1" s="182"/>
      <c r="OQW1" s="182"/>
      <c r="OQX1" s="182"/>
      <c r="OQY1" s="182"/>
      <c r="OQZ1" s="182"/>
      <c r="ORA1" s="182"/>
      <c r="ORB1" s="182"/>
      <c r="ORC1" s="182"/>
      <c r="ORD1" s="182"/>
      <c r="ORE1" s="182"/>
      <c r="ORF1" s="182"/>
      <c r="ORG1" s="182"/>
      <c r="ORH1" s="182"/>
      <c r="ORI1" s="182"/>
      <c r="ORJ1" s="182"/>
      <c r="ORK1" s="182"/>
      <c r="ORL1" s="182"/>
      <c r="ORM1" s="182"/>
      <c r="ORN1" s="182"/>
      <c r="ORO1" s="182"/>
      <c r="ORP1" s="182"/>
      <c r="ORQ1" s="182"/>
      <c r="ORR1" s="182"/>
      <c r="ORS1" s="182"/>
      <c r="ORT1" s="182"/>
      <c r="ORU1" s="182"/>
      <c r="ORV1" s="182"/>
      <c r="ORW1" s="182"/>
      <c r="ORX1" s="182"/>
      <c r="ORY1" s="182"/>
      <c r="ORZ1" s="182"/>
      <c r="OSA1" s="182"/>
      <c r="OSB1" s="182"/>
      <c r="OSC1" s="182"/>
      <c r="OSD1" s="182"/>
      <c r="OSE1" s="182"/>
      <c r="OSF1" s="182"/>
      <c r="OSG1" s="182"/>
      <c r="OSH1" s="182"/>
      <c r="OSI1" s="182"/>
      <c r="OSJ1" s="182"/>
      <c r="OSK1" s="182"/>
      <c r="OSL1" s="182"/>
      <c r="OSM1" s="182"/>
      <c r="OSN1" s="182"/>
      <c r="OSO1" s="182"/>
      <c r="OSP1" s="182"/>
      <c r="OSQ1" s="182"/>
      <c r="OSR1" s="182"/>
      <c r="OSS1" s="182"/>
      <c r="OST1" s="182"/>
      <c r="OSU1" s="182"/>
      <c r="OSV1" s="182"/>
      <c r="OSW1" s="182"/>
      <c r="OSX1" s="182"/>
      <c r="OSY1" s="182"/>
      <c r="OSZ1" s="182"/>
      <c r="OTA1" s="182"/>
      <c r="OTB1" s="182"/>
      <c r="OTC1" s="182"/>
      <c r="OTD1" s="182"/>
      <c r="OTE1" s="182"/>
      <c r="OTF1" s="182"/>
      <c r="OTG1" s="182"/>
      <c r="OTH1" s="182"/>
      <c r="OTI1" s="182"/>
      <c r="OTJ1" s="182"/>
      <c r="OTK1" s="182"/>
      <c r="OTL1" s="182"/>
      <c r="OTM1" s="182"/>
      <c r="OTN1" s="182"/>
      <c r="OTO1" s="182"/>
      <c r="OTP1" s="182"/>
      <c r="OTQ1" s="182"/>
      <c r="OTR1" s="182"/>
      <c r="OTS1" s="182"/>
      <c r="OTT1" s="182"/>
      <c r="OTU1" s="182"/>
      <c r="OTV1" s="182"/>
      <c r="OTW1" s="182"/>
      <c r="OTX1" s="182"/>
      <c r="OTY1" s="182"/>
      <c r="OTZ1" s="182"/>
      <c r="OUA1" s="182"/>
      <c r="OUB1" s="182"/>
      <c r="OUC1" s="182"/>
      <c r="OUD1" s="182"/>
      <c r="OUE1" s="182"/>
      <c r="OUF1" s="182"/>
      <c r="OUG1" s="182"/>
      <c r="OUH1" s="182"/>
      <c r="OUI1" s="182"/>
      <c r="OUJ1" s="182"/>
      <c r="OUK1" s="182"/>
      <c r="OUL1" s="182"/>
      <c r="OUM1" s="182"/>
      <c r="OUN1" s="182"/>
      <c r="OUO1" s="182"/>
      <c r="OUP1" s="182"/>
      <c r="OUQ1" s="182"/>
      <c r="OUR1" s="182"/>
      <c r="OUS1" s="182"/>
      <c r="OUT1" s="182"/>
      <c r="OUU1" s="182"/>
      <c r="OUV1" s="182"/>
      <c r="OUW1" s="182"/>
      <c r="OUX1" s="182"/>
      <c r="OUY1" s="182"/>
      <c r="OUZ1" s="182"/>
      <c r="OVA1" s="182"/>
      <c r="OVB1" s="182"/>
      <c r="OVC1" s="182"/>
      <c r="OVD1" s="182"/>
      <c r="OVE1" s="182"/>
      <c r="OVF1" s="182"/>
      <c r="OVG1" s="182"/>
      <c r="OVH1" s="182"/>
      <c r="OVI1" s="182"/>
      <c r="OVJ1" s="182"/>
      <c r="OVK1" s="182"/>
      <c r="OVL1" s="182"/>
      <c r="OVM1" s="182"/>
      <c r="OVN1" s="182"/>
      <c r="OVO1" s="182"/>
      <c r="OVP1" s="182"/>
      <c r="OVQ1" s="182"/>
      <c r="OVR1" s="182"/>
      <c r="OVS1" s="182"/>
      <c r="OVT1" s="182"/>
      <c r="OVU1" s="182"/>
      <c r="OVV1" s="182"/>
      <c r="OVW1" s="182"/>
      <c r="OVX1" s="182"/>
      <c r="OVY1" s="182"/>
      <c r="OVZ1" s="182"/>
      <c r="OWA1" s="182"/>
      <c r="OWB1" s="182"/>
      <c r="OWC1" s="182"/>
      <c r="OWD1" s="182"/>
      <c r="OWE1" s="182"/>
      <c r="OWF1" s="182"/>
      <c r="OWG1" s="182"/>
      <c r="OWH1" s="182"/>
      <c r="OWI1" s="182"/>
      <c r="OWJ1" s="182"/>
      <c r="OWK1" s="182"/>
      <c r="OWL1" s="182"/>
      <c r="OWM1" s="182"/>
      <c r="OWN1" s="182"/>
      <c r="OWO1" s="182"/>
      <c r="OWP1" s="182"/>
      <c r="OWQ1" s="182"/>
      <c r="OWR1" s="182"/>
      <c r="OWS1" s="182"/>
      <c r="OWT1" s="182"/>
      <c r="OWU1" s="182"/>
      <c r="OWV1" s="182"/>
      <c r="OWW1" s="182"/>
      <c r="OWX1" s="182"/>
      <c r="OWY1" s="182"/>
      <c r="OWZ1" s="182"/>
      <c r="OXA1" s="182"/>
      <c r="OXB1" s="182"/>
      <c r="OXC1" s="182"/>
      <c r="OXD1" s="182"/>
      <c r="OXE1" s="182"/>
      <c r="OXF1" s="182"/>
      <c r="OXG1" s="182"/>
      <c r="OXH1" s="182"/>
      <c r="OXI1" s="182"/>
      <c r="OXJ1" s="182"/>
      <c r="OXK1" s="182"/>
      <c r="OXL1" s="182"/>
      <c r="OXM1" s="182"/>
      <c r="OXN1" s="182"/>
      <c r="OXO1" s="182"/>
      <c r="OXP1" s="182"/>
      <c r="OXQ1" s="182"/>
      <c r="OXR1" s="182"/>
      <c r="OXS1" s="182"/>
      <c r="OXT1" s="182"/>
      <c r="OXU1" s="182"/>
      <c r="OXV1" s="182"/>
      <c r="OXW1" s="182"/>
      <c r="OXX1" s="182"/>
      <c r="OXY1" s="182"/>
      <c r="OXZ1" s="182"/>
      <c r="OYA1" s="182"/>
      <c r="OYB1" s="182"/>
      <c r="OYC1" s="182"/>
      <c r="OYD1" s="182"/>
      <c r="OYE1" s="182"/>
      <c r="OYF1" s="182"/>
      <c r="OYG1" s="182"/>
      <c r="OYH1" s="182"/>
      <c r="OYI1" s="182"/>
      <c r="OYJ1" s="182"/>
      <c r="OYK1" s="182"/>
      <c r="OYL1" s="182"/>
      <c r="OYM1" s="182"/>
      <c r="OYN1" s="182"/>
      <c r="OYO1" s="182"/>
      <c r="OYP1" s="182"/>
      <c r="OYQ1" s="182"/>
      <c r="OYR1" s="182"/>
      <c r="OYS1" s="182"/>
      <c r="OYT1" s="182"/>
      <c r="OYU1" s="182"/>
      <c r="OYV1" s="182"/>
      <c r="OYW1" s="182"/>
      <c r="OYX1" s="182"/>
      <c r="OYY1" s="182"/>
      <c r="OYZ1" s="182"/>
      <c r="OZA1" s="182"/>
      <c r="OZB1" s="182"/>
      <c r="OZC1" s="182"/>
      <c r="OZD1" s="182"/>
      <c r="OZE1" s="182"/>
      <c r="OZF1" s="182"/>
      <c r="OZG1" s="182"/>
      <c r="OZH1" s="182"/>
      <c r="OZI1" s="182"/>
      <c r="OZJ1" s="182"/>
      <c r="OZK1" s="182"/>
      <c r="OZL1" s="182"/>
      <c r="OZM1" s="182"/>
      <c r="OZN1" s="182"/>
      <c r="OZO1" s="182"/>
      <c r="OZP1" s="182"/>
      <c r="OZQ1" s="182"/>
      <c r="OZR1" s="182"/>
      <c r="OZS1" s="182"/>
      <c r="OZT1" s="182"/>
      <c r="OZU1" s="182"/>
      <c r="OZV1" s="182"/>
      <c r="OZW1" s="182"/>
      <c r="OZX1" s="182"/>
      <c r="OZY1" s="182"/>
      <c r="OZZ1" s="182"/>
      <c r="PAA1" s="182"/>
      <c r="PAB1" s="182"/>
      <c r="PAC1" s="182"/>
      <c r="PAD1" s="182"/>
      <c r="PAE1" s="182"/>
      <c r="PAF1" s="182"/>
      <c r="PAG1" s="182"/>
      <c r="PAH1" s="182"/>
      <c r="PAI1" s="182"/>
      <c r="PAJ1" s="182"/>
      <c r="PAK1" s="182"/>
      <c r="PAL1" s="182"/>
      <c r="PAM1" s="182"/>
      <c r="PAN1" s="182"/>
      <c r="PAO1" s="182"/>
      <c r="PAP1" s="182"/>
      <c r="PAQ1" s="182"/>
      <c r="PAR1" s="182"/>
      <c r="PAS1" s="182"/>
      <c r="PAT1" s="182"/>
      <c r="PAU1" s="182"/>
      <c r="PAV1" s="182"/>
      <c r="PAW1" s="182"/>
      <c r="PAX1" s="182"/>
      <c r="PAY1" s="182"/>
      <c r="PAZ1" s="182"/>
      <c r="PBA1" s="182"/>
      <c r="PBB1" s="182"/>
      <c r="PBC1" s="182"/>
      <c r="PBD1" s="182"/>
      <c r="PBE1" s="182"/>
      <c r="PBF1" s="182"/>
      <c r="PBG1" s="182"/>
      <c r="PBH1" s="182"/>
      <c r="PBI1" s="182"/>
      <c r="PBJ1" s="182"/>
      <c r="PBK1" s="182"/>
      <c r="PBL1" s="182"/>
      <c r="PBM1" s="182"/>
      <c r="PBN1" s="182"/>
      <c r="PBO1" s="182"/>
      <c r="PBP1" s="182"/>
      <c r="PBQ1" s="182"/>
      <c r="PBR1" s="182"/>
      <c r="PBS1" s="182"/>
      <c r="PBT1" s="182"/>
      <c r="PBU1" s="182"/>
      <c r="PBV1" s="182"/>
      <c r="PBW1" s="182"/>
      <c r="PBX1" s="182"/>
      <c r="PBY1" s="182"/>
      <c r="PBZ1" s="182"/>
      <c r="PCA1" s="182"/>
      <c r="PCB1" s="182"/>
      <c r="PCC1" s="182"/>
      <c r="PCD1" s="182"/>
      <c r="PCE1" s="182"/>
      <c r="PCF1" s="182"/>
      <c r="PCG1" s="182"/>
      <c r="PCH1" s="182"/>
      <c r="PCI1" s="182"/>
      <c r="PCJ1" s="182"/>
      <c r="PCK1" s="182"/>
      <c r="PCL1" s="182"/>
      <c r="PCM1" s="182"/>
      <c r="PCN1" s="182"/>
      <c r="PCO1" s="182"/>
      <c r="PCP1" s="182"/>
      <c r="PCQ1" s="182"/>
      <c r="PCR1" s="182"/>
      <c r="PCS1" s="182"/>
      <c r="PCT1" s="182"/>
      <c r="PCU1" s="182"/>
      <c r="PCV1" s="182"/>
      <c r="PCW1" s="182"/>
      <c r="PCX1" s="182"/>
      <c r="PCY1" s="182"/>
      <c r="PCZ1" s="182"/>
      <c r="PDA1" s="182"/>
      <c r="PDB1" s="182"/>
      <c r="PDC1" s="182"/>
      <c r="PDD1" s="182"/>
      <c r="PDE1" s="182"/>
      <c r="PDF1" s="182"/>
      <c r="PDG1" s="182"/>
      <c r="PDH1" s="182"/>
      <c r="PDI1" s="182"/>
      <c r="PDJ1" s="182"/>
      <c r="PDK1" s="182"/>
      <c r="PDL1" s="182"/>
      <c r="PDM1" s="182"/>
      <c r="PDN1" s="182"/>
      <c r="PDO1" s="182"/>
      <c r="PDP1" s="182"/>
      <c r="PDQ1" s="182"/>
      <c r="PDR1" s="182"/>
      <c r="PDS1" s="182"/>
      <c r="PDT1" s="182"/>
      <c r="PDU1" s="182"/>
      <c r="PDV1" s="182"/>
      <c r="PDW1" s="182"/>
      <c r="PDX1" s="182"/>
      <c r="PDY1" s="182"/>
      <c r="PDZ1" s="182"/>
      <c r="PEA1" s="182"/>
      <c r="PEB1" s="182"/>
      <c r="PEC1" s="182"/>
      <c r="PED1" s="182"/>
      <c r="PEE1" s="182"/>
      <c r="PEF1" s="182"/>
      <c r="PEG1" s="182"/>
      <c r="PEH1" s="182"/>
      <c r="PEI1" s="182"/>
      <c r="PEJ1" s="182"/>
      <c r="PEK1" s="182"/>
      <c r="PEL1" s="182"/>
      <c r="PEM1" s="182"/>
      <c r="PEN1" s="182"/>
      <c r="PEO1" s="182"/>
      <c r="PEP1" s="182"/>
      <c r="PEQ1" s="182"/>
      <c r="PER1" s="182"/>
      <c r="PES1" s="182"/>
      <c r="PET1" s="182"/>
      <c r="PEU1" s="182"/>
      <c r="PEV1" s="182"/>
      <c r="PEW1" s="182"/>
      <c r="PEX1" s="182"/>
      <c r="PEY1" s="182"/>
      <c r="PEZ1" s="182"/>
      <c r="PFA1" s="182"/>
      <c r="PFB1" s="182"/>
      <c r="PFC1" s="182"/>
      <c r="PFD1" s="182"/>
      <c r="PFE1" s="182"/>
      <c r="PFF1" s="182"/>
      <c r="PFG1" s="182"/>
      <c r="PFH1" s="182"/>
      <c r="PFI1" s="182"/>
      <c r="PFJ1" s="182"/>
      <c r="PFK1" s="182"/>
      <c r="PFL1" s="182"/>
      <c r="PFM1" s="182"/>
      <c r="PFN1" s="182"/>
      <c r="PFO1" s="182"/>
      <c r="PFP1" s="182"/>
      <c r="PFQ1" s="182"/>
      <c r="PFR1" s="182"/>
      <c r="PFS1" s="182"/>
      <c r="PFT1" s="182"/>
      <c r="PFU1" s="182"/>
      <c r="PFV1" s="182"/>
      <c r="PFW1" s="182"/>
      <c r="PFX1" s="182"/>
      <c r="PFY1" s="182"/>
      <c r="PFZ1" s="182"/>
      <c r="PGA1" s="182"/>
      <c r="PGB1" s="182"/>
      <c r="PGC1" s="182"/>
      <c r="PGD1" s="182"/>
      <c r="PGE1" s="182"/>
      <c r="PGF1" s="182"/>
      <c r="PGG1" s="182"/>
      <c r="PGH1" s="182"/>
      <c r="PGI1" s="182"/>
      <c r="PGJ1" s="182"/>
      <c r="PGK1" s="182"/>
      <c r="PGL1" s="182"/>
      <c r="PGM1" s="182"/>
      <c r="PGN1" s="182"/>
      <c r="PGO1" s="182"/>
      <c r="PGP1" s="182"/>
      <c r="PGQ1" s="182"/>
      <c r="PGR1" s="182"/>
      <c r="PGS1" s="182"/>
      <c r="PGT1" s="182"/>
      <c r="PGU1" s="182"/>
      <c r="PGV1" s="182"/>
      <c r="PGW1" s="182"/>
      <c r="PGX1" s="182"/>
      <c r="PGY1" s="182"/>
      <c r="PGZ1" s="182"/>
      <c r="PHA1" s="182"/>
      <c r="PHB1" s="182"/>
      <c r="PHC1" s="182"/>
      <c r="PHD1" s="182"/>
      <c r="PHE1" s="182"/>
      <c r="PHF1" s="182"/>
      <c r="PHG1" s="182"/>
      <c r="PHH1" s="182"/>
      <c r="PHI1" s="182"/>
      <c r="PHJ1" s="182"/>
      <c r="PHK1" s="182"/>
      <c r="PHL1" s="182"/>
      <c r="PHM1" s="182"/>
      <c r="PHN1" s="182"/>
      <c r="PHO1" s="182"/>
      <c r="PHP1" s="182"/>
      <c r="PHQ1" s="182"/>
      <c r="PHR1" s="182"/>
      <c r="PHS1" s="182"/>
      <c r="PHT1" s="182"/>
      <c r="PHU1" s="182"/>
      <c r="PHV1" s="182"/>
      <c r="PHW1" s="182"/>
      <c r="PHX1" s="182"/>
      <c r="PHY1" s="182"/>
      <c r="PHZ1" s="182"/>
      <c r="PIA1" s="182"/>
      <c r="PIB1" s="182"/>
      <c r="PIC1" s="182"/>
      <c r="PID1" s="182"/>
      <c r="PIE1" s="182"/>
      <c r="PIF1" s="182"/>
      <c r="PIG1" s="182"/>
      <c r="PIH1" s="182"/>
      <c r="PII1" s="182"/>
      <c r="PIJ1" s="182"/>
      <c r="PIK1" s="182"/>
      <c r="PIL1" s="182"/>
      <c r="PIM1" s="182"/>
      <c r="PIN1" s="182"/>
      <c r="PIO1" s="182"/>
      <c r="PIP1" s="182"/>
      <c r="PIQ1" s="182"/>
      <c r="PIR1" s="182"/>
      <c r="PIS1" s="182"/>
      <c r="PIT1" s="182"/>
      <c r="PIU1" s="182"/>
      <c r="PIV1" s="182"/>
      <c r="PIW1" s="182"/>
      <c r="PIX1" s="182"/>
      <c r="PIY1" s="182"/>
      <c r="PIZ1" s="182"/>
      <c r="PJA1" s="182"/>
      <c r="PJB1" s="182"/>
      <c r="PJC1" s="182"/>
      <c r="PJD1" s="182"/>
      <c r="PJE1" s="182"/>
      <c r="PJF1" s="182"/>
      <c r="PJG1" s="182"/>
      <c r="PJH1" s="182"/>
      <c r="PJI1" s="182"/>
      <c r="PJJ1" s="182"/>
      <c r="PJK1" s="182"/>
      <c r="PJL1" s="182"/>
      <c r="PJM1" s="182"/>
      <c r="PJN1" s="182"/>
      <c r="PJO1" s="182"/>
      <c r="PJP1" s="182"/>
      <c r="PJQ1" s="182"/>
      <c r="PJR1" s="182"/>
      <c r="PJS1" s="182"/>
      <c r="PJT1" s="182"/>
      <c r="PJU1" s="182"/>
      <c r="PJV1" s="182"/>
      <c r="PJW1" s="182"/>
      <c r="PJX1" s="182"/>
      <c r="PJY1" s="182"/>
      <c r="PJZ1" s="182"/>
      <c r="PKA1" s="182"/>
      <c r="PKB1" s="182"/>
      <c r="PKC1" s="182"/>
      <c r="PKD1" s="182"/>
      <c r="PKE1" s="182"/>
      <c r="PKF1" s="182"/>
      <c r="PKG1" s="182"/>
      <c r="PKH1" s="182"/>
      <c r="PKI1" s="182"/>
      <c r="PKJ1" s="182"/>
      <c r="PKK1" s="182"/>
      <c r="PKL1" s="182"/>
      <c r="PKM1" s="182"/>
      <c r="PKN1" s="182"/>
      <c r="PKO1" s="182"/>
      <c r="PKP1" s="182"/>
      <c r="PKQ1" s="182"/>
      <c r="PKR1" s="182"/>
      <c r="PKS1" s="182"/>
      <c r="PKT1" s="182"/>
      <c r="PKU1" s="182"/>
      <c r="PKV1" s="182"/>
      <c r="PKW1" s="182"/>
      <c r="PKX1" s="182"/>
      <c r="PKY1" s="182"/>
      <c r="PKZ1" s="182"/>
      <c r="PLA1" s="182"/>
      <c r="PLB1" s="182"/>
      <c r="PLC1" s="182"/>
      <c r="PLD1" s="182"/>
      <c r="PLE1" s="182"/>
      <c r="PLF1" s="182"/>
      <c r="PLG1" s="182"/>
      <c r="PLH1" s="182"/>
      <c r="PLI1" s="182"/>
      <c r="PLJ1" s="182"/>
      <c r="PLK1" s="182"/>
      <c r="PLL1" s="182"/>
      <c r="PLM1" s="182"/>
      <c r="PLN1" s="182"/>
      <c r="PLO1" s="182"/>
      <c r="PLP1" s="182"/>
      <c r="PLQ1" s="182"/>
      <c r="PLR1" s="182"/>
      <c r="PLS1" s="182"/>
      <c r="PLT1" s="182"/>
      <c r="PLU1" s="182"/>
      <c r="PLV1" s="182"/>
      <c r="PLW1" s="182"/>
      <c r="PLX1" s="182"/>
      <c r="PLY1" s="182"/>
      <c r="PLZ1" s="182"/>
      <c r="PMA1" s="182"/>
      <c r="PMB1" s="182"/>
      <c r="PMC1" s="182"/>
      <c r="PMD1" s="182"/>
      <c r="PME1" s="182"/>
      <c r="PMF1" s="182"/>
      <c r="PMG1" s="182"/>
      <c r="PMH1" s="182"/>
      <c r="PMI1" s="182"/>
      <c r="PMJ1" s="182"/>
      <c r="PMK1" s="182"/>
      <c r="PML1" s="182"/>
      <c r="PMM1" s="182"/>
      <c r="PMN1" s="182"/>
      <c r="PMO1" s="182"/>
      <c r="PMP1" s="182"/>
      <c r="PMQ1" s="182"/>
      <c r="PMR1" s="182"/>
      <c r="PMS1" s="182"/>
      <c r="PMT1" s="182"/>
      <c r="PMU1" s="182"/>
      <c r="PMV1" s="182"/>
      <c r="PMW1" s="182"/>
      <c r="PMX1" s="182"/>
      <c r="PMY1" s="182"/>
      <c r="PMZ1" s="182"/>
      <c r="PNA1" s="182"/>
      <c r="PNB1" s="182"/>
      <c r="PNC1" s="182"/>
      <c r="PND1" s="182"/>
      <c r="PNE1" s="182"/>
      <c r="PNF1" s="182"/>
      <c r="PNG1" s="182"/>
      <c r="PNH1" s="182"/>
      <c r="PNI1" s="182"/>
      <c r="PNJ1" s="182"/>
      <c r="PNK1" s="182"/>
      <c r="PNL1" s="182"/>
      <c r="PNM1" s="182"/>
      <c r="PNN1" s="182"/>
      <c r="PNO1" s="182"/>
      <c r="PNP1" s="182"/>
      <c r="PNQ1" s="182"/>
      <c r="PNR1" s="182"/>
      <c r="PNS1" s="182"/>
      <c r="PNT1" s="182"/>
      <c r="PNU1" s="182"/>
      <c r="PNV1" s="182"/>
      <c r="PNW1" s="182"/>
      <c r="PNX1" s="182"/>
      <c r="PNY1" s="182"/>
      <c r="PNZ1" s="182"/>
      <c r="POA1" s="182"/>
      <c r="POB1" s="182"/>
      <c r="POC1" s="182"/>
      <c r="POD1" s="182"/>
      <c r="POE1" s="182"/>
      <c r="POF1" s="182"/>
      <c r="POG1" s="182"/>
      <c r="POH1" s="182"/>
      <c r="POI1" s="182"/>
      <c r="POJ1" s="182"/>
      <c r="POK1" s="182"/>
      <c r="POL1" s="182"/>
      <c r="POM1" s="182"/>
      <c r="PON1" s="182"/>
      <c r="POO1" s="182"/>
      <c r="POP1" s="182"/>
      <c r="POQ1" s="182"/>
      <c r="POR1" s="182"/>
      <c r="POS1" s="182"/>
      <c r="POT1" s="182"/>
      <c r="POU1" s="182"/>
      <c r="POV1" s="182"/>
      <c r="POW1" s="182"/>
      <c r="POX1" s="182"/>
      <c r="POY1" s="182"/>
      <c r="POZ1" s="182"/>
      <c r="PPA1" s="182"/>
      <c r="PPB1" s="182"/>
      <c r="PPC1" s="182"/>
      <c r="PPD1" s="182"/>
      <c r="PPE1" s="182"/>
      <c r="PPF1" s="182"/>
      <c r="PPG1" s="182"/>
      <c r="PPH1" s="182"/>
      <c r="PPI1" s="182"/>
      <c r="PPJ1" s="182"/>
      <c r="PPK1" s="182"/>
      <c r="PPL1" s="182"/>
      <c r="PPM1" s="182"/>
      <c r="PPN1" s="182"/>
      <c r="PPO1" s="182"/>
      <c r="PPP1" s="182"/>
      <c r="PPQ1" s="182"/>
      <c r="PPR1" s="182"/>
      <c r="PPS1" s="182"/>
      <c r="PPT1" s="182"/>
      <c r="PPU1" s="182"/>
      <c r="PPV1" s="182"/>
      <c r="PPW1" s="182"/>
      <c r="PPX1" s="182"/>
      <c r="PPY1" s="182"/>
      <c r="PPZ1" s="182"/>
      <c r="PQA1" s="182"/>
      <c r="PQB1" s="182"/>
      <c r="PQC1" s="182"/>
      <c r="PQD1" s="182"/>
      <c r="PQE1" s="182"/>
      <c r="PQF1" s="182"/>
      <c r="PQG1" s="182"/>
      <c r="PQH1" s="182"/>
      <c r="PQI1" s="182"/>
      <c r="PQJ1" s="182"/>
      <c r="PQK1" s="182"/>
      <c r="PQL1" s="182"/>
      <c r="PQM1" s="182"/>
      <c r="PQN1" s="182"/>
      <c r="PQO1" s="182"/>
      <c r="PQP1" s="182"/>
      <c r="PQQ1" s="182"/>
      <c r="PQR1" s="182"/>
      <c r="PQS1" s="182"/>
      <c r="PQT1" s="182"/>
      <c r="PQU1" s="182"/>
      <c r="PQV1" s="182"/>
      <c r="PQW1" s="182"/>
      <c r="PQX1" s="182"/>
      <c r="PQY1" s="182"/>
      <c r="PQZ1" s="182"/>
      <c r="PRA1" s="182"/>
      <c r="PRB1" s="182"/>
      <c r="PRC1" s="182"/>
      <c r="PRD1" s="182"/>
      <c r="PRE1" s="182"/>
      <c r="PRF1" s="182"/>
      <c r="PRG1" s="182"/>
      <c r="PRH1" s="182"/>
      <c r="PRI1" s="182"/>
      <c r="PRJ1" s="182"/>
      <c r="PRK1" s="182"/>
      <c r="PRL1" s="182"/>
      <c r="PRM1" s="182"/>
      <c r="PRN1" s="182"/>
      <c r="PRO1" s="182"/>
      <c r="PRP1" s="182"/>
      <c r="PRQ1" s="182"/>
      <c r="PRR1" s="182"/>
      <c r="PRS1" s="182"/>
      <c r="PRT1" s="182"/>
      <c r="PRU1" s="182"/>
      <c r="PRV1" s="182"/>
      <c r="PRW1" s="182"/>
      <c r="PRX1" s="182"/>
      <c r="PRY1" s="182"/>
      <c r="PRZ1" s="182"/>
      <c r="PSA1" s="182"/>
      <c r="PSB1" s="182"/>
      <c r="PSC1" s="182"/>
      <c r="PSD1" s="182"/>
      <c r="PSE1" s="182"/>
      <c r="PSF1" s="182"/>
      <c r="PSG1" s="182"/>
      <c r="PSH1" s="182"/>
      <c r="PSI1" s="182"/>
      <c r="PSJ1" s="182"/>
      <c r="PSK1" s="182"/>
      <c r="PSL1" s="182"/>
      <c r="PSM1" s="182"/>
      <c r="PSN1" s="182"/>
      <c r="PSO1" s="182"/>
      <c r="PSP1" s="182"/>
      <c r="PSQ1" s="182"/>
      <c r="PSR1" s="182"/>
      <c r="PSS1" s="182"/>
      <c r="PST1" s="182"/>
      <c r="PSU1" s="182"/>
      <c r="PSV1" s="182"/>
      <c r="PSW1" s="182"/>
      <c r="PSX1" s="182"/>
      <c r="PSY1" s="182"/>
      <c r="PSZ1" s="182"/>
      <c r="PTA1" s="182"/>
      <c r="PTB1" s="182"/>
      <c r="PTC1" s="182"/>
      <c r="PTD1" s="182"/>
      <c r="PTE1" s="182"/>
      <c r="PTF1" s="182"/>
      <c r="PTG1" s="182"/>
      <c r="PTH1" s="182"/>
      <c r="PTI1" s="182"/>
      <c r="PTJ1" s="182"/>
      <c r="PTK1" s="182"/>
      <c r="PTL1" s="182"/>
      <c r="PTM1" s="182"/>
      <c r="PTN1" s="182"/>
      <c r="PTO1" s="182"/>
      <c r="PTP1" s="182"/>
      <c r="PTQ1" s="182"/>
      <c r="PTR1" s="182"/>
      <c r="PTS1" s="182"/>
      <c r="PTT1" s="182"/>
      <c r="PTU1" s="182"/>
      <c r="PTV1" s="182"/>
      <c r="PTW1" s="182"/>
      <c r="PTX1" s="182"/>
      <c r="PTY1" s="182"/>
      <c r="PTZ1" s="182"/>
      <c r="PUA1" s="182"/>
      <c r="PUB1" s="182"/>
      <c r="PUC1" s="182"/>
      <c r="PUD1" s="182"/>
      <c r="PUE1" s="182"/>
      <c r="PUF1" s="182"/>
      <c r="PUG1" s="182"/>
      <c r="PUH1" s="182"/>
      <c r="PUI1" s="182"/>
      <c r="PUJ1" s="182"/>
      <c r="PUK1" s="182"/>
      <c r="PUL1" s="182"/>
      <c r="PUM1" s="182"/>
      <c r="PUN1" s="182"/>
      <c r="PUO1" s="182"/>
      <c r="PUP1" s="182"/>
      <c r="PUQ1" s="182"/>
      <c r="PUR1" s="182"/>
      <c r="PUS1" s="182"/>
      <c r="PUT1" s="182"/>
      <c r="PUU1" s="182"/>
      <c r="PUV1" s="182"/>
      <c r="PUW1" s="182"/>
      <c r="PUX1" s="182"/>
      <c r="PUY1" s="182"/>
      <c r="PUZ1" s="182"/>
      <c r="PVA1" s="182"/>
      <c r="PVB1" s="182"/>
      <c r="PVC1" s="182"/>
      <c r="PVD1" s="182"/>
      <c r="PVE1" s="182"/>
      <c r="PVF1" s="182"/>
      <c r="PVG1" s="182"/>
      <c r="PVH1" s="182"/>
      <c r="PVI1" s="182"/>
      <c r="PVJ1" s="182"/>
      <c r="PVK1" s="182"/>
      <c r="PVL1" s="182"/>
      <c r="PVM1" s="182"/>
      <c r="PVN1" s="182"/>
      <c r="PVO1" s="182"/>
      <c r="PVP1" s="182"/>
      <c r="PVQ1" s="182"/>
      <c r="PVR1" s="182"/>
      <c r="PVS1" s="182"/>
      <c r="PVT1" s="182"/>
      <c r="PVU1" s="182"/>
      <c r="PVV1" s="182"/>
      <c r="PVW1" s="182"/>
      <c r="PVX1" s="182"/>
      <c r="PVY1" s="182"/>
      <c r="PVZ1" s="182"/>
      <c r="PWA1" s="182"/>
      <c r="PWB1" s="182"/>
      <c r="PWC1" s="182"/>
      <c r="PWD1" s="182"/>
      <c r="PWE1" s="182"/>
      <c r="PWF1" s="182"/>
      <c r="PWG1" s="182"/>
      <c r="PWH1" s="182"/>
      <c r="PWI1" s="182"/>
      <c r="PWJ1" s="182"/>
      <c r="PWK1" s="182"/>
      <c r="PWL1" s="182"/>
      <c r="PWM1" s="182"/>
      <c r="PWN1" s="182"/>
      <c r="PWO1" s="182"/>
      <c r="PWP1" s="182"/>
      <c r="PWQ1" s="182"/>
      <c r="PWR1" s="182"/>
      <c r="PWS1" s="182"/>
      <c r="PWT1" s="182"/>
      <c r="PWU1" s="182"/>
      <c r="PWV1" s="182"/>
      <c r="PWW1" s="182"/>
      <c r="PWX1" s="182"/>
      <c r="PWY1" s="182"/>
      <c r="PWZ1" s="182"/>
      <c r="PXA1" s="182"/>
      <c r="PXB1" s="182"/>
      <c r="PXC1" s="182"/>
      <c r="PXD1" s="182"/>
      <c r="PXE1" s="182"/>
      <c r="PXF1" s="182"/>
      <c r="PXG1" s="182"/>
      <c r="PXH1" s="182"/>
      <c r="PXI1" s="182"/>
      <c r="PXJ1" s="182"/>
      <c r="PXK1" s="182"/>
      <c r="PXL1" s="182"/>
      <c r="PXM1" s="182"/>
      <c r="PXN1" s="182"/>
      <c r="PXO1" s="182"/>
      <c r="PXP1" s="182"/>
      <c r="PXQ1" s="182"/>
      <c r="PXR1" s="182"/>
      <c r="PXS1" s="182"/>
      <c r="PXT1" s="182"/>
      <c r="PXU1" s="182"/>
      <c r="PXV1" s="182"/>
      <c r="PXW1" s="182"/>
      <c r="PXX1" s="182"/>
      <c r="PXY1" s="182"/>
      <c r="PXZ1" s="182"/>
      <c r="PYA1" s="182"/>
      <c r="PYB1" s="182"/>
      <c r="PYC1" s="182"/>
      <c r="PYD1" s="182"/>
      <c r="PYE1" s="182"/>
      <c r="PYF1" s="182"/>
      <c r="PYG1" s="182"/>
      <c r="PYH1" s="182"/>
      <c r="PYI1" s="182"/>
      <c r="PYJ1" s="182"/>
      <c r="PYK1" s="182"/>
      <c r="PYL1" s="182"/>
      <c r="PYM1" s="182"/>
      <c r="PYN1" s="182"/>
      <c r="PYO1" s="182"/>
      <c r="PYP1" s="182"/>
      <c r="PYQ1" s="182"/>
      <c r="PYR1" s="182"/>
      <c r="PYS1" s="182"/>
      <c r="PYT1" s="182"/>
      <c r="PYU1" s="182"/>
      <c r="PYV1" s="182"/>
      <c r="PYW1" s="182"/>
      <c r="PYX1" s="182"/>
      <c r="PYY1" s="182"/>
      <c r="PYZ1" s="182"/>
      <c r="PZA1" s="182"/>
      <c r="PZB1" s="182"/>
      <c r="PZC1" s="182"/>
      <c r="PZD1" s="182"/>
      <c r="PZE1" s="182"/>
      <c r="PZF1" s="182"/>
      <c r="PZG1" s="182"/>
      <c r="PZH1" s="182"/>
      <c r="PZI1" s="182"/>
      <c r="PZJ1" s="182"/>
      <c r="PZK1" s="182"/>
      <c r="PZL1" s="182"/>
      <c r="PZM1" s="182"/>
      <c r="PZN1" s="182"/>
      <c r="PZO1" s="182"/>
      <c r="PZP1" s="182"/>
      <c r="PZQ1" s="182"/>
      <c r="PZR1" s="182"/>
      <c r="PZS1" s="182"/>
      <c r="PZT1" s="182"/>
      <c r="PZU1" s="182"/>
      <c r="PZV1" s="182"/>
      <c r="PZW1" s="182"/>
      <c r="PZX1" s="182"/>
      <c r="PZY1" s="182"/>
      <c r="PZZ1" s="182"/>
      <c r="QAA1" s="182"/>
      <c r="QAB1" s="182"/>
      <c r="QAC1" s="182"/>
      <c r="QAD1" s="182"/>
      <c r="QAE1" s="182"/>
      <c r="QAF1" s="182"/>
      <c r="QAG1" s="182"/>
      <c r="QAH1" s="182"/>
      <c r="QAI1" s="182"/>
      <c r="QAJ1" s="182"/>
      <c r="QAK1" s="182"/>
      <c r="QAL1" s="182"/>
      <c r="QAM1" s="182"/>
      <c r="QAN1" s="182"/>
      <c r="QAO1" s="182"/>
      <c r="QAP1" s="182"/>
      <c r="QAQ1" s="182"/>
      <c r="QAR1" s="182"/>
      <c r="QAS1" s="182"/>
      <c r="QAT1" s="182"/>
      <c r="QAU1" s="182"/>
      <c r="QAV1" s="182"/>
      <c r="QAW1" s="182"/>
      <c r="QAX1" s="182"/>
      <c r="QAY1" s="182"/>
      <c r="QAZ1" s="182"/>
      <c r="QBA1" s="182"/>
      <c r="QBB1" s="182"/>
      <c r="QBC1" s="182"/>
      <c r="QBD1" s="182"/>
      <c r="QBE1" s="182"/>
      <c r="QBF1" s="182"/>
      <c r="QBG1" s="182"/>
      <c r="QBH1" s="182"/>
      <c r="QBI1" s="182"/>
      <c r="QBJ1" s="182"/>
      <c r="QBK1" s="182"/>
      <c r="QBL1" s="182"/>
      <c r="QBM1" s="182"/>
      <c r="QBN1" s="182"/>
      <c r="QBO1" s="182"/>
      <c r="QBP1" s="182"/>
      <c r="QBQ1" s="182"/>
      <c r="QBR1" s="182"/>
      <c r="QBS1" s="182"/>
      <c r="QBT1" s="182"/>
      <c r="QBU1" s="182"/>
      <c r="QBV1" s="182"/>
      <c r="QBW1" s="182"/>
      <c r="QBX1" s="182"/>
      <c r="QBY1" s="182"/>
      <c r="QBZ1" s="182"/>
      <c r="QCA1" s="182"/>
      <c r="QCB1" s="182"/>
      <c r="QCC1" s="182"/>
      <c r="QCD1" s="182"/>
      <c r="QCE1" s="182"/>
      <c r="QCF1" s="182"/>
      <c r="QCG1" s="182"/>
      <c r="QCH1" s="182"/>
      <c r="QCI1" s="182"/>
      <c r="QCJ1" s="182"/>
      <c r="QCK1" s="182"/>
      <c r="QCL1" s="182"/>
      <c r="QCM1" s="182"/>
      <c r="QCN1" s="182"/>
      <c r="QCO1" s="182"/>
      <c r="QCP1" s="182"/>
      <c r="QCQ1" s="182"/>
      <c r="QCR1" s="182"/>
      <c r="QCS1" s="182"/>
      <c r="QCT1" s="182"/>
      <c r="QCU1" s="182"/>
      <c r="QCV1" s="182"/>
      <c r="QCW1" s="182"/>
      <c r="QCX1" s="182"/>
      <c r="QCY1" s="182"/>
      <c r="QCZ1" s="182"/>
      <c r="QDA1" s="182"/>
      <c r="QDB1" s="182"/>
      <c r="QDC1" s="182"/>
      <c r="QDD1" s="182"/>
      <c r="QDE1" s="182"/>
      <c r="QDF1" s="182"/>
      <c r="QDG1" s="182"/>
      <c r="QDH1" s="182"/>
      <c r="QDI1" s="182"/>
      <c r="QDJ1" s="182"/>
      <c r="QDK1" s="182"/>
      <c r="QDL1" s="182"/>
      <c r="QDM1" s="182"/>
      <c r="QDN1" s="182"/>
      <c r="QDO1" s="182"/>
      <c r="QDP1" s="182"/>
      <c r="QDQ1" s="182"/>
      <c r="QDR1" s="182"/>
      <c r="QDS1" s="182"/>
      <c r="QDT1" s="182"/>
      <c r="QDU1" s="182"/>
      <c r="QDV1" s="182"/>
      <c r="QDW1" s="182"/>
      <c r="QDX1" s="182"/>
      <c r="QDY1" s="182"/>
      <c r="QDZ1" s="182"/>
      <c r="QEA1" s="182"/>
      <c r="QEB1" s="182"/>
      <c r="QEC1" s="182"/>
      <c r="QED1" s="182"/>
      <c r="QEE1" s="182"/>
      <c r="QEF1" s="182"/>
      <c r="QEG1" s="182"/>
      <c r="QEH1" s="182"/>
      <c r="QEI1" s="182"/>
      <c r="QEJ1" s="182"/>
      <c r="QEK1" s="182"/>
      <c r="QEL1" s="182"/>
      <c r="QEM1" s="182"/>
      <c r="QEN1" s="182"/>
      <c r="QEO1" s="182"/>
      <c r="QEP1" s="182"/>
      <c r="QEQ1" s="182"/>
      <c r="QER1" s="182"/>
      <c r="QES1" s="182"/>
      <c r="QET1" s="182"/>
      <c r="QEU1" s="182"/>
      <c r="QEV1" s="182"/>
      <c r="QEW1" s="182"/>
      <c r="QEX1" s="182"/>
      <c r="QEY1" s="182"/>
      <c r="QEZ1" s="182"/>
      <c r="QFA1" s="182"/>
      <c r="QFB1" s="182"/>
      <c r="QFC1" s="182"/>
      <c r="QFD1" s="182"/>
      <c r="QFE1" s="182"/>
      <c r="QFF1" s="182"/>
      <c r="QFG1" s="182"/>
      <c r="QFH1" s="182"/>
      <c r="QFI1" s="182"/>
      <c r="QFJ1" s="182"/>
      <c r="QFK1" s="182"/>
      <c r="QFL1" s="182"/>
      <c r="QFM1" s="182"/>
      <c r="QFN1" s="182"/>
      <c r="QFO1" s="182"/>
      <c r="QFP1" s="182"/>
      <c r="QFQ1" s="182"/>
      <c r="QFR1" s="182"/>
      <c r="QFS1" s="182"/>
      <c r="QFT1" s="182"/>
      <c r="QFU1" s="182"/>
      <c r="QFV1" s="182"/>
      <c r="QFW1" s="182"/>
      <c r="QFX1" s="182"/>
      <c r="QFY1" s="182"/>
      <c r="QFZ1" s="182"/>
      <c r="QGA1" s="182"/>
      <c r="QGB1" s="182"/>
      <c r="QGC1" s="182"/>
      <c r="QGD1" s="182"/>
      <c r="QGE1" s="182"/>
      <c r="QGF1" s="182"/>
      <c r="QGG1" s="182"/>
      <c r="QGH1" s="182"/>
      <c r="QGI1" s="182"/>
      <c r="QGJ1" s="182"/>
      <c r="QGK1" s="182"/>
      <c r="QGL1" s="182"/>
      <c r="QGM1" s="182"/>
      <c r="QGN1" s="182"/>
      <c r="QGO1" s="182"/>
      <c r="QGP1" s="182"/>
      <c r="QGQ1" s="182"/>
      <c r="QGR1" s="182"/>
      <c r="QGS1" s="182"/>
      <c r="QGT1" s="182"/>
      <c r="QGU1" s="182"/>
      <c r="QGV1" s="182"/>
      <c r="QGW1" s="182"/>
      <c r="QGX1" s="182"/>
      <c r="QGY1" s="182"/>
      <c r="QGZ1" s="182"/>
      <c r="QHA1" s="182"/>
      <c r="QHB1" s="182"/>
      <c r="QHC1" s="182"/>
      <c r="QHD1" s="182"/>
      <c r="QHE1" s="182"/>
      <c r="QHF1" s="182"/>
      <c r="QHG1" s="182"/>
      <c r="QHH1" s="182"/>
      <c r="QHI1" s="182"/>
      <c r="QHJ1" s="182"/>
      <c r="QHK1" s="182"/>
      <c r="QHL1" s="182"/>
      <c r="QHM1" s="182"/>
      <c r="QHN1" s="182"/>
      <c r="QHO1" s="182"/>
      <c r="QHP1" s="182"/>
      <c r="QHQ1" s="182"/>
      <c r="QHR1" s="182"/>
      <c r="QHS1" s="182"/>
      <c r="QHT1" s="182"/>
      <c r="QHU1" s="182"/>
      <c r="QHV1" s="182"/>
      <c r="QHW1" s="182"/>
      <c r="QHX1" s="182"/>
      <c r="QHY1" s="182"/>
      <c r="QHZ1" s="182"/>
      <c r="QIA1" s="182"/>
      <c r="QIB1" s="182"/>
      <c r="QIC1" s="182"/>
      <c r="QID1" s="182"/>
      <c r="QIE1" s="182"/>
      <c r="QIF1" s="182"/>
      <c r="QIG1" s="182"/>
      <c r="QIH1" s="182"/>
      <c r="QII1" s="182"/>
      <c r="QIJ1" s="182"/>
      <c r="QIK1" s="182"/>
      <c r="QIL1" s="182"/>
      <c r="QIM1" s="182"/>
      <c r="QIN1" s="182"/>
      <c r="QIO1" s="182"/>
      <c r="QIP1" s="182"/>
      <c r="QIQ1" s="182"/>
      <c r="QIR1" s="182"/>
      <c r="QIS1" s="182"/>
      <c r="QIT1" s="182"/>
      <c r="QIU1" s="182"/>
      <c r="QIV1" s="182"/>
      <c r="QIW1" s="182"/>
      <c r="QIX1" s="182"/>
      <c r="QIY1" s="182"/>
      <c r="QIZ1" s="182"/>
      <c r="QJA1" s="182"/>
      <c r="QJB1" s="182"/>
      <c r="QJC1" s="182"/>
      <c r="QJD1" s="182"/>
      <c r="QJE1" s="182"/>
      <c r="QJF1" s="182"/>
      <c r="QJG1" s="182"/>
      <c r="QJH1" s="182"/>
      <c r="QJI1" s="182"/>
      <c r="QJJ1" s="182"/>
      <c r="QJK1" s="182"/>
      <c r="QJL1" s="182"/>
      <c r="QJM1" s="182"/>
      <c r="QJN1" s="182"/>
      <c r="QJO1" s="182"/>
      <c r="QJP1" s="182"/>
      <c r="QJQ1" s="182"/>
      <c r="QJR1" s="182"/>
      <c r="QJS1" s="182"/>
      <c r="QJT1" s="182"/>
      <c r="QJU1" s="182"/>
      <c r="QJV1" s="182"/>
      <c r="QJW1" s="182"/>
      <c r="QJX1" s="182"/>
      <c r="QJY1" s="182"/>
      <c r="QJZ1" s="182"/>
      <c r="QKA1" s="182"/>
      <c r="QKB1" s="182"/>
      <c r="QKC1" s="182"/>
      <c r="QKD1" s="182"/>
      <c r="QKE1" s="182"/>
      <c r="QKF1" s="182"/>
      <c r="QKG1" s="182"/>
      <c r="QKH1" s="182"/>
      <c r="QKI1" s="182"/>
      <c r="QKJ1" s="182"/>
      <c r="QKK1" s="182"/>
      <c r="QKL1" s="182"/>
      <c r="QKM1" s="182"/>
      <c r="QKN1" s="182"/>
      <c r="QKO1" s="182"/>
      <c r="QKP1" s="182"/>
      <c r="QKQ1" s="182"/>
      <c r="QKR1" s="182"/>
      <c r="QKS1" s="182"/>
      <c r="QKT1" s="182"/>
      <c r="QKU1" s="182"/>
      <c r="QKV1" s="182"/>
      <c r="QKW1" s="182"/>
      <c r="QKX1" s="182"/>
      <c r="QKY1" s="182"/>
      <c r="QKZ1" s="182"/>
      <c r="QLA1" s="182"/>
      <c r="QLB1" s="182"/>
      <c r="QLC1" s="182"/>
      <c r="QLD1" s="182"/>
      <c r="QLE1" s="182"/>
      <c r="QLF1" s="182"/>
      <c r="QLG1" s="182"/>
      <c r="QLH1" s="182"/>
      <c r="QLI1" s="182"/>
      <c r="QLJ1" s="182"/>
      <c r="QLK1" s="182"/>
      <c r="QLL1" s="182"/>
      <c r="QLM1" s="182"/>
      <c r="QLN1" s="182"/>
      <c r="QLO1" s="182"/>
      <c r="QLP1" s="182"/>
      <c r="QLQ1" s="182"/>
      <c r="QLR1" s="182"/>
      <c r="QLS1" s="182"/>
      <c r="QLT1" s="182"/>
      <c r="QLU1" s="182"/>
      <c r="QLV1" s="182"/>
      <c r="QLW1" s="182"/>
      <c r="QLX1" s="182"/>
      <c r="QLY1" s="182"/>
      <c r="QLZ1" s="182"/>
      <c r="QMA1" s="182"/>
      <c r="QMB1" s="182"/>
      <c r="QMC1" s="182"/>
      <c r="QMD1" s="182"/>
      <c r="QME1" s="182"/>
      <c r="QMF1" s="182"/>
      <c r="QMG1" s="182"/>
      <c r="QMH1" s="182"/>
      <c r="QMI1" s="182"/>
      <c r="QMJ1" s="182"/>
      <c r="QMK1" s="182"/>
      <c r="QML1" s="182"/>
      <c r="QMM1" s="182"/>
      <c r="QMN1" s="182"/>
      <c r="QMO1" s="182"/>
      <c r="QMP1" s="182"/>
      <c r="QMQ1" s="182"/>
      <c r="QMR1" s="182"/>
      <c r="QMS1" s="182"/>
      <c r="QMT1" s="182"/>
      <c r="QMU1" s="182"/>
      <c r="QMV1" s="182"/>
      <c r="QMW1" s="182"/>
      <c r="QMX1" s="182"/>
      <c r="QMY1" s="182"/>
      <c r="QMZ1" s="182"/>
      <c r="QNA1" s="182"/>
      <c r="QNB1" s="182"/>
      <c r="QNC1" s="182"/>
      <c r="QND1" s="182"/>
      <c r="QNE1" s="182"/>
      <c r="QNF1" s="182"/>
      <c r="QNG1" s="182"/>
      <c r="QNH1" s="182"/>
      <c r="QNI1" s="182"/>
      <c r="QNJ1" s="182"/>
      <c r="QNK1" s="182"/>
      <c r="QNL1" s="182"/>
      <c r="QNM1" s="182"/>
      <c r="QNN1" s="182"/>
      <c r="QNO1" s="182"/>
      <c r="QNP1" s="182"/>
      <c r="QNQ1" s="182"/>
      <c r="QNR1" s="182"/>
      <c r="QNS1" s="182"/>
      <c r="QNT1" s="182"/>
      <c r="QNU1" s="182"/>
      <c r="QNV1" s="182"/>
      <c r="QNW1" s="182"/>
      <c r="QNX1" s="182"/>
      <c r="QNY1" s="182"/>
      <c r="QNZ1" s="182"/>
      <c r="QOA1" s="182"/>
      <c r="QOB1" s="182"/>
      <c r="QOC1" s="182"/>
      <c r="QOD1" s="182"/>
      <c r="QOE1" s="182"/>
      <c r="QOF1" s="182"/>
      <c r="QOG1" s="182"/>
      <c r="QOH1" s="182"/>
      <c r="QOI1" s="182"/>
      <c r="QOJ1" s="182"/>
      <c r="QOK1" s="182"/>
      <c r="QOL1" s="182"/>
      <c r="QOM1" s="182"/>
      <c r="QON1" s="182"/>
      <c r="QOO1" s="182"/>
      <c r="QOP1" s="182"/>
      <c r="QOQ1" s="182"/>
      <c r="QOR1" s="182"/>
      <c r="QOS1" s="182"/>
      <c r="QOT1" s="182"/>
      <c r="QOU1" s="182"/>
      <c r="QOV1" s="182"/>
      <c r="QOW1" s="182"/>
      <c r="QOX1" s="182"/>
      <c r="QOY1" s="182"/>
      <c r="QOZ1" s="182"/>
      <c r="QPA1" s="182"/>
      <c r="QPB1" s="182"/>
      <c r="QPC1" s="182"/>
      <c r="QPD1" s="182"/>
      <c r="QPE1" s="182"/>
      <c r="QPF1" s="182"/>
      <c r="QPG1" s="182"/>
      <c r="QPH1" s="182"/>
      <c r="QPI1" s="182"/>
      <c r="QPJ1" s="182"/>
      <c r="QPK1" s="182"/>
      <c r="QPL1" s="182"/>
      <c r="QPM1" s="182"/>
      <c r="QPN1" s="182"/>
      <c r="QPO1" s="182"/>
      <c r="QPP1" s="182"/>
      <c r="QPQ1" s="182"/>
      <c r="QPR1" s="182"/>
      <c r="QPS1" s="182"/>
      <c r="QPT1" s="182"/>
      <c r="QPU1" s="182"/>
      <c r="QPV1" s="182"/>
      <c r="QPW1" s="182"/>
      <c r="QPX1" s="182"/>
      <c r="QPY1" s="182"/>
      <c r="QPZ1" s="182"/>
      <c r="QQA1" s="182"/>
      <c r="QQB1" s="182"/>
      <c r="QQC1" s="182"/>
      <c r="QQD1" s="182"/>
      <c r="QQE1" s="182"/>
      <c r="QQF1" s="182"/>
      <c r="QQG1" s="182"/>
      <c r="QQH1" s="182"/>
      <c r="QQI1" s="182"/>
      <c r="QQJ1" s="182"/>
      <c r="QQK1" s="182"/>
      <c r="QQL1" s="182"/>
      <c r="QQM1" s="182"/>
      <c r="QQN1" s="182"/>
      <c r="QQO1" s="182"/>
      <c r="QQP1" s="182"/>
      <c r="QQQ1" s="182"/>
      <c r="QQR1" s="182"/>
      <c r="QQS1" s="182"/>
      <c r="QQT1" s="182"/>
      <c r="QQU1" s="182"/>
      <c r="QQV1" s="182"/>
      <c r="QQW1" s="182"/>
      <c r="QQX1" s="182"/>
      <c r="QQY1" s="182"/>
      <c r="QQZ1" s="182"/>
      <c r="QRA1" s="182"/>
      <c r="QRB1" s="182"/>
      <c r="QRC1" s="182"/>
      <c r="QRD1" s="182"/>
      <c r="QRE1" s="182"/>
      <c r="QRF1" s="182"/>
      <c r="QRG1" s="182"/>
      <c r="QRH1" s="182"/>
      <c r="QRI1" s="182"/>
      <c r="QRJ1" s="182"/>
      <c r="QRK1" s="182"/>
      <c r="QRL1" s="182"/>
      <c r="QRM1" s="182"/>
      <c r="QRN1" s="182"/>
      <c r="QRO1" s="182"/>
      <c r="QRP1" s="182"/>
      <c r="QRQ1" s="182"/>
      <c r="QRR1" s="182"/>
      <c r="QRS1" s="182"/>
      <c r="QRT1" s="182"/>
      <c r="QRU1" s="182"/>
      <c r="QRV1" s="182"/>
      <c r="QRW1" s="182"/>
      <c r="QRX1" s="182"/>
      <c r="QRY1" s="182"/>
      <c r="QRZ1" s="182"/>
      <c r="QSA1" s="182"/>
      <c r="QSB1" s="182"/>
      <c r="QSC1" s="182"/>
      <c r="QSD1" s="182"/>
      <c r="QSE1" s="182"/>
      <c r="QSF1" s="182"/>
      <c r="QSG1" s="182"/>
      <c r="QSH1" s="182"/>
      <c r="QSI1" s="182"/>
      <c r="QSJ1" s="182"/>
      <c r="QSK1" s="182"/>
      <c r="QSL1" s="182"/>
      <c r="QSM1" s="182"/>
      <c r="QSN1" s="182"/>
      <c r="QSO1" s="182"/>
      <c r="QSP1" s="182"/>
      <c r="QSQ1" s="182"/>
      <c r="QSR1" s="182"/>
      <c r="QSS1" s="182"/>
      <c r="QST1" s="182"/>
      <c r="QSU1" s="182"/>
      <c r="QSV1" s="182"/>
      <c r="QSW1" s="182"/>
      <c r="QSX1" s="182"/>
      <c r="QSY1" s="182"/>
      <c r="QSZ1" s="182"/>
      <c r="QTA1" s="182"/>
      <c r="QTB1" s="182"/>
      <c r="QTC1" s="182"/>
      <c r="QTD1" s="182"/>
      <c r="QTE1" s="182"/>
      <c r="QTF1" s="182"/>
      <c r="QTG1" s="182"/>
      <c r="QTH1" s="182"/>
      <c r="QTI1" s="182"/>
      <c r="QTJ1" s="182"/>
      <c r="QTK1" s="182"/>
      <c r="QTL1" s="182"/>
      <c r="QTM1" s="182"/>
      <c r="QTN1" s="182"/>
      <c r="QTO1" s="182"/>
      <c r="QTP1" s="182"/>
      <c r="QTQ1" s="182"/>
      <c r="QTR1" s="182"/>
      <c r="QTS1" s="182"/>
      <c r="QTT1" s="182"/>
      <c r="QTU1" s="182"/>
      <c r="QTV1" s="182"/>
      <c r="QTW1" s="182"/>
      <c r="QTX1" s="182"/>
      <c r="QTY1" s="182"/>
      <c r="QTZ1" s="182"/>
      <c r="QUA1" s="182"/>
      <c r="QUB1" s="182"/>
      <c r="QUC1" s="182"/>
      <c r="QUD1" s="182"/>
      <c r="QUE1" s="182"/>
      <c r="QUF1" s="182"/>
      <c r="QUG1" s="182"/>
      <c r="QUH1" s="182"/>
      <c r="QUI1" s="182"/>
      <c r="QUJ1" s="182"/>
      <c r="QUK1" s="182"/>
      <c r="QUL1" s="182"/>
      <c r="QUM1" s="182"/>
      <c r="QUN1" s="182"/>
      <c r="QUO1" s="182"/>
      <c r="QUP1" s="182"/>
      <c r="QUQ1" s="182"/>
      <c r="QUR1" s="182"/>
      <c r="QUS1" s="182"/>
      <c r="QUT1" s="182"/>
      <c r="QUU1" s="182"/>
      <c r="QUV1" s="182"/>
      <c r="QUW1" s="182"/>
      <c r="QUX1" s="182"/>
      <c r="QUY1" s="182"/>
      <c r="QUZ1" s="182"/>
      <c r="QVA1" s="182"/>
      <c r="QVB1" s="182"/>
      <c r="QVC1" s="182"/>
      <c r="QVD1" s="182"/>
      <c r="QVE1" s="182"/>
      <c r="QVF1" s="182"/>
      <c r="QVG1" s="182"/>
      <c r="QVH1" s="182"/>
      <c r="QVI1" s="182"/>
      <c r="QVJ1" s="182"/>
      <c r="QVK1" s="182"/>
      <c r="QVL1" s="182"/>
      <c r="QVM1" s="182"/>
      <c r="QVN1" s="182"/>
      <c r="QVO1" s="182"/>
      <c r="QVP1" s="182"/>
      <c r="QVQ1" s="182"/>
      <c r="QVR1" s="182"/>
      <c r="QVS1" s="182"/>
      <c r="QVT1" s="182"/>
      <c r="QVU1" s="182"/>
      <c r="QVV1" s="182"/>
      <c r="QVW1" s="182"/>
      <c r="QVX1" s="182"/>
      <c r="QVY1" s="182"/>
      <c r="QVZ1" s="182"/>
      <c r="QWA1" s="182"/>
      <c r="QWB1" s="182"/>
      <c r="QWC1" s="182"/>
      <c r="QWD1" s="182"/>
      <c r="QWE1" s="182"/>
      <c r="QWF1" s="182"/>
      <c r="QWG1" s="182"/>
      <c r="QWH1" s="182"/>
      <c r="QWI1" s="182"/>
      <c r="QWJ1" s="182"/>
      <c r="QWK1" s="182"/>
      <c r="QWL1" s="182"/>
      <c r="QWM1" s="182"/>
      <c r="QWN1" s="182"/>
      <c r="QWO1" s="182"/>
      <c r="QWP1" s="182"/>
      <c r="QWQ1" s="182"/>
      <c r="QWR1" s="182"/>
      <c r="QWS1" s="182"/>
      <c r="QWT1" s="182"/>
      <c r="QWU1" s="182"/>
      <c r="QWV1" s="182"/>
      <c r="QWW1" s="182"/>
      <c r="QWX1" s="182"/>
      <c r="QWY1" s="182"/>
      <c r="QWZ1" s="182"/>
      <c r="QXA1" s="182"/>
      <c r="QXB1" s="182"/>
      <c r="QXC1" s="182"/>
      <c r="QXD1" s="182"/>
      <c r="QXE1" s="182"/>
      <c r="QXF1" s="182"/>
      <c r="QXG1" s="182"/>
      <c r="QXH1" s="182"/>
      <c r="QXI1" s="182"/>
      <c r="QXJ1" s="182"/>
      <c r="QXK1" s="182"/>
      <c r="QXL1" s="182"/>
      <c r="QXM1" s="182"/>
      <c r="QXN1" s="182"/>
      <c r="QXO1" s="182"/>
      <c r="QXP1" s="182"/>
      <c r="QXQ1" s="182"/>
      <c r="QXR1" s="182"/>
      <c r="QXS1" s="182"/>
      <c r="QXT1" s="182"/>
      <c r="QXU1" s="182"/>
      <c r="QXV1" s="182"/>
      <c r="QXW1" s="182"/>
      <c r="QXX1" s="182"/>
      <c r="QXY1" s="182"/>
      <c r="QXZ1" s="182"/>
      <c r="QYA1" s="182"/>
      <c r="QYB1" s="182"/>
      <c r="QYC1" s="182"/>
      <c r="QYD1" s="182"/>
      <c r="QYE1" s="182"/>
      <c r="QYF1" s="182"/>
      <c r="QYG1" s="182"/>
      <c r="QYH1" s="182"/>
      <c r="QYI1" s="182"/>
      <c r="QYJ1" s="182"/>
      <c r="QYK1" s="182"/>
      <c r="QYL1" s="182"/>
      <c r="QYM1" s="182"/>
      <c r="QYN1" s="182"/>
      <c r="QYO1" s="182"/>
      <c r="QYP1" s="182"/>
      <c r="QYQ1" s="182"/>
      <c r="QYR1" s="182"/>
      <c r="QYS1" s="182"/>
      <c r="QYT1" s="182"/>
      <c r="QYU1" s="182"/>
      <c r="QYV1" s="182"/>
      <c r="QYW1" s="182"/>
      <c r="QYX1" s="182"/>
      <c r="QYY1" s="182"/>
      <c r="QYZ1" s="182"/>
      <c r="QZA1" s="182"/>
      <c r="QZB1" s="182"/>
      <c r="QZC1" s="182"/>
      <c r="QZD1" s="182"/>
      <c r="QZE1" s="182"/>
      <c r="QZF1" s="182"/>
      <c r="QZG1" s="182"/>
      <c r="QZH1" s="182"/>
      <c r="QZI1" s="182"/>
      <c r="QZJ1" s="182"/>
      <c r="QZK1" s="182"/>
      <c r="QZL1" s="182"/>
      <c r="QZM1" s="182"/>
      <c r="QZN1" s="182"/>
      <c r="QZO1" s="182"/>
      <c r="QZP1" s="182"/>
      <c r="QZQ1" s="182"/>
      <c r="QZR1" s="182"/>
      <c r="QZS1" s="182"/>
      <c r="QZT1" s="182"/>
      <c r="QZU1" s="182"/>
      <c r="QZV1" s="182"/>
      <c r="QZW1" s="182"/>
      <c r="QZX1" s="182"/>
      <c r="QZY1" s="182"/>
      <c r="QZZ1" s="182"/>
      <c r="RAA1" s="182"/>
      <c r="RAB1" s="182"/>
      <c r="RAC1" s="182"/>
      <c r="RAD1" s="182"/>
      <c r="RAE1" s="182"/>
      <c r="RAF1" s="182"/>
      <c r="RAG1" s="182"/>
      <c r="RAH1" s="182"/>
      <c r="RAI1" s="182"/>
      <c r="RAJ1" s="182"/>
      <c r="RAK1" s="182"/>
      <c r="RAL1" s="182"/>
      <c r="RAM1" s="182"/>
      <c r="RAN1" s="182"/>
      <c r="RAO1" s="182"/>
      <c r="RAP1" s="182"/>
      <c r="RAQ1" s="182"/>
      <c r="RAR1" s="182"/>
      <c r="RAS1" s="182"/>
      <c r="RAT1" s="182"/>
      <c r="RAU1" s="182"/>
      <c r="RAV1" s="182"/>
      <c r="RAW1" s="182"/>
      <c r="RAX1" s="182"/>
      <c r="RAY1" s="182"/>
      <c r="RAZ1" s="182"/>
      <c r="RBA1" s="182"/>
      <c r="RBB1" s="182"/>
      <c r="RBC1" s="182"/>
      <c r="RBD1" s="182"/>
      <c r="RBE1" s="182"/>
      <c r="RBF1" s="182"/>
      <c r="RBG1" s="182"/>
      <c r="RBH1" s="182"/>
      <c r="RBI1" s="182"/>
      <c r="RBJ1" s="182"/>
      <c r="RBK1" s="182"/>
      <c r="RBL1" s="182"/>
      <c r="RBM1" s="182"/>
      <c r="RBN1" s="182"/>
      <c r="RBO1" s="182"/>
      <c r="RBP1" s="182"/>
      <c r="RBQ1" s="182"/>
      <c r="RBR1" s="182"/>
      <c r="RBS1" s="182"/>
      <c r="RBT1" s="182"/>
      <c r="RBU1" s="182"/>
      <c r="RBV1" s="182"/>
      <c r="RBW1" s="182"/>
      <c r="RBX1" s="182"/>
      <c r="RBY1" s="182"/>
      <c r="RBZ1" s="182"/>
      <c r="RCA1" s="182"/>
      <c r="RCB1" s="182"/>
      <c r="RCC1" s="182"/>
      <c r="RCD1" s="182"/>
      <c r="RCE1" s="182"/>
      <c r="RCF1" s="182"/>
      <c r="RCG1" s="182"/>
      <c r="RCH1" s="182"/>
      <c r="RCI1" s="182"/>
      <c r="RCJ1" s="182"/>
      <c r="RCK1" s="182"/>
      <c r="RCL1" s="182"/>
      <c r="RCM1" s="182"/>
      <c r="RCN1" s="182"/>
      <c r="RCO1" s="182"/>
      <c r="RCP1" s="182"/>
      <c r="RCQ1" s="182"/>
      <c r="RCR1" s="182"/>
      <c r="RCS1" s="182"/>
      <c r="RCT1" s="182"/>
      <c r="RCU1" s="182"/>
      <c r="RCV1" s="182"/>
      <c r="RCW1" s="182"/>
      <c r="RCX1" s="182"/>
      <c r="RCY1" s="182"/>
      <c r="RCZ1" s="182"/>
      <c r="RDA1" s="182"/>
      <c r="RDB1" s="182"/>
      <c r="RDC1" s="182"/>
      <c r="RDD1" s="182"/>
      <c r="RDE1" s="182"/>
      <c r="RDF1" s="182"/>
      <c r="RDG1" s="182"/>
      <c r="RDH1" s="182"/>
      <c r="RDI1" s="182"/>
      <c r="RDJ1" s="182"/>
      <c r="RDK1" s="182"/>
      <c r="RDL1" s="182"/>
      <c r="RDM1" s="182"/>
      <c r="RDN1" s="182"/>
      <c r="RDO1" s="182"/>
      <c r="RDP1" s="182"/>
      <c r="RDQ1" s="182"/>
      <c r="RDR1" s="182"/>
      <c r="RDS1" s="182"/>
      <c r="RDT1" s="182"/>
      <c r="RDU1" s="182"/>
      <c r="RDV1" s="182"/>
      <c r="RDW1" s="182"/>
      <c r="RDX1" s="182"/>
      <c r="RDY1" s="182"/>
      <c r="RDZ1" s="182"/>
      <c r="REA1" s="182"/>
      <c r="REB1" s="182"/>
      <c r="REC1" s="182"/>
      <c r="RED1" s="182"/>
      <c r="REE1" s="182"/>
      <c r="REF1" s="182"/>
      <c r="REG1" s="182"/>
      <c r="REH1" s="182"/>
      <c r="REI1" s="182"/>
      <c r="REJ1" s="182"/>
      <c r="REK1" s="182"/>
      <c r="REL1" s="182"/>
      <c r="REM1" s="182"/>
      <c r="REN1" s="182"/>
      <c r="REO1" s="182"/>
      <c r="REP1" s="182"/>
      <c r="REQ1" s="182"/>
      <c r="RER1" s="182"/>
      <c r="RES1" s="182"/>
      <c r="RET1" s="182"/>
      <c r="REU1" s="182"/>
      <c r="REV1" s="182"/>
      <c r="REW1" s="182"/>
      <c r="REX1" s="182"/>
      <c r="REY1" s="182"/>
      <c r="REZ1" s="182"/>
      <c r="RFA1" s="182"/>
      <c r="RFB1" s="182"/>
      <c r="RFC1" s="182"/>
      <c r="RFD1" s="182"/>
      <c r="RFE1" s="182"/>
      <c r="RFF1" s="182"/>
      <c r="RFG1" s="182"/>
      <c r="RFH1" s="182"/>
      <c r="RFI1" s="182"/>
      <c r="RFJ1" s="182"/>
      <c r="RFK1" s="182"/>
      <c r="RFL1" s="182"/>
      <c r="RFM1" s="182"/>
      <c r="RFN1" s="182"/>
      <c r="RFO1" s="182"/>
      <c r="RFP1" s="182"/>
      <c r="RFQ1" s="182"/>
      <c r="RFR1" s="182"/>
      <c r="RFS1" s="182"/>
      <c r="RFT1" s="182"/>
      <c r="RFU1" s="182"/>
      <c r="RFV1" s="182"/>
      <c r="RFW1" s="182"/>
      <c r="RFX1" s="182"/>
      <c r="RFY1" s="182"/>
      <c r="RFZ1" s="182"/>
      <c r="RGA1" s="182"/>
      <c r="RGB1" s="182"/>
      <c r="RGC1" s="182"/>
      <c r="RGD1" s="182"/>
      <c r="RGE1" s="182"/>
      <c r="RGF1" s="182"/>
      <c r="RGG1" s="182"/>
      <c r="RGH1" s="182"/>
      <c r="RGI1" s="182"/>
      <c r="RGJ1" s="182"/>
      <c r="RGK1" s="182"/>
      <c r="RGL1" s="182"/>
      <c r="RGM1" s="182"/>
      <c r="RGN1" s="182"/>
      <c r="RGO1" s="182"/>
      <c r="RGP1" s="182"/>
      <c r="RGQ1" s="182"/>
      <c r="RGR1" s="182"/>
      <c r="RGS1" s="182"/>
      <c r="RGT1" s="182"/>
      <c r="RGU1" s="182"/>
      <c r="RGV1" s="182"/>
      <c r="RGW1" s="182"/>
      <c r="RGX1" s="182"/>
      <c r="RGY1" s="182"/>
      <c r="RGZ1" s="182"/>
      <c r="RHA1" s="182"/>
      <c r="RHB1" s="182"/>
      <c r="RHC1" s="182"/>
      <c r="RHD1" s="182"/>
      <c r="RHE1" s="182"/>
      <c r="RHF1" s="182"/>
      <c r="RHG1" s="182"/>
      <c r="RHH1" s="182"/>
      <c r="RHI1" s="182"/>
      <c r="RHJ1" s="182"/>
      <c r="RHK1" s="182"/>
      <c r="RHL1" s="182"/>
      <c r="RHM1" s="182"/>
      <c r="RHN1" s="182"/>
      <c r="RHO1" s="182"/>
      <c r="RHP1" s="182"/>
      <c r="RHQ1" s="182"/>
      <c r="RHR1" s="182"/>
      <c r="RHS1" s="182"/>
      <c r="RHT1" s="182"/>
      <c r="RHU1" s="182"/>
      <c r="RHV1" s="182"/>
      <c r="RHW1" s="182"/>
      <c r="RHX1" s="182"/>
      <c r="RHY1" s="182"/>
      <c r="RHZ1" s="182"/>
      <c r="RIA1" s="182"/>
      <c r="RIB1" s="182"/>
      <c r="RIC1" s="182"/>
      <c r="RID1" s="182"/>
      <c r="RIE1" s="182"/>
      <c r="RIF1" s="182"/>
      <c r="RIG1" s="182"/>
      <c r="RIH1" s="182"/>
      <c r="RII1" s="182"/>
      <c r="RIJ1" s="182"/>
      <c r="RIK1" s="182"/>
      <c r="RIL1" s="182"/>
      <c r="RIM1" s="182"/>
      <c r="RIN1" s="182"/>
      <c r="RIO1" s="182"/>
      <c r="RIP1" s="182"/>
      <c r="RIQ1" s="182"/>
      <c r="RIR1" s="182"/>
      <c r="RIS1" s="182"/>
      <c r="RIT1" s="182"/>
      <c r="RIU1" s="182"/>
      <c r="RIV1" s="182"/>
      <c r="RIW1" s="182"/>
      <c r="RIX1" s="182"/>
      <c r="RIY1" s="182"/>
      <c r="RIZ1" s="182"/>
      <c r="RJA1" s="182"/>
      <c r="RJB1" s="182"/>
      <c r="RJC1" s="182"/>
      <c r="RJD1" s="182"/>
      <c r="RJE1" s="182"/>
      <c r="RJF1" s="182"/>
      <c r="RJG1" s="182"/>
      <c r="RJH1" s="182"/>
      <c r="RJI1" s="182"/>
      <c r="RJJ1" s="182"/>
      <c r="RJK1" s="182"/>
      <c r="RJL1" s="182"/>
      <c r="RJM1" s="182"/>
      <c r="RJN1" s="182"/>
      <c r="RJO1" s="182"/>
      <c r="RJP1" s="182"/>
      <c r="RJQ1" s="182"/>
      <c r="RJR1" s="182"/>
      <c r="RJS1" s="182"/>
      <c r="RJT1" s="182"/>
      <c r="RJU1" s="182"/>
      <c r="RJV1" s="182"/>
      <c r="RJW1" s="182"/>
      <c r="RJX1" s="182"/>
      <c r="RJY1" s="182"/>
      <c r="RJZ1" s="182"/>
      <c r="RKA1" s="182"/>
      <c r="RKB1" s="182"/>
      <c r="RKC1" s="182"/>
      <c r="RKD1" s="182"/>
      <c r="RKE1" s="182"/>
      <c r="RKF1" s="182"/>
      <c r="RKG1" s="182"/>
      <c r="RKH1" s="182"/>
      <c r="RKI1" s="182"/>
      <c r="RKJ1" s="182"/>
      <c r="RKK1" s="182"/>
      <c r="RKL1" s="182"/>
      <c r="RKM1" s="182"/>
      <c r="RKN1" s="182"/>
      <c r="RKO1" s="182"/>
      <c r="RKP1" s="182"/>
      <c r="RKQ1" s="182"/>
      <c r="RKR1" s="182"/>
      <c r="RKS1" s="182"/>
      <c r="RKT1" s="182"/>
      <c r="RKU1" s="182"/>
      <c r="RKV1" s="182"/>
      <c r="RKW1" s="182"/>
      <c r="RKX1" s="182"/>
      <c r="RKY1" s="182"/>
      <c r="RKZ1" s="182"/>
      <c r="RLA1" s="182"/>
      <c r="RLB1" s="182"/>
      <c r="RLC1" s="182"/>
      <c r="RLD1" s="182"/>
      <c r="RLE1" s="182"/>
      <c r="RLF1" s="182"/>
      <c r="RLG1" s="182"/>
      <c r="RLH1" s="182"/>
      <c r="RLI1" s="182"/>
      <c r="RLJ1" s="182"/>
      <c r="RLK1" s="182"/>
      <c r="RLL1" s="182"/>
      <c r="RLM1" s="182"/>
      <c r="RLN1" s="182"/>
      <c r="RLO1" s="182"/>
      <c r="RLP1" s="182"/>
      <c r="RLQ1" s="182"/>
      <c r="RLR1" s="182"/>
      <c r="RLS1" s="182"/>
      <c r="RLT1" s="182"/>
      <c r="RLU1" s="182"/>
      <c r="RLV1" s="182"/>
      <c r="RLW1" s="182"/>
      <c r="RLX1" s="182"/>
      <c r="RLY1" s="182"/>
      <c r="RLZ1" s="182"/>
      <c r="RMA1" s="182"/>
      <c r="RMB1" s="182"/>
      <c r="RMC1" s="182"/>
      <c r="RMD1" s="182"/>
      <c r="RME1" s="182"/>
      <c r="RMF1" s="182"/>
      <c r="RMG1" s="182"/>
      <c r="RMH1" s="182"/>
      <c r="RMI1" s="182"/>
      <c r="RMJ1" s="182"/>
      <c r="RMK1" s="182"/>
      <c r="RML1" s="182"/>
      <c r="RMM1" s="182"/>
      <c r="RMN1" s="182"/>
      <c r="RMO1" s="182"/>
      <c r="RMP1" s="182"/>
      <c r="RMQ1" s="182"/>
      <c r="RMR1" s="182"/>
      <c r="RMS1" s="182"/>
      <c r="RMT1" s="182"/>
      <c r="RMU1" s="182"/>
      <c r="RMV1" s="182"/>
      <c r="RMW1" s="182"/>
      <c r="RMX1" s="182"/>
      <c r="RMY1" s="182"/>
      <c r="RMZ1" s="182"/>
      <c r="RNA1" s="182"/>
      <c r="RNB1" s="182"/>
      <c r="RNC1" s="182"/>
      <c r="RND1" s="182"/>
      <c r="RNE1" s="182"/>
      <c r="RNF1" s="182"/>
      <c r="RNG1" s="182"/>
      <c r="RNH1" s="182"/>
      <c r="RNI1" s="182"/>
      <c r="RNJ1" s="182"/>
      <c r="RNK1" s="182"/>
      <c r="RNL1" s="182"/>
      <c r="RNM1" s="182"/>
      <c r="RNN1" s="182"/>
      <c r="RNO1" s="182"/>
      <c r="RNP1" s="182"/>
      <c r="RNQ1" s="182"/>
      <c r="RNR1" s="182"/>
      <c r="RNS1" s="182"/>
      <c r="RNT1" s="182"/>
      <c r="RNU1" s="182"/>
      <c r="RNV1" s="182"/>
      <c r="RNW1" s="182"/>
      <c r="RNX1" s="182"/>
      <c r="RNY1" s="182"/>
      <c r="RNZ1" s="182"/>
      <c r="ROA1" s="182"/>
      <c r="ROB1" s="182"/>
      <c r="ROC1" s="182"/>
      <c r="ROD1" s="182"/>
      <c r="ROE1" s="182"/>
      <c r="ROF1" s="182"/>
      <c r="ROG1" s="182"/>
      <c r="ROH1" s="182"/>
      <c r="ROI1" s="182"/>
      <c r="ROJ1" s="182"/>
      <c r="ROK1" s="182"/>
      <c r="ROL1" s="182"/>
      <c r="ROM1" s="182"/>
      <c r="RON1" s="182"/>
      <c r="ROO1" s="182"/>
      <c r="ROP1" s="182"/>
      <c r="ROQ1" s="182"/>
      <c r="ROR1" s="182"/>
      <c r="ROS1" s="182"/>
      <c r="ROT1" s="182"/>
      <c r="ROU1" s="182"/>
      <c r="ROV1" s="182"/>
      <c r="ROW1" s="182"/>
      <c r="ROX1" s="182"/>
      <c r="ROY1" s="182"/>
      <c r="ROZ1" s="182"/>
      <c r="RPA1" s="182"/>
      <c r="RPB1" s="182"/>
      <c r="RPC1" s="182"/>
      <c r="RPD1" s="182"/>
      <c r="RPE1" s="182"/>
      <c r="RPF1" s="182"/>
      <c r="RPG1" s="182"/>
      <c r="RPH1" s="182"/>
      <c r="RPI1" s="182"/>
      <c r="RPJ1" s="182"/>
      <c r="RPK1" s="182"/>
      <c r="RPL1" s="182"/>
      <c r="RPM1" s="182"/>
      <c r="RPN1" s="182"/>
      <c r="RPO1" s="182"/>
      <c r="RPP1" s="182"/>
      <c r="RPQ1" s="182"/>
      <c r="RPR1" s="182"/>
      <c r="RPS1" s="182"/>
      <c r="RPT1" s="182"/>
      <c r="RPU1" s="182"/>
      <c r="RPV1" s="182"/>
      <c r="RPW1" s="182"/>
      <c r="RPX1" s="182"/>
      <c r="RPY1" s="182"/>
      <c r="RPZ1" s="182"/>
      <c r="RQA1" s="182"/>
      <c r="RQB1" s="182"/>
      <c r="RQC1" s="182"/>
      <c r="RQD1" s="182"/>
      <c r="RQE1" s="182"/>
      <c r="RQF1" s="182"/>
      <c r="RQG1" s="182"/>
      <c r="RQH1" s="182"/>
      <c r="RQI1" s="182"/>
      <c r="RQJ1" s="182"/>
      <c r="RQK1" s="182"/>
      <c r="RQL1" s="182"/>
      <c r="RQM1" s="182"/>
      <c r="RQN1" s="182"/>
      <c r="RQO1" s="182"/>
      <c r="RQP1" s="182"/>
      <c r="RQQ1" s="182"/>
      <c r="RQR1" s="182"/>
      <c r="RQS1" s="182"/>
      <c r="RQT1" s="182"/>
      <c r="RQU1" s="182"/>
      <c r="RQV1" s="182"/>
      <c r="RQW1" s="182"/>
      <c r="RQX1" s="182"/>
      <c r="RQY1" s="182"/>
      <c r="RQZ1" s="182"/>
      <c r="RRA1" s="182"/>
      <c r="RRB1" s="182"/>
      <c r="RRC1" s="182"/>
      <c r="RRD1" s="182"/>
      <c r="RRE1" s="182"/>
      <c r="RRF1" s="182"/>
      <c r="RRG1" s="182"/>
      <c r="RRH1" s="182"/>
      <c r="RRI1" s="182"/>
      <c r="RRJ1" s="182"/>
      <c r="RRK1" s="182"/>
      <c r="RRL1" s="182"/>
      <c r="RRM1" s="182"/>
      <c r="RRN1" s="182"/>
      <c r="RRO1" s="182"/>
      <c r="RRP1" s="182"/>
      <c r="RRQ1" s="182"/>
      <c r="RRR1" s="182"/>
      <c r="RRS1" s="182"/>
      <c r="RRT1" s="182"/>
      <c r="RRU1" s="182"/>
      <c r="RRV1" s="182"/>
      <c r="RRW1" s="182"/>
      <c r="RRX1" s="182"/>
      <c r="RRY1" s="182"/>
      <c r="RRZ1" s="182"/>
      <c r="RSA1" s="182"/>
      <c r="RSB1" s="182"/>
      <c r="RSC1" s="182"/>
      <c r="RSD1" s="182"/>
      <c r="RSE1" s="182"/>
      <c r="RSF1" s="182"/>
      <c r="RSG1" s="182"/>
      <c r="RSH1" s="182"/>
      <c r="RSI1" s="182"/>
      <c r="RSJ1" s="182"/>
      <c r="RSK1" s="182"/>
      <c r="RSL1" s="182"/>
      <c r="RSM1" s="182"/>
      <c r="RSN1" s="182"/>
      <c r="RSO1" s="182"/>
      <c r="RSP1" s="182"/>
      <c r="RSQ1" s="182"/>
      <c r="RSR1" s="182"/>
      <c r="RSS1" s="182"/>
      <c r="RST1" s="182"/>
      <c r="RSU1" s="182"/>
      <c r="RSV1" s="182"/>
      <c r="RSW1" s="182"/>
      <c r="RSX1" s="182"/>
      <c r="RSY1" s="182"/>
      <c r="RSZ1" s="182"/>
      <c r="RTA1" s="182"/>
      <c r="RTB1" s="182"/>
      <c r="RTC1" s="182"/>
      <c r="RTD1" s="182"/>
      <c r="RTE1" s="182"/>
      <c r="RTF1" s="182"/>
      <c r="RTG1" s="182"/>
      <c r="RTH1" s="182"/>
      <c r="RTI1" s="182"/>
      <c r="RTJ1" s="182"/>
      <c r="RTK1" s="182"/>
      <c r="RTL1" s="182"/>
      <c r="RTM1" s="182"/>
      <c r="RTN1" s="182"/>
      <c r="RTO1" s="182"/>
      <c r="RTP1" s="182"/>
      <c r="RTQ1" s="182"/>
      <c r="RTR1" s="182"/>
      <c r="RTS1" s="182"/>
      <c r="RTT1" s="182"/>
      <c r="RTU1" s="182"/>
      <c r="RTV1" s="182"/>
      <c r="RTW1" s="182"/>
      <c r="RTX1" s="182"/>
      <c r="RTY1" s="182"/>
      <c r="RTZ1" s="182"/>
      <c r="RUA1" s="182"/>
      <c r="RUB1" s="182"/>
      <c r="RUC1" s="182"/>
      <c r="RUD1" s="182"/>
      <c r="RUE1" s="182"/>
      <c r="RUF1" s="182"/>
      <c r="RUG1" s="182"/>
      <c r="RUH1" s="182"/>
      <c r="RUI1" s="182"/>
      <c r="RUJ1" s="182"/>
      <c r="RUK1" s="182"/>
      <c r="RUL1" s="182"/>
      <c r="RUM1" s="182"/>
      <c r="RUN1" s="182"/>
      <c r="RUO1" s="182"/>
      <c r="RUP1" s="182"/>
      <c r="RUQ1" s="182"/>
      <c r="RUR1" s="182"/>
      <c r="RUS1" s="182"/>
      <c r="RUT1" s="182"/>
      <c r="RUU1" s="182"/>
      <c r="RUV1" s="182"/>
      <c r="RUW1" s="182"/>
      <c r="RUX1" s="182"/>
      <c r="RUY1" s="182"/>
      <c r="RUZ1" s="182"/>
      <c r="RVA1" s="182"/>
      <c r="RVB1" s="182"/>
      <c r="RVC1" s="182"/>
      <c r="RVD1" s="182"/>
      <c r="RVE1" s="182"/>
      <c r="RVF1" s="182"/>
      <c r="RVG1" s="182"/>
      <c r="RVH1" s="182"/>
      <c r="RVI1" s="182"/>
      <c r="RVJ1" s="182"/>
      <c r="RVK1" s="182"/>
      <c r="RVL1" s="182"/>
      <c r="RVM1" s="182"/>
      <c r="RVN1" s="182"/>
      <c r="RVO1" s="182"/>
      <c r="RVP1" s="182"/>
      <c r="RVQ1" s="182"/>
      <c r="RVR1" s="182"/>
      <c r="RVS1" s="182"/>
      <c r="RVT1" s="182"/>
      <c r="RVU1" s="182"/>
      <c r="RVV1" s="182"/>
      <c r="RVW1" s="182"/>
      <c r="RVX1" s="182"/>
      <c r="RVY1" s="182"/>
      <c r="RVZ1" s="182"/>
      <c r="RWA1" s="182"/>
      <c r="RWB1" s="182"/>
      <c r="RWC1" s="182"/>
      <c r="RWD1" s="182"/>
      <c r="RWE1" s="182"/>
      <c r="RWF1" s="182"/>
      <c r="RWG1" s="182"/>
      <c r="RWH1" s="182"/>
      <c r="RWI1" s="182"/>
      <c r="RWJ1" s="182"/>
      <c r="RWK1" s="182"/>
      <c r="RWL1" s="182"/>
      <c r="RWM1" s="182"/>
      <c r="RWN1" s="182"/>
      <c r="RWO1" s="182"/>
      <c r="RWP1" s="182"/>
      <c r="RWQ1" s="182"/>
      <c r="RWR1" s="182"/>
      <c r="RWS1" s="182"/>
      <c r="RWT1" s="182"/>
      <c r="RWU1" s="182"/>
      <c r="RWV1" s="182"/>
      <c r="RWW1" s="182"/>
      <c r="RWX1" s="182"/>
      <c r="RWY1" s="182"/>
      <c r="RWZ1" s="182"/>
      <c r="RXA1" s="182"/>
      <c r="RXB1" s="182"/>
      <c r="RXC1" s="182"/>
      <c r="RXD1" s="182"/>
      <c r="RXE1" s="182"/>
      <c r="RXF1" s="182"/>
      <c r="RXG1" s="182"/>
      <c r="RXH1" s="182"/>
      <c r="RXI1" s="182"/>
      <c r="RXJ1" s="182"/>
      <c r="RXK1" s="182"/>
      <c r="RXL1" s="182"/>
      <c r="RXM1" s="182"/>
      <c r="RXN1" s="182"/>
      <c r="RXO1" s="182"/>
      <c r="RXP1" s="182"/>
      <c r="RXQ1" s="182"/>
      <c r="RXR1" s="182"/>
      <c r="RXS1" s="182"/>
      <c r="RXT1" s="182"/>
      <c r="RXU1" s="182"/>
      <c r="RXV1" s="182"/>
      <c r="RXW1" s="182"/>
      <c r="RXX1" s="182"/>
      <c r="RXY1" s="182"/>
      <c r="RXZ1" s="182"/>
      <c r="RYA1" s="182"/>
      <c r="RYB1" s="182"/>
      <c r="RYC1" s="182"/>
      <c r="RYD1" s="182"/>
      <c r="RYE1" s="182"/>
      <c r="RYF1" s="182"/>
      <c r="RYG1" s="182"/>
      <c r="RYH1" s="182"/>
      <c r="RYI1" s="182"/>
      <c r="RYJ1" s="182"/>
      <c r="RYK1" s="182"/>
      <c r="RYL1" s="182"/>
      <c r="RYM1" s="182"/>
      <c r="RYN1" s="182"/>
      <c r="RYO1" s="182"/>
      <c r="RYP1" s="182"/>
      <c r="RYQ1" s="182"/>
      <c r="RYR1" s="182"/>
      <c r="RYS1" s="182"/>
      <c r="RYT1" s="182"/>
      <c r="RYU1" s="182"/>
      <c r="RYV1" s="182"/>
      <c r="RYW1" s="182"/>
      <c r="RYX1" s="182"/>
      <c r="RYY1" s="182"/>
      <c r="RYZ1" s="182"/>
      <c r="RZA1" s="182"/>
      <c r="RZB1" s="182"/>
      <c r="RZC1" s="182"/>
      <c r="RZD1" s="182"/>
      <c r="RZE1" s="182"/>
      <c r="RZF1" s="182"/>
      <c r="RZG1" s="182"/>
      <c r="RZH1" s="182"/>
      <c r="RZI1" s="182"/>
      <c r="RZJ1" s="182"/>
      <c r="RZK1" s="182"/>
      <c r="RZL1" s="182"/>
      <c r="RZM1" s="182"/>
      <c r="RZN1" s="182"/>
      <c r="RZO1" s="182"/>
      <c r="RZP1" s="182"/>
      <c r="RZQ1" s="182"/>
      <c r="RZR1" s="182"/>
      <c r="RZS1" s="182"/>
      <c r="RZT1" s="182"/>
      <c r="RZU1" s="182"/>
      <c r="RZV1" s="182"/>
      <c r="RZW1" s="182"/>
      <c r="RZX1" s="182"/>
      <c r="RZY1" s="182"/>
      <c r="RZZ1" s="182"/>
      <c r="SAA1" s="182"/>
      <c r="SAB1" s="182"/>
      <c r="SAC1" s="182"/>
      <c r="SAD1" s="182"/>
      <c r="SAE1" s="182"/>
      <c r="SAF1" s="182"/>
      <c r="SAG1" s="182"/>
      <c r="SAH1" s="182"/>
      <c r="SAI1" s="182"/>
      <c r="SAJ1" s="182"/>
      <c r="SAK1" s="182"/>
      <c r="SAL1" s="182"/>
      <c r="SAM1" s="182"/>
      <c r="SAN1" s="182"/>
      <c r="SAO1" s="182"/>
      <c r="SAP1" s="182"/>
      <c r="SAQ1" s="182"/>
      <c r="SAR1" s="182"/>
      <c r="SAS1" s="182"/>
      <c r="SAT1" s="182"/>
      <c r="SAU1" s="182"/>
      <c r="SAV1" s="182"/>
      <c r="SAW1" s="182"/>
      <c r="SAX1" s="182"/>
      <c r="SAY1" s="182"/>
      <c r="SAZ1" s="182"/>
      <c r="SBA1" s="182"/>
      <c r="SBB1" s="182"/>
      <c r="SBC1" s="182"/>
      <c r="SBD1" s="182"/>
      <c r="SBE1" s="182"/>
      <c r="SBF1" s="182"/>
      <c r="SBG1" s="182"/>
      <c r="SBH1" s="182"/>
      <c r="SBI1" s="182"/>
      <c r="SBJ1" s="182"/>
      <c r="SBK1" s="182"/>
      <c r="SBL1" s="182"/>
      <c r="SBM1" s="182"/>
      <c r="SBN1" s="182"/>
      <c r="SBO1" s="182"/>
      <c r="SBP1" s="182"/>
      <c r="SBQ1" s="182"/>
      <c r="SBR1" s="182"/>
      <c r="SBS1" s="182"/>
      <c r="SBT1" s="182"/>
      <c r="SBU1" s="182"/>
      <c r="SBV1" s="182"/>
      <c r="SBW1" s="182"/>
      <c r="SBX1" s="182"/>
      <c r="SBY1" s="182"/>
      <c r="SBZ1" s="182"/>
      <c r="SCA1" s="182"/>
      <c r="SCB1" s="182"/>
      <c r="SCC1" s="182"/>
      <c r="SCD1" s="182"/>
      <c r="SCE1" s="182"/>
      <c r="SCF1" s="182"/>
      <c r="SCG1" s="182"/>
      <c r="SCH1" s="182"/>
      <c r="SCI1" s="182"/>
      <c r="SCJ1" s="182"/>
      <c r="SCK1" s="182"/>
      <c r="SCL1" s="182"/>
      <c r="SCM1" s="182"/>
      <c r="SCN1" s="182"/>
      <c r="SCO1" s="182"/>
      <c r="SCP1" s="182"/>
      <c r="SCQ1" s="182"/>
      <c r="SCR1" s="182"/>
      <c r="SCS1" s="182"/>
      <c r="SCT1" s="182"/>
      <c r="SCU1" s="182"/>
      <c r="SCV1" s="182"/>
      <c r="SCW1" s="182"/>
      <c r="SCX1" s="182"/>
      <c r="SCY1" s="182"/>
      <c r="SCZ1" s="182"/>
      <c r="SDA1" s="182"/>
      <c r="SDB1" s="182"/>
      <c r="SDC1" s="182"/>
      <c r="SDD1" s="182"/>
      <c r="SDE1" s="182"/>
      <c r="SDF1" s="182"/>
      <c r="SDG1" s="182"/>
      <c r="SDH1" s="182"/>
      <c r="SDI1" s="182"/>
      <c r="SDJ1" s="182"/>
      <c r="SDK1" s="182"/>
      <c r="SDL1" s="182"/>
      <c r="SDM1" s="182"/>
      <c r="SDN1" s="182"/>
      <c r="SDO1" s="182"/>
      <c r="SDP1" s="182"/>
      <c r="SDQ1" s="182"/>
      <c r="SDR1" s="182"/>
      <c r="SDS1" s="182"/>
      <c r="SDT1" s="182"/>
      <c r="SDU1" s="182"/>
      <c r="SDV1" s="182"/>
      <c r="SDW1" s="182"/>
      <c r="SDX1" s="182"/>
      <c r="SDY1" s="182"/>
      <c r="SDZ1" s="182"/>
      <c r="SEA1" s="182"/>
      <c r="SEB1" s="182"/>
      <c r="SEC1" s="182"/>
      <c r="SED1" s="182"/>
      <c r="SEE1" s="182"/>
      <c r="SEF1" s="182"/>
      <c r="SEG1" s="182"/>
      <c r="SEH1" s="182"/>
      <c r="SEI1" s="182"/>
      <c r="SEJ1" s="182"/>
      <c r="SEK1" s="182"/>
      <c r="SEL1" s="182"/>
      <c r="SEM1" s="182"/>
      <c r="SEN1" s="182"/>
      <c r="SEO1" s="182"/>
      <c r="SEP1" s="182"/>
      <c r="SEQ1" s="182"/>
      <c r="SER1" s="182"/>
      <c r="SES1" s="182"/>
      <c r="SET1" s="182"/>
      <c r="SEU1" s="182"/>
      <c r="SEV1" s="182"/>
      <c r="SEW1" s="182"/>
      <c r="SEX1" s="182"/>
      <c r="SEY1" s="182"/>
      <c r="SEZ1" s="182"/>
      <c r="SFA1" s="182"/>
      <c r="SFB1" s="182"/>
      <c r="SFC1" s="182"/>
      <c r="SFD1" s="182"/>
      <c r="SFE1" s="182"/>
      <c r="SFF1" s="182"/>
      <c r="SFG1" s="182"/>
      <c r="SFH1" s="182"/>
      <c r="SFI1" s="182"/>
      <c r="SFJ1" s="182"/>
      <c r="SFK1" s="182"/>
      <c r="SFL1" s="182"/>
      <c r="SFM1" s="182"/>
      <c r="SFN1" s="182"/>
      <c r="SFO1" s="182"/>
      <c r="SFP1" s="182"/>
      <c r="SFQ1" s="182"/>
      <c r="SFR1" s="182"/>
      <c r="SFS1" s="182"/>
      <c r="SFT1" s="182"/>
      <c r="SFU1" s="182"/>
      <c r="SFV1" s="182"/>
      <c r="SFW1" s="182"/>
      <c r="SFX1" s="182"/>
      <c r="SFY1" s="182"/>
      <c r="SFZ1" s="182"/>
      <c r="SGA1" s="182"/>
      <c r="SGB1" s="182"/>
      <c r="SGC1" s="182"/>
      <c r="SGD1" s="182"/>
      <c r="SGE1" s="182"/>
      <c r="SGF1" s="182"/>
      <c r="SGG1" s="182"/>
      <c r="SGH1" s="182"/>
      <c r="SGI1" s="182"/>
      <c r="SGJ1" s="182"/>
      <c r="SGK1" s="182"/>
      <c r="SGL1" s="182"/>
      <c r="SGM1" s="182"/>
      <c r="SGN1" s="182"/>
      <c r="SGO1" s="182"/>
      <c r="SGP1" s="182"/>
      <c r="SGQ1" s="182"/>
      <c r="SGR1" s="182"/>
      <c r="SGS1" s="182"/>
      <c r="SGT1" s="182"/>
      <c r="SGU1" s="182"/>
      <c r="SGV1" s="182"/>
      <c r="SGW1" s="182"/>
      <c r="SGX1" s="182"/>
      <c r="SGY1" s="182"/>
      <c r="SGZ1" s="182"/>
      <c r="SHA1" s="182"/>
      <c r="SHB1" s="182"/>
      <c r="SHC1" s="182"/>
      <c r="SHD1" s="182"/>
      <c r="SHE1" s="182"/>
      <c r="SHF1" s="182"/>
      <c r="SHG1" s="182"/>
      <c r="SHH1" s="182"/>
      <c r="SHI1" s="182"/>
      <c r="SHJ1" s="182"/>
      <c r="SHK1" s="182"/>
      <c r="SHL1" s="182"/>
      <c r="SHM1" s="182"/>
      <c r="SHN1" s="182"/>
      <c r="SHO1" s="182"/>
      <c r="SHP1" s="182"/>
      <c r="SHQ1" s="182"/>
      <c r="SHR1" s="182"/>
      <c r="SHS1" s="182"/>
      <c r="SHT1" s="182"/>
      <c r="SHU1" s="182"/>
      <c r="SHV1" s="182"/>
      <c r="SHW1" s="182"/>
      <c r="SHX1" s="182"/>
      <c r="SHY1" s="182"/>
      <c r="SHZ1" s="182"/>
      <c r="SIA1" s="182"/>
      <c r="SIB1" s="182"/>
      <c r="SIC1" s="182"/>
      <c r="SID1" s="182"/>
      <c r="SIE1" s="182"/>
      <c r="SIF1" s="182"/>
      <c r="SIG1" s="182"/>
      <c r="SIH1" s="182"/>
      <c r="SII1" s="182"/>
      <c r="SIJ1" s="182"/>
      <c r="SIK1" s="182"/>
      <c r="SIL1" s="182"/>
      <c r="SIM1" s="182"/>
      <c r="SIN1" s="182"/>
      <c r="SIO1" s="182"/>
      <c r="SIP1" s="182"/>
      <c r="SIQ1" s="182"/>
      <c r="SIR1" s="182"/>
      <c r="SIS1" s="182"/>
      <c r="SIT1" s="182"/>
      <c r="SIU1" s="182"/>
      <c r="SIV1" s="182"/>
      <c r="SIW1" s="182"/>
      <c r="SIX1" s="182"/>
      <c r="SIY1" s="182"/>
      <c r="SIZ1" s="182"/>
      <c r="SJA1" s="182"/>
      <c r="SJB1" s="182"/>
      <c r="SJC1" s="182"/>
      <c r="SJD1" s="182"/>
      <c r="SJE1" s="182"/>
      <c r="SJF1" s="182"/>
      <c r="SJG1" s="182"/>
      <c r="SJH1" s="182"/>
      <c r="SJI1" s="182"/>
      <c r="SJJ1" s="182"/>
      <c r="SJK1" s="182"/>
      <c r="SJL1" s="182"/>
      <c r="SJM1" s="182"/>
      <c r="SJN1" s="182"/>
      <c r="SJO1" s="182"/>
      <c r="SJP1" s="182"/>
      <c r="SJQ1" s="182"/>
      <c r="SJR1" s="182"/>
      <c r="SJS1" s="182"/>
      <c r="SJT1" s="182"/>
      <c r="SJU1" s="182"/>
      <c r="SJV1" s="182"/>
      <c r="SJW1" s="182"/>
      <c r="SJX1" s="182"/>
      <c r="SJY1" s="182"/>
      <c r="SJZ1" s="182"/>
      <c r="SKA1" s="182"/>
      <c r="SKB1" s="182"/>
      <c r="SKC1" s="182"/>
      <c r="SKD1" s="182"/>
      <c r="SKE1" s="182"/>
      <c r="SKF1" s="182"/>
      <c r="SKG1" s="182"/>
      <c r="SKH1" s="182"/>
      <c r="SKI1" s="182"/>
      <c r="SKJ1" s="182"/>
      <c r="SKK1" s="182"/>
      <c r="SKL1" s="182"/>
      <c r="SKM1" s="182"/>
      <c r="SKN1" s="182"/>
      <c r="SKO1" s="182"/>
      <c r="SKP1" s="182"/>
      <c r="SKQ1" s="182"/>
      <c r="SKR1" s="182"/>
      <c r="SKS1" s="182"/>
      <c r="SKT1" s="182"/>
      <c r="SKU1" s="182"/>
      <c r="SKV1" s="182"/>
      <c r="SKW1" s="182"/>
      <c r="SKX1" s="182"/>
      <c r="SKY1" s="182"/>
      <c r="SKZ1" s="182"/>
      <c r="SLA1" s="182"/>
      <c r="SLB1" s="182"/>
      <c r="SLC1" s="182"/>
      <c r="SLD1" s="182"/>
      <c r="SLE1" s="182"/>
      <c r="SLF1" s="182"/>
      <c r="SLG1" s="182"/>
      <c r="SLH1" s="182"/>
      <c r="SLI1" s="182"/>
      <c r="SLJ1" s="182"/>
      <c r="SLK1" s="182"/>
      <c r="SLL1" s="182"/>
      <c r="SLM1" s="182"/>
      <c r="SLN1" s="182"/>
      <c r="SLO1" s="182"/>
      <c r="SLP1" s="182"/>
      <c r="SLQ1" s="182"/>
      <c r="SLR1" s="182"/>
      <c r="SLS1" s="182"/>
      <c r="SLT1" s="182"/>
      <c r="SLU1" s="182"/>
      <c r="SLV1" s="182"/>
      <c r="SLW1" s="182"/>
      <c r="SLX1" s="182"/>
      <c r="SLY1" s="182"/>
      <c r="SLZ1" s="182"/>
      <c r="SMA1" s="182"/>
      <c r="SMB1" s="182"/>
      <c r="SMC1" s="182"/>
      <c r="SMD1" s="182"/>
      <c r="SME1" s="182"/>
      <c r="SMF1" s="182"/>
      <c r="SMG1" s="182"/>
      <c r="SMH1" s="182"/>
      <c r="SMI1" s="182"/>
      <c r="SMJ1" s="182"/>
      <c r="SMK1" s="182"/>
      <c r="SML1" s="182"/>
      <c r="SMM1" s="182"/>
      <c r="SMN1" s="182"/>
      <c r="SMO1" s="182"/>
      <c r="SMP1" s="182"/>
      <c r="SMQ1" s="182"/>
      <c r="SMR1" s="182"/>
      <c r="SMS1" s="182"/>
      <c r="SMT1" s="182"/>
      <c r="SMU1" s="182"/>
      <c r="SMV1" s="182"/>
      <c r="SMW1" s="182"/>
      <c r="SMX1" s="182"/>
      <c r="SMY1" s="182"/>
      <c r="SMZ1" s="182"/>
      <c r="SNA1" s="182"/>
      <c r="SNB1" s="182"/>
      <c r="SNC1" s="182"/>
      <c r="SND1" s="182"/>
      <c r="SNE1" s="182"/>
      <c r="SNF1" s="182"/>
      <c r="SNG1" s="182"/>
      <c r="SNH1" s="182"/>
      <c r="SNI1" s="182"/>
      <c r="SNJ1" s="182"/>
      <c r="SNK1" s="182"/>
      <c r="SNL1" s="182"/>
      <c r="SNM1" s="182"/>
      <c r="SNN1" s="182"/>
      <c r="SNO1" s="182"/>
      <c r="SNP1" s="182"/>
      <c r="SNQ1" s="182"/>
      <c r="SNR1" s="182"/>
      <c r="SNS1" s="182"/>
      <c r="SNT1" s="182"/>
      <c r="SNU1" s="182"/>
      <c r="SNV1" s="182"/>
      <c r="SNW1" s="182"/>
      <c r="SNX1" s="182"/>
      <c r="SNY1" s="182"/>
      <c r="SNZ1" s="182"/>
      <c r="SOA1" s="182"/>
      <c r="SOB1" s="182"/>
      <c r="SOC1" s="182"/>
      <c r="SOD1" s="182"/>
      <c r="SOE1" s="182"/>
      <c r="SOF1" s="182"/>
      <c r="SOG1" s="182"/>
      <c r="SOH1" s="182"/>
      <c r="SOI1" s="182"/>
      <c r="SOJ1" s="182"/>
      <c r="SOK1" s="182"/>
      <c r="SOL1" s="182"/>
      <c r="SOM1" s="182"/>
      <c r="SON1" s="182"/>
      <c r="SOO1" s="182"/>
      <c r="SOP1" s="182"/>
      <c r="SOQ1" s="182"/>
      <c r="SOR1" s="182"/>
      <c r="SOS1" s="182"/>
      <c r="SOT1" s="182"/>
      <c r="SOU1" s="182"/>
      <c r="SOV1" s="182"/>
      <c r="SOW1" s="182"/>
      <c r="SOX1" s="182"/>
      <c r="SOY1" s="182"/>
      <c r="SOZ1" s="182"/>
      <c r="SPA1" s="182"/>
      <c r="SPB1" s="182"/>
      <c r="SPC1" s="182"/>
      <c r="SPD1" s="182"/>
      <c r="SPE1" s="182"/>
      <c r="SPF1" s="182"/>
      <c r="SPG1" s="182"/>
      <c r="SPH1" s="182"/>
      <c r="SPI1" s="182"/>
      <c r="SPJ1" s="182"/>
      <c r="SPK1" s="182"/>
      <c r="SPL1" s="182"/>
      <c r="SPM1" s="182"/>
      <c r="SPN1" s="182"/>
      <c r="SPO1" s="182"/>
      <c r="SPP1" s="182"/>
      <c r="SPQ1" s="182"/>
      <c r="SPR1" s="182"/>
      <c r="SPS1" s="182"/>
      <c r="SPT1" s="182"/>
      <c r="SPU1" s="182"/>
      <c r="SPV1" s="182"/>
      <c r="SPW1" s="182"/>
      <c r="SPX1" s="182"/>
      <c r="SPY1" s="182"/>
      <c r="SPZ1" s="182"/>
      <c r="SQA1" s="182"/>
      <c r="SQB1" s="182"/>
      <c r="SQC1" s="182"/>
      <c r="SQD1" s="182"/>
      <c r="SQE1" s="182"/>
      <c r="SQF1" s="182"/>
      <c r="SQG1" s="182"/>
      <c r="SQH1" s="182"/>
      <c r="SQI1" s="182"/>
      <c r="SQJ1" s="182"/>
      <c r="SQK1" s="182"/>
      <c r="SQL1" s="182"/>
      <c r="SQM1" s="182"/>
      <c r="SQN1" s="182"/>
      <c r="SQO1" s="182"/>
      <c r="SQP1" s="182"/>
      <c r="SQQ1" s="182"/>
      <c r="SQR1" s="182"/>
      <c r="SQS1" s="182"/>
      <c r="SQT1" s="182"/>
      <c r="SQU1" s="182"/>
      <c r="SQV1" s="182"/>
      <c r="SQW1" s="182"/>
      <c r="SQX1" s="182"/>
      <c r="SQY1" s="182"/>
      <c r="SQZ1" s="182"/>
      <c r="SRA1" s="182"/>
      <c r="SRB1" s="182"/>
      <c r="SRC1" s="182"/>
      <c r="SRD1" s="182"/>
      <c r="SRE1" s="182"/>
      <c r="SRF1" s="182"/>
      <c r="SRG1" s="182"/>
      <c r="SRH1" s="182"/>
      <c r="SRI1" s="182"/>
      <c r="SRJ1" s="182"/>
      <c r="SRK1" s="182"/>
      <c r="SRL1" s="182"/>
      <c r="SRM1" s="182"/>
      <c r="SRN1" s="182"/>
      <c r="SRO1" s="182"/>
      <c r="SRP1" s="182"/>
      <c r="SRQ1" s="182"/>
      <c r="SRR1" s="182"/>
      <c r="SRS1" s="182"/>
      <c r="SRT1" s="182"/>
      <c r="SRU1" s="182"/>
      <c r="SRV1" s="182"/>
      <c r="SRW1" s="182"/>
      <c r="SRX1" s="182"/>
      <c r="SRY1" s="182"/>
      <c r="SRZ1" s="182"/>
      <c r="SSA1" s="182"/>
      <c r="SSB1" s="182"/>
      <c r="SSC1" s="182"/>
      <c r="SSD1" s="182"/>
      <c r="SSE1" s="182"/>
      <c r="SSF1" s="182"/>
      <c r="SSG1" s="182"/>
      <c r="SSH1" s="182"/>
      <c r="SSI1" s="182"/>
      <c r="SSJ1" s="182"/>
      <c r="SSK1" s="182"/>
      <c r="SSL1" s="182"/>
      <c r="SSM1" s="182"/>
      <c r="SSN1" s="182"/>
      <c r="SSO1" s="182"/>
      <c r="SSP1" s="182"/>
      <c r="SSQ1" s="182"/>
      <c r="SSR1" s="182"/>
      <c r="SSS1" s="182"/>
      <c r="SST1" s="182"/>
      <c r="SSU1" s="182"/>
      <c r="SSV1" s="182"/>
      <c r="SSW1" s="182"/>
      <c r="SSX1" s="182"/>
      <c r="SSY1" s="182"/>
      <c r="SSZ1" s="182"/>
      <c r="STA1" s="182"/>
      <c r="STB1" s="182"/>
      <c r="STC1" s="182"/>
      <c r="STD1" s="182"/>
      <c r="STE1" s="182"/>
      <c r="STF1" s="182"/>
      <c r="STG1" s="182"/>
      <c r="STH1" s="182"/>
      <c r="STI1" s="182"/>
      <c r="STJ1" s="182"/>
      <c r="STK1" s="182"/>
      <c r="STL1" s="182"/>
      <c r="STM1" s="182"/>
      <c r="STN1" s="182"/>
      <c r="STO1" s="182"/>
      <c r="STP1" s="182"/>
      <c r="STQ1" s="182"/>
      <c r="STR1" s="182"/>
      <c r="STS1" s="182"/>
      <c r="STT1" s="182"/>
      <c r="STU1" s="182"/>
      <c r="STV1" s="182"/>
      <c r="STW1" s="182"/>
      <c r="STX1" s="182"/>
      <c r="STY1" s="182"/>
      <c r="STZ1" s="182"/>
      <c r="SUA1" s="182"/>
      <c r="SUB1" s="182"/>
      <c r="SUC1" s="182"/>
      <c r="SUD1" s="182"/>
      <c r="SUE1" s="182"/>
      <c r="SUF1" s="182"/>
      <c r="SUG1" s="182"/>
      <c r="SUH1" s="182"/>
      <c r="SUI1" s="182"/>
      <c r="SUJ1" s="182"/>
      <c r="SUK1" s="182"/>
      <c r="SUL1" s="182"/>
      <c r="SUM1" s="182"/>
      <c r="SUN1" s="182"/>
      <c r="SUO1" s="182"/>
      <c r="SUP1" s="182"/>
      <c r="SUQ1" s="182"/>
      <c r="SUR1" s="182"/>
      <c r="SUS1" s="182"/>
      <c r="SUT1" s="182"/>
      <c r="SUU1" s="182"/>
      <c r="SUV1" s="182"/>
      <c r="SUW1" s="182"/>
      <c r="SUX1" s="182"/>
      <c r="SUY1" s="182"/>
      <c r="SUZ1" s="182"/>
      <c r="SVA1" s="182"/>
      <c r="SVB1" s="182"/>
      <c r="SVC1" s="182"/>
      <c r="SVD1" s="182"/>
      <c r="SVE1" s="182"/>
      <c r="SVF1" s="182"/>
      <c r="SVG1" s="182"/>
      <c r="SVH1" s="182"/>
      <c r="SVI1" s="182"/>
      <c r="SVJ1" s="182"/>
      <c r="SVK1" s="182"/>
      <c r="SVL1" s="182"/>
      <c r="SVM1" s="182"/>
      <c r="SVN1" s="182"/>
      <c r="SVO1" s="182"/>
      <c r="SVP1" s="182"/>
      <c r="SVQ1" s="182"/>
      <c r="SVR1" s="182"/>
      <c r="SVS1" s="182"/>
      <c r="SVT1" s="182"/>
      <c r="SVU1" s="182"/>
      <c r="SVV1" s="182"/>
      <c r="SVW1" s="182"/>
      <c r="SVX1" s="182"/>
      <c r="SVY1" s="182"/>
      <c r="SVZ1" s="182"/>
      <c r="SWA1" s="182"/>
      <c r="SWB1" s="182"/>
      <c r="SWC1" s="182"/>
      <c r="SWD1" s="182"/>
      <c r="SWE1" s="182"/>
      <c r="SWF1" s="182"/>
      <c r="SWG1" s="182"/>
      <c r="SWH1" s="182"/>
      <c r="SWI1" s="182"/>
      <c r="SWJ1" s="182"/>
      <c r="SWK1" s="182"/>
      <c r="SWL1" s="182"/>
      <c r="SWM1" s="182"/>
      <c r="SWN1" s="182"/>
      <c r="SWO1" s="182"/>
      <c r="SWP1" s="182"/>
      <c r="SWQ1" s="182"/>
      <c r="SWR1" s="182"/>
      <c r="SWS1" s="182"/>
      <c r="SWT1" s="182"/>
      <c r="SWU1" s="182"/>
      <c r="SWV1" s="182"/>
      <c r="SWW1" s="182"/>
      <c r="SWX1" s="182"/>
      <c r="SWY1" s="182"/>
      <c r="SWZ1" s="182"/>
      <c r="SXA1" s="182"/>
      <c r="SXB1" s="182"/>
      <c r="SXC1" s="182"/>
      <c r="SXD1" s="182"/>
      <c r="SXE1" s="182"/>
      <c r="SXF1" s="182"/>
      <c r="SXG1" s="182"/>
      <c r="SXH1" s="182"/>
      <c r="SXI1" s="182"/>
      <c r="SXJ1" s="182"/>
      <c r="SXK1" s="182"/>
      <c r="SXL1" s="182"/>
      <c r="SXM1" s="182"/>
      <c r="SXN1" s="182"/>
      <c r="SXO1" s="182"/>
      <c r="SXP1" s="182"/>
      <c r="SXQ1" s="182"/>
      <c r="SXR1" s="182"/>
      <c r="SXS1" s="182"/>
      <c r="SXT1" s="182"/>
      <c r="SXU1" s="182"/>
      <c r="SXV1" s="182"/>
      <c r="SXW1" s="182"/>
      <c r="SXX1" s="182"/>
      <c r="SXY1" s="182"/>
      <c r="SXZ1" s="182"/>
      <c r="SYA1" s="182"/>
      <c r="SYB1" s="182"/>
      <c r="SYC1" s="182"/>
      <c r="SYD1" s="182"/>
      <c r="SYE1" s="182"/>
      <c r="SYF1" s="182"/>
      <c r="SYG1" s="182"/>
      <c r="SYH1" s="182"/>
      <c r="SYI1" s="182"/>
      <c r="SYJ1" s="182"/>
      <c r="SYK1" s="182"/>
      <c r="SYL1" s="182"/>
      <c r="SYM1" s="182"/>
      <c r="SYN1" s="182"/>
      <c r="SYO1" s="182"/>
      <c r="SYP1" s="182"/>
      <c r="SYQ1" s="182"/>
      <c r="SYR1" s="182"/>
      <c r="SYS1" s="182"/>
      <c r="SYT1" s="182"/>
      <c r="SYU1" s="182"/>
      <c r="SYV1" s="182"/>
      <c r="SYW1" s="182"/>
      <c r="SYX1" s="182"/>
      <c r="SYY1" s="182"/>
      <c r="SYZ1" s="182"/>
      <c r="SZA1" s="182"/>
      <c r="SZB1" s="182"/>
      <c r="SZC1" s="182"/>
      <c r="SZD1" s="182"/>
      <c r="SZE1" s="182"/>
      <c r="SZF1" s="182"/>
      <c r="SZG1" s="182"/>
      <c r="SZH1" s="182"/>
      <c r="SZI1" s="182"/>
      <c r="SZJ1" s="182"/>
      <c r="SZK1" s="182"/>
      <c r="SZL1" s="182"/>
      <c r="SZM1" s="182"/>
      <c r="SZN1" s="182"/>
      <c r="SZO1" s="182"/>
      <c r="SZP1" s="182"/>
      <c r="SZQ1" s="182"/>
      <c r="SZR1" s="182"/>
      <c r="SZS1" s="182"/>
      <c r="SZT1" s="182"/>
      <c r="SZU1" s="182"/>
      <c r="SZV1" s="182"/>
      <c r="SZW1" s="182"/>
      <c r="SZX1" s="182"/>
      <c r="SZY1" s="182"/>
      <c r="SZZ1" s="182"/>
      <c r="TAA1" s="182"/>
      <c r="TAB1" s="182"/>
      <c r="TAC1" s="182"/>
      <c r="TAD1" s="182"/>
      <c r="TAE1" s="182"/>
      <c r="TAF1" s="182"/>
      <c r="TAG1" s="182"/>
      <c r="TAH1" s="182"/>
      <c r="TAI1" s="182"/>
      <c r="TAJ1" s="182"/>
      <c r="TAK1" s="182"/>
      <c r="TAL1" s="182"/>
      <c r="TAM1" s="182"/>
      <c r="TAN1" s="182"/>
      <c r="TAO1" s="182"/>
      <c r="TAP1" s="182"/>
      <c r="TAQ1" s="182"/>
      <c r="TAR1" s="182"/>
      <c r="TAS1" s="182"/>
      <c r="TAT1" s="182"/>
      <c r="TAU1" s="182"/>
      <c r="TAV1" s="182"/>
      <c r="TAW1" s="182"/>
      <c r="TAX1" s="182"/>
      <c r="TAY1" s="182"/>
      <c r="TAZ1" s="182"/>
      <c r="TBA1" s="182"/>
      <c r="TBB1" s="182"/>
      <c r="TBC1" s="182"/>
      <c r="TBD1" s="182"/>
      <c r="TBE1" s="182"/>
      <c r="TBF1" s="182"/>
      <c r="TBG1" s="182"/>
      <c r="TBH1" s="182"/>
      <c r="TBI1" s="182"/>
      <c r="TBJ1" s="182"/>
      <c r="TBK1" s="182"/>
      <c r="TBL1" s="182"/>
      <c r="TBM1" s="182"/>
      <c r="TBN1" s="182"/>
      <c r="TBO1" s="182"/>
      <c r="TBP1" s="182"/>
      <c r="TBQ1" s="182"/>
      <c r="TBR1" s="182"/>
      <c r="TBS1" s="182"/>
      <c r="TBT1" s="182"/>
      <c r="TBU1" s="182"/>
      <c r="TBV1" s="182"/>
      <c r="TBW1" s="182"/>
      <c r="TBX1" s="182"/>
      <c r="TBY1" s="182"/>
      <c r="TBZ1" s="182"/>
      <c r="TCA1" s="182"/>
      <c r="TCB1" s="182"/>
      <c r="TCC1" s="182"/>
      <c r="TCD1" s="182"/>
      <c r="TCE1" s="182"/>
      <c r="TCF1" s="182"/>
      <c r="TCG1" s="182"/>
      <c r="TCH1" s="182"/>
      <c r="TCI1" s="182"/>
      <c r="TCJ1" s="182"/>
      <c r="TCK1" s="182"/>
      <c r="TCL1" s="182"/>
      <c r="TCM1" s="182"/>
      <c r="TCN1" s="182"/>
      <c r="TCO1" s="182"/>
      <c r="TCP1" s="182"/>
      <c r="TCQ1" s="182"/>
      <c r="TCR1" s="182"/>
      <c r="TCS1" s="182"/>
      <c r="TCT1" s="182"/>
      <c r="TCU1" s="182"/>
      <c r="TCV1" s="182"/>
      <c r="TCW1" s="182"/>
      <c r="TCX1" s="182"/>
      <c r="TCY1" s="182"/>
      <c r="TCZ1" s="182"/>
      <c r="TDA1" s="182"/>
      <c r="TDB1" s="182"/>
      <c r="TDC1" s="182"/>
      <c r="TDD1" s="182"/>
      <c r="TDE1" s="182"/>
      <c r="TDF1" s="182"/>
      <c r="TDG1" s="182"/>
      <c r="TDH1" s="182"/>
      <c r="TDI1" s="182"/>
      <c r="TDJ1" s="182"/>
      <c r="TDK1" s="182"/>
      <c r="TDL1" s="182"/>
      <c r="TDM1" s="182"/>
      <c r="TDN1" s="182"/>
      <c r="TDO1" s="182"/>
      <c r="TDP1" s="182"/>
      <c r="TDQ1" s="182"/>
      <c r="TDR1" s="182"/>
      <c r="TDS1" s="182"/>
      <c r="TDT1" s="182"/>
      <c r="TDU1" s="182"/>
      <c r="TDV1" s="182"/>
      <c r="TDW1" s="182"/>
      <c r="TDX1" s="182"/>
      <c r="TDY1" s="182"/>
      <c r="TDZ1" s="182"/>
      <c r="TEA1" s="182"/>
      <c r="TEB1" s="182"/>
      <c r="TEC1" s="182"/>
      <c r="TED1" s="182"/>
      <c r="TEE1" s="182"/>
      <c r="TEF1" s="182"/>
      <c r="TEG1" s="182"/>
      <c r="TEH1" s="182"/>
      <c r="TEI1" s="182"/>
      <c r="TEJ1" s="182"/>
      <c r="TEK1" s="182"/>
      <c r="TEL1" s="182"/>
      <c r="TEM1" s="182"/>
      <c r="TEN1" s="182"/>
      <c r="TEO1" s="182"/>
      <c r="TEP1" s="182"/>
      <c r="TEQ1" s="182"/>
      <c r="TER1" s="182"/>
      <c r="TES1" s="182"/>
      <c r="TET1" s="182"/>
      <c r="TEU1" s="182"/>
      <c r="TEV1" s="182"/>
      <c r="TEW1" s="182"/>
      <c r="TEX1" s="182"/>
      <c r="TEY1" s="182"/>
      <c r="TEZ1" s="182"/>
      <c r="TFA1" s="182"/>
      <c r="TFB1" s="182"/>
      <c r="TFC1" s="182"/>
      <c r="TFD1" s="182"/>
      <c r="TFE1" s="182"/>
      <c r="TFF1" s="182"/>
      <c r="TFG1" s="182"/>
      <c r="TFH1" s="182"/>
      <c r="TFI1" s="182"/>
      <c r="TFJ1" s="182"/>
      <c r="TFK1" s="182"/>
      <c r="TFL1" s="182"/>
      <c r="TFM1" s="182"/>
      <c r="TFN1" s="182"/>
      <c r="TFO1" s="182"/>
      <c r="TFP1" s="182"/>
      <c r="TFQ1" s="182"/>
      <c r="TFR1" s="182"/>
      <c r="TFS1" s="182"/>
      <c r="TFT1" s="182"/>
      <c r="TFU1" s="182"/>
      <c r="TFV1" s="182"/>
      <c r="TFW1" s="182"/>
      <c r="TFX1" s="182"/>
      <c r="TFY1" s="182"/>
      <c r="TFZ1" s="182"/>
      <c r="TGA1" s="182"/>
      <c r="TGB1" s="182"/>
      <c r="TGC1" s="182"/>
      <c r="TGD1" s="182"/>
      <c r="TGE1" s="182"/>
      <c r="TGF1" s="182"/>
      <c r="TGG1" s="182"/>
      <c r="TGH1" s="182"/>
      <c r="TGI1" s="182"/>
      <c r="TGJ1" s="182"/>
      <c r="TGK1" s="182"/>
      <c r="TGL1" s="182"/>
      <c r="TGM1" s="182"/>
      <c r="TGN1" s="182"/>
      <c r="TGO1" s="182"/>
      <c r="TGP1" s="182"/>
      <c r="TGQ1" s="182"/>
      <c r="TGR1" s="182"/>
      <c r="TGS1" s="182"/>
      <c r="TGT1" s="182"/>
      <c r="TGU1" s="182"/>
      <c r="TGV1" s="182"/>
      <c r="TGW1" s="182"/>
      <c r="TGX1" s="182"/>
      <c r="TGY1" s="182"/>
      <c r="TGZ1" s="182"/>
      <c r="THA1" s="182"/>
      <c r="THB1" s="182"/>
      <c r="THC1" s="182"/>
      <c r="THD1" s="182"/>
      <c r="THE1" s="182"/>
      <c r="THF1" s="182"/>
      <c r="THG1" s="182"/>
      <c r="THH1" s="182"/>
      <c r="THI1" s="182"/>
      <c r="THJ1" s="182"/>
      <c r="THK1" s="182"/>
      <c r="THL1" s="182"/>
      <c r="THM1" s="182"/>
      <c r="THN1" s="182"/>
      <c r="THO1" s="182"/>
      <c r="THP1" s="182"/>
      <c r="THQ1" s="182"/>
      <c r="THR1" s="182"/>
      <c r="THS1" s="182"/>
      <c r="THT1" s="182"/>
      <c r="THU1" s="182"/>
      <c r="THV1" s="182"/>
      <c r="THW1" s="182"/>
      <c r="THX1" s="182"/>
      <c r="THY1" s="182"/>
      <c r="THZ1" s="182"/>
      <c r="TIA1" s="182"/>
      <c r="TIB1" s="182"/>
      <c r="TIC1" s="182"/>
      <c r="TID1" s="182"/>
      <c r="TIE1" s="182"/>
      <c r="TIF1" s="182"/>
      <c r="TIG1" s="182"/>
      <c r="TIH1" s="182"/>
      <c r="TII1" s="182"/>
      <c r="TIJ1" s="182"/>
      <c r="TIK1" s="182"/>
      <c r="TIL1" s="182"/>
      <c r="TIM1" s="182"/>
      <c r="TIN1" s="182"/>
      <c r="TIO1" s="182"/>
      <c r="TIP1" s="182"/>
      <c r="TIQ1" s="182"/>
      <c r="TIR1" s="182"/>
      <c r="TIS1" s="182"/>
      <c r="TIT1" s="182"/>
      <c r="TIU1" s="182"/>
      <c r="TIV1" s="182"/>
      <c r="TIW1" s="182"/>
      <c r="TIX1" s="182"/>
      <c r="TIY1" s="182"/>
      <c r="TIZ1" s="182"/>
      <c r="TJA1" s="182"/>
      <c r="TJB1" s="182"/>
      <c r="TJC1" s="182"/>
      <c r="TJD1" s="182"/>
      <c r="TJE1" s="182"/>
      <c r="TJF1" s="182"/>
      <c r="TJG1" s="182"/>
      <c r="TJH1" s="182"/>
      <c r="TJI1" s="182"/>
      <c r="TJJ1" s="182"/>
      <c r="TJK1" s="182"/>
      <c r="TJL1" s="182"/>
      <c r="TJM1" s="182"/>
      <c r="TJN1" s="182"/>
      <c r="TJO1" s="182"/>
      <c r="TJP1" s="182"/>
      <c r="TJQ1" s="182"/>
      <c r="TJR1" s="182"/>
      <c r="TJS1" s="182"/>
      <c r="TJT1" s="182"/>
      <c r="TJU1" s="182"/>
      <c r="TJV1" s="182"/>
      <c r="TJW1" s="182"/>
      <c r="TJX1" s="182"/>
      <c r="TJY1" s="182"/>
      <c r="TJZ1" s="182"/>
      <c r="TKA1" s="182"/>
      <c r="TKB1" s="182"/>
      <c r="TKC1" s="182"/>
      <c r="TKD1" s="182"/>
      <c r="TKE1" s="182"/>
      <c r="TKF1" s="182"/>
      <c r="TKG1" s="182"/>
      <c r="TKH1" s="182"/>
      <c r="TKI1" s="182"/>
      <c r="TKJ1" s="182"/>
      <c r="TKK1" s="182"/>
      <c r="TKL1" s="182"/>
      <c r="TKM1" s="182"/>
      <c r="TKN1" s="182"/>
      <c r="TKO1" s="182"/>
      <c r="TKP1" s="182"/>
      <c r="TKQ1" s="182"/>
      <c r="TKR1" s="182"/>
      <c r="TKS1" s="182"/>
      <c r="TKT1" s="182"/>
      <c r="TKU1" s="182"/>
      <c r="TKV1" s="182"/>
      <c r="TKW1" s="182"/>
      <c r="TKX1" s="182"/>
      <c r="TKY1" s="182"/>
      <c r="TKZ1" s="182"/>
      <c r="TLA1" s="182"/>
      <c r="TLB1" s="182"/>
      <c r="TLC1" s="182"/>
      <c r="TLD1" s="182"/>
      <c r="TLE1" s="182"/>
      <c r="TLF1" s="182"/>
      <c r="TLG1" s="182"/>
      <c r="TLH1" s="182"/>
      <c r="TLI1" s="182"/>
      <c r="TLJ1" s="182"/>
      <c r="TLK1" s="182"/>
      <c r="TLL1" s="182"/>
      <c r="TLM1" s="182"/>
      <c r="TLN1" s="182"/>
      <c r="TLO1" s="182"/>
      <c r="TLP1" s="182"/>
      <c r="TLQ1" s="182"/>
      <c r="TLR1" s="182"/>
      <c r="TLS1" s="182"/>
      <c r="TLT1" s="182"/>
      <c r="TLU1" s="182"/>
      <c r="TLV1" s="182"/>
      <c r="TLW1" s="182"/>
      <c r="TLX1" s="182"/>
      <c r="TLY1" s="182"/>
      <c r="TLZ1" s="182"/>
      <c r="TMA1" s="182"/>
      <c r="TMB1" s="182"/>
      <c r="TMC1" s="182"/>
      <c r="TMD1" s="182"/>
      <c r="TME1" s="182"/>
      <c r="TMF1" s="182"/>
      <c r="TMG1" s="182"/>
      <c r="TMH1" s="182"/>
      <c r="TMI1" s="182"/>
      <c r="TMJ1" s="182"/>
      <c r="TMK1" s="182"/>
      <c r="TML1" s="182"/>
      <c r="TMM1" s="182"/>
      <c r="TMN1" s="182"/>
      <c r="TMO1" s="182"/>
      <c r="TMP1" s="182"/>
      <c r="TMQ1" s="182"/>
      <c r="TMR1" s="182"/>
      <c r="TMS1" s="182"/>
      <c r="TMT1" s="182"/>
      <c r="TMU1" s="182"/>
      <c r="TMV1" s="182"/>
      <c r="TMW1" s="182"/>
      <c r="TMX1" s="182"/>
      <c r="TMY1" s="182"/>
      <c r="TMZ1" s="182"/>
      <c r="TNA1" s="182"/>
      <c r="TNB1" s="182"/>
      <c r="TNC1" s="182"/>
      <c r="TND1" s="182"/>
      <c r="TNE1" s="182"/>
      <c r="TNF1" s="182"/>
      <c r="TNG1" s="182"/>
      <c r="TNH1" s="182"/>
      <c r="TNI1" s="182"/>
      <c r="TNJ1" s="182"/>
      <c r="TNK1" s="182"/>
      <c r="TNL1" s="182"/>
      <c r="TNM1" s="182"/>
      <c r="TNN1" s="182"/>
      <c r="TNO1" s="182"/>
      <c r="TNP1" s="182"/>
      <c r="TNQ1" s="182"/>
      <c r="TNR1" s="182"/>
      <c r="TNS1" s="182"/>
      <c r="TNT1" s="182"/>
      <c r="TNU1" s="182"/>
      <c r="TNV1" s="182"/>
      <c r="TNW1" s="182"/>
      <c r="TNX1" s="182"/>
      <c r="TNY1" s="182"/>
      <c r="TNZ1" s="182"/>
      <c r="TOA1" s="182"/>
      <c r="TOB1" s="182"/>
      <c r="TOC1" s="182"/>
      <c r="TOD1" s="182"/>
      <c r="TOE1" s="182"/>
      <c r="TOF1" s="182"/>
      <c r="TOG1" s="182"/>
      <c r="TOH1" s="182"/>
      <c r="TOI1" s="182"/>
      <c r="TOJ1" s="182"/>
      <c r="TOK1" s="182"/>
      <c r="TOL1" s="182"/>
      <c r="TOM1" s="182"/>
      <c r="TON1" s="182"/>
      <c r="TOO1" s="182"/>
      <c r="TOP1" s="182"/>
      <c r="TOQ1" s="182"/>
      <c r="TOR1" s="182"/>
      <c r="TOS1" s="182"/>
      <c r="TOT1" s="182"/>
      <c r="TOU1" s="182"/>
      <c r="TOV1" s="182"/>
      <c r="TOW1" s="182"/>
      <c r="TOX1" s="182"/>
      <c r="TOY1" s="182"/>
      <c r="TOZ1" s="182"/>
      <c r="TPA1" s="182"/>
      <c r="TPB1" s="182"/>
      <c r="TPC1" s="182"/>
      <c r="TPD1" s="182"/>
      <c r="TPE1" s="182"/>
      <c r="TPF1" s="182"/>
      <c r="TPG1" s="182"/>
      <c r="TPH1" s="182"/>
      <c r="TPI1" s="182"/>
      <c r="TPJ1" s="182"/>
      <c r="TPK1" s="182"/>
      <c r="TPL1" s="182"/>
      <c r="TPM1" s="182"/>
      <c r="TPN1" s="182"/>
      <c r="TPO1" s="182"/>
      <c r="TPP1" s="182"/>
      <c r="TPQ1" s="182"/>
      <c r="TPR1" s="182"/>
      <c r="TPS1" s="182"/>
      <c r="TPT1" s="182"/>
      <c r="TPU1" s="182"/>
      <c r="TPV1" s="182"/>
      <c r="TPW1" s="182"/>
      <c r="TPX1" s="182"/>
      <c r="TPY1" s="182"/>
      <c r="TPZ1" s="182"/>
      <c r="TQA1" s="182"/>
      <c r="TQB1" s="182"/>
      <c r="TQC1" s="182"/>
      <c r="TQD1" s="182"/>
      <c r="TQE1" s="182"/>
      <c r="TQF1" s="182"/>
      <c r="TQG1" s="182"/>
      <c r="TQH1" s="182"/>
      <c r="TQI1" s="182"/>
      <c r="TQJ1" s="182"/>
      <c r="TQK1" s="182"/>
      <c r="TQL1" s="182"/>
      <c r="TQM1" s="182"/>
      <c r="TQN1" s="182"/>
      <c r="TQO1" s="182"/>
      <c r="TQP1" s="182"/>
      <c r="TQQ1" s="182"/>
      <c r="TQR1" s="182"/>
      <c r="TQS1" s="182"/>
      <c r="TQT1" s="182"/>
      <c r="TQU1" s="182"/>
      <c r="TQV1" s="182"/>
      <c r="TQW1" s="182"/>
      <c r="TQX1" s="182"/>
      <c r="TQY1" s="182"/>
      <c r="TQZ1" s="182"/>
      <c r="TRA1" s="182"/>
      <c r="TRB1" s="182"/>
      <c r="TRC1" s="182"/>
      <c r="TRD1" s="182"/>
      <c r="TRE1" s="182"/>
      <c r="TRF1" s="182"/>
      <c r="TRG1" s="182"/>
      <c r="TRH1" s="182"/>
      <c r="TRI1" s="182"/>
      <c r="TRJ1" s="182"/>
      <c r="TRK1" s="182"/>
      <c r="TRL1" s="182"/>
      <c r="TRM1" s="182"/>
      <c r="TRN1" s="182"/>
      <c r="TRO1" s="182"/>
      <c r="TRP1" s="182"/>
      <c r="TRQ1" s="182"/>
      <c r="TRR1" s="182"/>
      <c r="TRS1" s="182"/>
      <c r="TRT1" s="182"/>
      <c r="TRU1" s="182"/>
      <c r="TRV1" s="182"/>
      <c r="TRW1" s="182"/>
      <c r="TRX1" s="182"/>
      <c r="TRY1" s="182"/>
      <c r="TRZ1" s="182"/>
      <c r="TSA1" s="182"/>
      <c r="TSB1" s="182"/>
      <c r="TSC1" s="182"/>
      <c r="TSD1" s="182"/>
      <c r="TSE1" s="182"/>
      <c r="TSF1" s="182"/>
      <c r="TSG1" s="182"/>
      <c r="TSH1" s="182"/>
      <c r="TSI1" s="182"/>
      <c r="TSJ1" s="182"/>
      <c r="TSK1" s="182"/>
      <c r="TSL1" s="182"/>
      <c r="TSM1" s="182"/>
      <c r="TSN1" s="182"/>
      <c r="TSO1" s="182"/>
      <c r="TSP1" s="182"/>
      <c r="TSQ1" s="182"/>
      <c r="TSR1" s="182"/>
      <c r="TSS1" s="182"/>
      <c r="TST1" s="182"/>
      <c r="TSU1" s="182"/>
      <c r="TSV1" s="182"/>
      <c r="TSW1" s="182"/>
      <c r="TSX1" s="182"/>
      <c r="TSY1" s="182"/>
      <c r="TSZ1" s="182"/>
      <c r="TTA1" s="182"/>
      <c r="TTB1" s="182"/>
      <c r="TTC1" s="182"/>
      <c r="TTD1" s="182"/>
      <c r="TTE1" s="182"/>
      <c r="TTF1" s="182"/>
      <c r="TTG1" s="182"/>
      <c r="TTH1" s="182"/>
      <c r="TTI1" s="182"/>
      <c r="TTJ1" s="182"/>
      <c r="TTK1" s="182"/>
      <c r="TTL1" s="182"/>
      <c r="TTM1" s="182"/>
      <c r="TTN1" s="182"/>
      <c r="TTO1" s="182"/>
      <c r="TTP1" s="182"/>
      <c r="TTQ1" s="182"/>
      <c r="TTR1" s="182"/>
      <c r="TTS1" s="182"/>
      <c r="TTT1" s="182"/>
      <c r="TTU1" s="182"/>
      <c r="TTV1" s="182"/>
      <c r="TTW1" s="182"/>
      <c r="TTX1" s="182"/>
      <c r="TTY1" s="182"/>
      <c r="TTZ1" s="182"/>
      <c r="TUA1" s="182"/>
      <c r="TUB1" s="182"/>
      <c r="TUC1" s="182"/>
      <c r="TUD1" s="182"/>
      <c r="TUE1" s="182"/>
      <c r="TUF1" s="182"/>
      <c r="TUG1" s="182"/>
      <c r="TUH1" s="182"/>
      <c r="TUI1" s="182"/>
      <c r="TUJ1" s="182"/>
      <c r="TUK1" s="182"/>
      <c r="TUL1" s="182"/>
      <c r="TUM1" s="182"/>
      <c r="TUN1" s="182"/>
      <c r="TUO1" s="182"/>
      <c r="TUP1" s="182"/>
      <c r="TUQ1" s="182"/>
      <c r="TUR1" s="182"/>
      <c r="TUS1" s="182"/>
      <c r="TUT1" s="182"/>
      <c r="TUU1" s="182"/>
      <c r="TUV1" s="182"/>
      <c r="TUW1" s="182"/>
      <c r="TUX1" s="182"/>
      <c r="TUY1" s="182"/>
      <c r="TUZ1" s="182"/>
      <c r="TVA1" s="182"/>
      <c r="TVB1" s="182"/>
      <c r="TVC1" s="182"/>
      <c r="TVD1" s="182"/>
      <c r="TVE1" s="182"/>
      <c r="TVF1" s="182"/>
      <c r="TVG1" s="182"/>
      <c r="TVH1" s="182"/>
      <c r="TVI1" s="182"/>
      <c r="TVJ1" s="182"/>
      <c r="TVK1" s="182"/>
      <c r="TVL1" s="182"/>
      <c r="TVM1" s="182"/>
      <c r="TVN1" s="182"/>
      <c r="TVO1" s="182"/>
      <c r="TVP1" s="182"/>
      <c r="TVQ1" s="182"/>
      <c r="TVR1" s="182"/>
      <c r="TVS1" s="182"/>
      <c r="TVT1" s="182"/>
      <c r="TVU1" s="182"/>
      <c r="TVV1" s="182"/>
      <c r="TVW1" s="182"/>
      <c r="TVX1" s="182"/>
      <c r="TVY1" s="182"/>
      <c r="TVZ1" s="182"/>
      <c r="TWA1" s="182"/>
      <c r="TWB1" s="182"/>
      <c r="TWC1" s="182"/>
      <c r="TWD1" s="182"/>
      <c r="TWE1" s="182"/>
      <c r="TWF1" s="182"/>
      <c r="TWG1" s="182"/>
      <c r="TWH1" s="182"/>
      <c r="TWI1" s="182"/>
      <c r="TWJ1" s="182"/>
      <c r="TWK1" s="182"/>
      <c r="TWL1" s="182"/>
      <c r="TWM1" s="182"/>
      <c r="TWN1" s="182"/>
      <c r="TWO1" s="182"/>
      <c r="TWP1" s="182"/>
      <c r="TWQ1" s="182"/>
      <c r="TWR1" s="182"/>
      <c r="TWS1" s="182"/>
      <c r="TWT1" s="182"/>
      <c r="TWU1" s="182"/>
      <c r="TWV1" s="182"/>
      <c r="TWW1" s="182"/>
      <c r="TWX1" s="182"/>
      <c r="TWY1" s="182"/>
      <c r="TWZ1" s="182"/>
      <c r="TXA1" s="182"/>
      <c r="TXB1" s="182"/>
      <c r="TXC1" s="182"/>
      <c r="TXD1" s="182"/>
      <c r="TXE1" s="182"/>
      <c r="TXF1" s="182"/>
      <c r="TXG1" s="182"/>
      <c r="TXH1" s="182"/>
      <c r="TXI1" s="182"/>
      <c r="TXJ1" s="182"/>
      <c r="TXK1" s="182"/>
      <c r="TXL1" s="182"/>
      <c r="TXM1" s="182"/>
      <c r="TXN1" s="182"/>
      <c r="TXO1" s="182"/>
      <c r="TXP1" s="182"/>
      <c r="TXQ1" s="182"/>
      <c r="TXR1" s="182"/>
      <c r="TXS1" s="182"/>
      <c r="TXT1" s="182"/>
      <c r="TXU1" s="182"/>
      <c r="TXV1" s="182"/>
      <c r="TXW1" s="182"/>
      <c r="TXX1" s="182"/>
      <c r="TXY1" s="182"/>
      <c r="TXZ1" s="182"/>
      <c r="TYA1" s="182"/>
      <c r="TYB1" s="182"/>
      <c r="TYC1" s="182"/>
      <c r="TYD1" s="182"/>
      <c r="TYE1" s="182"/>
      <c r="TYF1" s="182"/>
      <c r="TYG1" s="182"/>
      <c r="TYH1" s="182"/>
      <c r="TYI1" s="182"/>
      <c r="TYJ1" s="182"/>
      <c r="TYK1" s="182"/>
      <c r="TYL1" s="182"/>
      <c r="TYM1" s="182"/>
      <c r="TYN1" s="182"/>
      <c r="TYO1" s="182"/>
      <c r="TYP1" s="182"/>
      <c r="TYQ1" s="182"/>
      <c r="TYR1" s="182"/>
      <c r="TYS1" s="182"/>
      <c r="TYT1" s="182"/>
      <c r="TYU1" s="182"/>
      <c r="TYV1" s="182"/>
      <c r="TYW1" s="182"/>
      <c r="TYX1" s="182"/>
      <c r="TYY1" s="182"/>
      <c r="TYZ1" s="182"/>
      <c r="TZA1" s="182"/>
      <c r="TZB1" s="182"/>
      <c r="TZC1" s="182"/>
      <c r="TZD1" s="182"/>
      <c r="TZE1" s="182"/>
      <c r="TZF1" s="182"/>
      <c r="TZG1" s="182"/>
      <c r="TZH1" s="182"/>
      <c r="TZI1" s="182"/>
      <c r="TZJ1" s="182"/>
      <c r="TZK1" s="182"/>
      <c r="TZL1" s="182"/>
      <c r="TZM1" s="182"/>
      <c r="TZN1" s="182"/>
      <c r="TZO1" s="182"/>
      <c r="TZP1" s="182"/>
      <c r="TZQ1" s="182"/>
      <c r="TZR1" s="182"/>
      <c r="TZS1" s="182"/>
      <c r="TZT1" s="182"/>
      <c r="TZU1" s="182"/>
      <c r="TZV1" s="182"/>
      <c r="TZW1" s="182"/>
      <c r="TZX1" s="182"/>
      <c r="TZY1" s="182"/>
      <c r="TZZ1" s="182"/>
      <c r="UAA1" s="182"/>
      <c r="UAB1" s="182"/>
      <c r="UAC1" s="182"/>
      <c r="UAD1" s="182"/>
      <c r="UAE1" s="182"/>
      <c r="UAF1" s="182"/>
      <c r="UAG1" s="182"/>
      <c r="UAH1" s="182"/>
      <c r="UAI1" s="182"/>
      <c r="UAJ1" s="182"/>
      <c r="UAK1" s="182"/>
      <c r="UAL1" s="182"/>
      <c r="UAM1" s="182"/>
      <c r="UAN1" s="182"/>
      <c r="UAO1" s="182"/>
      <c r="UAP1" s="182"/>
      <c r="UAQ1" s="182"/>
      <c r="UAR1" s="182"/>
      <c r="UAS1" s="182"/>
      <c r="UAT1" s="182"/>
      <c r="UAU1" s="182"/>
      <c r="UAV1" s="182"/>
      <c r="UAW1" s="182"/>
      <c r="UAX1" s="182"/>
      <c r="UAY1" s="182"/>
      <c r="UAZ1" s="182"/>
      <c r="UBA1" s="182"/>
      <c r="UBB1" s="182"/>
      <c r="UBC1" s="182"/>
      <c r="UBD1" s="182"/>
      <c r="UBE1" s="182"/>
      <c r="UBF1" s="182"/>
      <c r="UBG1" s="182"/>
      <c r="UBH1" s="182"/>
      <c r="UBI1" s="182"/>
      <c r="UBJ1" s="182"/>
      <c r="UBK1" s="182"/>
      <c r="UBL1" s="182"/>
      <c r="UBM1" s="182"/>
      <c r="UBN1" s="182"/>
      <c r="UBO1" s="182"/>
      <c r="UBP1" s="182"/>
      <c r="UBQ1" s="182"/>
      <c r="UBR1" s="182"/>
      <c r="UBS1" s="182"/>
      <c r="UBT1" s="182"/>
      <c r="UBU1" s="182"/>
      <c r="UBV1" s="182"/>
      <c r="UBW1" s="182"/>
      <c r="UBX1" s="182"/>
      <c r="UBY1" s="182"/>
      <c r="UBZ1" s="182"/>
      <c r="UCA1" s="182"/>
      <c r="UCB1" s="182"/>
      <c r="UCC1" s="182"/>
      <c r="UCD1" s="182"/>
      <c r="UCE1" s="182"/>
      <c r="UCF1" s="182"/>
      <c r="UCG1" s="182"/>
      <c r="UCH1" s="182"/>
      <c r="UCI1" s="182"/>
      <c r="UCJ1" s="182"/>
      <c r="UCK1" s="182"/>
      <c r="UCL1" s="182"/>
      <c r="UCM1" s="182"/>
      <c r="UCN1" s="182"/>
      <c r="UCO1" s="182"/>
      <c r="UCP1" s="182"/>
      <c r="UCQ1" s="182"/>
      <c r="UCR1" s="182"/>
      <c r="UCS1" s="182"/>
      <c r="UCT1" s="182"/>
      <c r="UCU1" s="182"/>
      <c r="UCV1" s="182"/>
      <c r="UCW1" s="182"/>
      <c r="UCX1" s="182"/>
      <c r="UCY1" s="182"/>
      <c r="UCZ1" s="182"/>
      <c r="UDA1" s="182"/>
      <c r="UDB1" s="182"/>
      <c r="UDC1" s="182"/>
      <c r="UDD1" s="182"/>
      <c r="UDE1" s="182"/>
      <c r="UDF1" s="182"/>
      <c r="UDG1" s="182"/>
      <c r="UDH1" s="182"/>
      <c r="UDI1" s="182"/>
      <c r="UDJ1" s="182"/>
      <c r="UDK1" s="182"/>
      <c r="UDL1" s="182"/>
      <c r="UDM1" s="182"/>
      <c r="UDN1" s="182"/>
      <c r="UDO1" s="182"/>
      <c r="UDP1" s="182"/>
      <c r="UDQ1" s="182"/>
      <c r="UDR1" s="182"/>
      <c r="UDS1" s="182"/>
      <c r="UDT1" s="182"/>
      <c r="UDU1" s="182"/>
      <c r="UDV1" s="182"/>
      <c r="UDW1" s="182"/>
      <c r="UDX1" s="182"/>
      <c r="UDY1" s="182"/>
      <c r="UDZ1" s="182"/>
      <c r="UEA1" s="182"/>
      <c r="UEB1" s="182"/>
      <c r="UEC1" s="182"/>
      <c r="UED1" s="182"/>
      <c r="UEE1" s="182"/>
      <c r="UEF1" s="182"/>
      <c r="UEG1" s="182"/>
      <c r="UEH1" s="182"/>
      <c r="UEI1" s="182"/>
      <c r="UEJ1" s="182"/>
      <c r="UEK1" s="182"/>
      <c r="UEL1" s="182"/>
      <c r="UEM1" s="182"/>
      <c r="UEN1" s="182"/>
      <c r="UEO1" s="182"/>
      <c r="UEP1" s="182"/>
      <c r="UEQ1" s="182"/>
      <c r="UER1" s="182"/>
      <c r="UES1" s="182"/>
      <c r="UET1" s="182"/>
      <c r="UEU1" s="182"/>
      <c r="UEV1" s="182"/>
      <c r="UEW1" s="182"/>
      <c r="UEX1" s="182"/>
      <c r="UEY1" s="182"/>
      <c r="UEZ1" s="182"/>
      <c r="UFA1" s="182"/>
      <c r="UFB1" s="182"/>
      <c r="UFC1" s="182"/>
      <c r="UFD1" s="182"/>
      <c r="UFE1" s="182"/>
      <c r="UFF1" s="182"/>
      <c r="UFG1" s="182"/>
      <c r="UFH1" s="182"/>
      <c r="UFI1" s="182"/>
      <c r="UFJ1" s="182"/>
      <c r="UFK1" s="182"/>
      <c r="UFL1" s="182"/>
      <c r="UFM1" s="182"/>
      <c r="UFN1" s="182"/>
      <c r="UFO1" s="182"/>
      <c r="UFP1" s="182"/>
      <c r="UFQ1" s="182"/>
      <c r="UFR1" s="182"/>
      <c r="UFS1" s="182"/>
      <c r="UFT1" s="182"/>
      <c r="UFU1" s="182"/>
      <c r="UFV1" s="182"/>
      <c r="UFW1" s="182"/>
      <c r="UFX1" s="182"/>
      <c r="UFY1" s="182"/>
      <c r="UFZ1" s="182"/>
      <c r="UGA1" s="182"/>
      <c r="UGB1" s="182"/>
      <c r="UGC1" s="182"/>
      <c r="UGD1" s="182"/>
      <c r="UGE1" s="182"/>
      <c r="UGF1" s="182"/>
      <c r="UGG1" s="182"/>
      <c r="UGH1" s="182"/>
      <c r="UGI1" s="182"/>
      <c r="UGJ1" s="182"/>
      <c r="UGK1" s="182"/>
      <c r="UGL1" s="182"/>
      <c r="UGM1" s="182"/>
      <c r="UGN1" s="182"/>
      <c r="UGO1" s="182"/>
      <c r="UGP1" s="182"/>
      <c r="UGQ1" s="182"/>
      <c r="UGR1" s="182"/>
      <c r="UGS1" s="182"/>
      <c r="UGT1" s="182"/>
      <c r="UGU1" s="182"/>
      <c r="UGV1" s="182"/>
      <c r="UGW1" s="182"/>
      <c r="UGX1" s="182"/>
      <c r="UGY1" s="182"/>
      <c r="UGZ1" s="182"/>
      <c r="UHA1" s="182"/>
      <c r="UHB1" s="182"/>
      <c r="UHC1" s="182"/>
      <c r="UHD1" s="182"/>
      <c r="UHE1" s="182"/>
      <c r="UHF1" s="182"/>
      <c r="UHG1" s="182"/>
      <c r="UHH1" s="182"/>
      <c r="UHI1" s="182"/>
      <c r="UHJ1" s="182"/>
      <c r="UHK1" s="182"/>
      <c r="UHL1" s="182"/>
      <c r="UHM1" s="182"/>
      <c r="UHN1" s="182"/>
      <c r="UHO1" s="182"/>
      <c r="UHP1" s="182"/>
      <c r="UHQ1" s="182"/>
      <c r="UHR1" s="182"/>
      <c r="UHS1" s="182"/>
      <c r="UHT1" s="182"/>
      <c r="UHU1" s="182"/>
      <c r="UHV1" s="182"/>
      <c r="UHW1" s="182"/>
      <c r="UHX1" s="182"/>
      <c r="UHY1" s="182"/>
      <c r="UHZ1" s="182"/>
      <c r="UIA1" s="182"/>
      <c r="UIB1" s="182"/>
      <c r="UIC1" s="182"/>
      <c r="UID1" s="182"/>
      <c r="UIE1" s="182"/>
      <c r="UIF1" s="182"/>
      <c r="UIG1" s="182"/>
      <c r="UIH1" s="182"/>
      <c r="UII1" s="182"/>
      <c r="UIJ1" s="182"/>
      <c r="UIK1" s="182"/>
      <c r="UIL1" s="182"/>
      <c r="UIM1" s="182"/>
      <c r="UIN1" s="182"/>
      <c r="UIO1" s="182"/>
      <c r="UIP1" s="182"/>
      <c r="UIQ1" s="182"/>
      <c r="UIR1" s="182"/>
      <c r="UIS1" s="182"/>
      <c r="UIT1" s="182"/>
      <c r="UIU1" s="182"/>
      <c r="UIV1" s="182"/>
      <c r="UIW1" s="182"/>
      <c r="UIX1" s="182"/>
      <c r="UIY1" s="182"/>
      <c r="UIZ1" s="182"/>
      <c r="UJA1" s="182"/>
      <c r="UJB1" s="182"/>
      <c r="UJC1" s="182"/>
      <c r="UJD1" s="182"/>
      <c r="UJE1" s="182"/>
      <c r="UJF1" s="182"/>
      <c r="UJG1" s="182"/>
      <c r="UJH1" s="182"/>
      <c r="UJI1" s="182"/>
      <c r="UJJ1" s="182"/>
      <c r="UJK1" s="182"/>
      <c r="UJL1" s="182"/>
      <c r="UJM1" s="182"/>
      <c r="UJN1" s="182"/>
      <c r="UJO1" s="182"/>
      <c r="UJP1" s="182"/>
      <c r="UJQ1" s="182"/>
      <c r="UJR1" s="182"/>
      <c r="UJS1" s="182"/>
      <c r="UJT1" s="182"/>
      <c r="UJU1" s="182"/>
      <c r="UJV1" s="182"/>
      <c r="UJW1" s="182"/>
      <c r="UJX1" s="182"/>
      <c r="UJY1" s="182"/>
      <c r="UJZ1" s="182"/>
      <c r="UKA1" s="182"/>
      <c r="UKB1" s="182"/>
      <c r="UKC1" s="182"/>
      <c r="UKD1" s="182"/>
      <c r="UKE1" s="182"/>
      <c r="UKF1" s="182"/>
      <c r="UKG1" s="182"/>
      <c r="UKH1" s="182"/>
      <c r="UKI1" s="182"/>
      <c r="UKJ1" s="182"/>
      <c r="UKK1" s="182"/>
      <c r="UKL1" s="182"/>
      <c r="UKM1" s="182"/>
      <c r="UKN1" s="182"/>
      <c r="UKO1" s="182"/>
      <c r="UKP1" s="182"/>
      <c r="UKQ1" s="182"/>
      <c r="UKR1" s="182"/>
      <c r="UKS1" s="182"/>
      <c r="UKT1" s="182"/>
      <c r="UKU1" s="182"/>
      <c r="UKV1" s="182"/>
      <c r="UKW1" s="182"/>
      <c r="UKX1" s="182"/>
      <c r="UKY1" s="182"/>
      <c r="UKZ1" s="182"/>
      <c r="ULA1" s="182"/>
      <c r="ULB1" s="182"/>
      <c r="ULC1" s="182"/>
      <c r="ULD1" s="182"/>
      <c r="ULE1" s="182"/>
      <c r="ULF1" s="182"/>
      <c r="ULG1" s="182"/>
      <c r="ULH1" s="182"/>
      <c r="ULI1" s="182"/>
      <c r="ULJ1" s="182"/>
      <c r="ULK1" s="182"/>
      <c r="ULL1" s="182"/>
      <c r="ULM1" s="182"/>
      <c r="ULN1" s="182"/>
      <c r="ULO1" s="182"/>
      <c r="ULP1" s="182"/>
      <c r="ULQ1" s="182"/>
      <c r="ULR1" s="182"/>
      <c r="ULS1" s="182"/>
      <c r="ULT1" s="182"/>
      <c r="ULU1" s="182"/>
      <c r="ULV1" s="182"/>
      <c r="ULW1" s="182"/>
      <c r="ULX1" s="182"/>
      <c r="ULY1" s="182"/>
      <c r="ULZ1" s="182"/>
      <c r="UMA1" s="182"/>
      <c r="UMB1" s="182"/>
      <c r="UMC1" s="182"/>
      <c r="UMD1" s="182"/>
      <c r="UME1" s="182"/>
      <c r="UMF1" s="182"/>
      <c r="UMG1" s="182"/>
      <c r="UMH1" s="182"/>
      <c r="UMI1" s="182"/>
      <c r="UMJ1" s="182"/>
      <c r="UMK1" s="182"/>
      <c r="UML1" s="182"/>
      <c r="UMM1" s="182"/>
      <c r="UMN1" s="182"/>
      <c r="UMO1" s="182"/>
      <c r="UMP1" s="182"/>
      <c r="UMQ1" s="182"/>
      <c r="UMR1" s="182"/>
      <c r="UMS1" s="182"/>
      <c r="UMT1" s="182"/>
      <c r="UMU1" s="182"/>
      <c r="UMV1" s="182"/>
      <c r="UMW1" s="182"/>
      <c r="UMX1" s="182"/>
      <c r="UMY1" s="182"/>
      <c r="UMZ1" s="182"/>
      <c r="UNA1" s="182"/>
      <c r="UNB1" s="182"/>
      <c r="UNC1" s="182"/>
      <c r="UND1" s="182"/>
      <c r="UNE1" s="182"/>
      <c r="UNF1" s="182"/>
      <c r="UNG1" s="182"/>
      <c r="UNH1" s="182"/>
      <c r="UNI1" s="182"/>
      <c r="UNJ1" s="182"/>
      <c r="UNK1" s="182"/>
      <c r="UNL1" s="182"/>
      <c r="UNM1" s="182"/>
      <c r="UNN1" s="182"/>
      <c r="UNO1" s="182"/>
      <c r="UNP1" s="182"/>
      <c r="UNQ1" s="182"/>
      <c r="UNR1" s="182"/>
      <c r="UNS1" s="182"/>
      <c r="UNT1" s="182"/>
      <c r="UNU1" s="182"/>
      <c r="UNV1" s="182"/>
      <c r="UNW1" s="182"/>
      <c r="UNX1" s="182"/>
      <c r="UNY1" s="182"/>
      <c r="UNZ1" s="182"/>
      <c r="UOA1" s="182"/>
      <c r="UOB1" s="182"/>
      <c r="UOC1" s="182"/>
      <c r="UOD1" s="182"/>
      <c r="UOE1" s="182"/>
      <c r="UOF1" s="182"/>
      <c r="UOG1" s="182"/>
      <c r="UOH1" s="182"/>
      <c r="UOI1" s="182"/>
      <c r="UOJ1" s="182"/>
      <c r="UOK1" s="182"/>
      <c r="UOL1" s="182"/>
      <c r="UOM1" s="182"/>
      <c r="UON1" s="182"/>
      <c r="UOO1" s="182"/>
      <c r="UOP1" s="182"/>
      <c r="UOQ1" s="182"/>
      <c r="UOR1" s="182"/>
      <c r="UOS1" s="182"/>
      <c r="UOT1" s="182"/>
      <c r="UOU1" s="182"/>
      <c r="UOV1" s="182"/>
      <c r="UOW1" s="182"/>
      <c r="UOX1" s="182"/>
      <c r="UOY1" s="182"/>
      <c r="UOZ1" s="182"/>
      <c r="UPA1" s="182"/>
      <c r="UPB1" s="182"/>
      <c r="UPC1" s="182"/>
      <c r="UPD1" s="182"/>
      <c r="UPE1" s="182"/>
      <c r="UPF1" s="182"/>
      <c r="UPG1" s="182"/>
      <c r="UPH1" s="182"/>
      <c r="UPI1" s="182"/>
      <c r="UPJ1" s="182"/>
      <c r="UPK1" s="182"/>
      <c r="UPL1" s="182"/>
      <c r="UPM1" s="182"/>
      <c r="UPN1" s="182"/>
      <c r="UPO1" s="182"/>
      <c r="UPP1" s="182"/>
      <c r="UPQ1" s="182"/>
      <c r="UPR1" s="182"/>
      <c r="UPS1" s="182"/>
      <c r="UPT1" s="182"/>
      <c r="UPU1" s="182"/>
      <c r="UPV1" s="182"/>
      <c r="UPW1" s="182"/>
      <c r="UPX1" s="182"/>
      <c r="UPY1" s="182"/>
      <c r="UPZ1" s="182"/>
      <c r="UQA1" s="182"/>
      <c r="UQB1" s="182"/>
      <c r="UQC1" s="182"/>
      <c r="UQD1" s="182"/>
      <c r="UQE1" s="182"/>
      <c r="UQF1" s="182"/>
      <c r="UQG1" s="182"/>
      <c r="UQH1" s="182"/>
      <c r="UQI1" s="182"/>
      <c r="UQJ1" s="182"/>
      <c r="UQK1" s="182"/>
      <c r="UQL1" s="182"/>
      <c r="UQM1" s="182"/>
      <c r="UQN1" s="182"/>
      <c r="UQO1" s="182"/>
      <c r="UQP1" s="182"/>
      <c r="UQQ1" s="182"/>
      <c r="UQR1" s="182"/>
      <c r="UQS1" s="182"/>
      <c r="UQT1" s="182"/>
      <c r="UQU1" s="182"/>
      <c r="UQV1" s="182"/>
      <c r="UQW1" s="182"/>
      <c r="UQX1" s="182"/>
      <c r="UQY1" s="182"/>
      <c r="UQZ1" s="182"/>
      <c r="URA1" s="182"/>
      <c r="URB1" s="182"/>
      <c r="URC1" s="182"/>
      <c r="URD1" s="182"/>
      <c r="URE1" s="182"/>
      <c r="URF1" s="182"/>
      <c r="URG1" s="182"/>
      <c r="URH1" s="182"/>
      <c r="URI1" s="182"/>
      <c r="URJ1" s="182"/>
      <c r="URK1" s="182"/>
      <c r="URL1" s="182"/>
      <c r="URM1" s="182"/>
      <c r="URN1" s="182"/>
      <c r="URO1" s="182"/>
      <c r="URP1" s="182"/>
      <c r="URQ1" s="182"/>
      <c r="URR1" s="182"/>
      <c r="URS1" s="182"/>
      <c r="URT1" s="182"/>
      <c r="URU1" s="182"/>
      <c r="URV1" s="182"/>
      <c r="URW1" s="182"/>
      <c r="URX1" s="182"/>
      <c r="URY1" s="182"/>
      <c r="URZ1" s="182"/>
      <c r="USA1" s="182"/>
      <c r="USB1" s="182"/>
      <c r="USC1" s="182"/>
      <c r="USD1" s="182"/>
      <c r="USE1" s="182"/>
      <c r="USF1" s="182"/>
      <c r="USG1" s="182"/>
      <c r="USH1" s="182"/>
      <c r="USI1" s="182"/>
      <c r="USJ1" s="182"/>
      <c r="USK1" s="182"/>
      <c r="USL1" s="182"/>
      <c r="USM1" s="182"/>
      <c r="USN1" s="182"/>
      <c r="USO1" s="182"/>
      <c r="USP1" s="182"/>
      <c r="USQ1" s="182"/>
      <c r="USR1" s="182"/>
      <c r="USS1" s="182"/>
      <c r="UST1" s="182"/>
      <c r="USU1" s="182"/>
      <c r="USV1" s="182"/>
      <c r="USW1" s="182"/>
      <c r="USX1" s="182"/>
      <c r="USY1" s="182"/>
      <c r="USZ1" s="182"/>
      <c r="UTA1" s="182"/>
      <c r="UTB1" s="182"/>
      <c r="UTC1" s="182"/>
      <c r="UTD1" s="182"/>
      <c r="UTE1" s="182"/>
      <c r="UTF1" s="182"/>
      <c r="UTG1" s="182"/>
      <c r="UTH1" s="182"/>
      <c r="UTI1" s="182"/>
      <c r="UTJ1" s="182"/>
      <c r="UTK1" s="182"/>
      <c r="UTL1" s="182"/>
      <c r="UTM1" s="182"/>
      <c r="UTN1" s="182"/>
      <c r="UTO1" s="182"/>
      <c r="UTP1" s="182"/>
      <c r="UTQ1" s="182"/>
      <c r="UTR1" s="182"/>
      <c r="UTS1" s="182"/>
      <c r="UTT1" s="182"/>
      <c r="UTU1" s="182"/>
      <c r="UTV1" s="182"/>
      <c r="UTW1" s="182"/>
      <c r="UTX1" s="182"/>
      <c r="UTY1" s="182"/>
      <c r="UTZ1" s="182"/>
      <c r="UUA1" s="182"/>
      <c r="UUB1" s="182"/>
      <c r="UUC1" s="182"/>
      <c r="UUD1" s="182"/>
      <c r="UUE1" s="182"/>
      <c r="UUF1" s="182"/>
      <c r="UUG1" s="182"/>
      <c r="UUH1" s="182"/>
      <c r="UUI1" s="182"/>
      <c r="UUJ1" s="182"/>
      <c r="UUK1" s="182"/>
      <c r="UUL1" s="182"/>
      <c r="UUM1" s="182"/>
      <c r="UUN1" s="182"/>
      <c r="UUO1" s="182"/>
      <c r="UUP1" s="182"/>
      <c r="UUQ1" s="182"/>
      <c r="UUR1" s="182"/>
      <c r="UUS1" s="182"/>
      <c r="UUT1" s="182"/>
      <c r="UUU1" s="182"/>
      <c r="UUV1" s="182"/>
      <c r="UUW1" s="182"/>
      <c r="UUX1" s="182"/>
      <c r="UUY1" s="182"/>
      <c r="UUZ1" s="182"/>
      <c r="UVA1" s="182"/>
      <c r="UVB1" s="182"/>
      <c r="UVC1" s="182"/>
      <c r="UVD1" s="182"/>
      <c r="UVE1" s="182"/>
      <c r="UVF1" s="182"/>
      <c r="UVG1" s="182"/>
      <c r="UVH1" s="182"/>
      <c r="UVI1" s="182"/>
      <c r="UVJ1" s="182"/>
      <c r="UVK1" s="182"/>
      <c r="UVL1" s="182"/>
      <c r="UVM1" s="182"/>
      <c r="UVN1" s="182"/>
      <c r="UVO1" s="182"/>
      <c r="UVP1" s="182"/>
      <c r="UVQ1" s="182"/>
      <c r="UVR1" s="182"/>
      <c r="UVS1" s="182"/>
      <c r="UVT1" s="182"/>
      <c r="UVU1" s="182"/>
      <c r="UVV1" s="182"/>
      <c r="UVW1" s="182"/>
      <c r="UVX1" s="182"/>
      <c r="UVY1" s="182"/>
      <c r="UVZ1" s="182"/>
      <c r="UWA1" s="182"/>
      <c r="UWB1" s="182"/>
      <c r="UWC1" s="182"/>
      <c r="UWD1" s="182"/>
      <c r="UWE1" s="182"/>
      <c r="UWF1" s="182"/>
      <c r="UWG1" s="182"/>
      <c r="UWH1" s="182"/>
      <c r="UWI1" s="182"/>
      <c r="UWJ1" s="182"/>
      <c r="UWK1" s="182"/>
      <c r="UWL1" s="182"/>
      <c r="UWM1" s="182"/>
      <c r="UWN1" s="182"/>
      <c r="UWO1" s="182"/>
      <c r="UWP1" s="182"/>
      <c r="UWQ1" s="182"/>
      <c r="UWR1" s="182"/>
      <c r="UWS1" s="182"/>
      <c r="UWT1" s="182"/>
      <c r="UWU1" s="182"/>
      <c r="UWV1" s="182"/>
      <c r="UWW1" s="182"/>
      <c r="UWX1" s="182"/>
      <c r="UWY1" s="182"/>
      <c r="UWZ1" s="182"/>
      <c r="UXA1" s="182"/>
      <c r="UXB1" s="182"/>
      <c r="UXC1" s="182"/>
      <c r="UXD1" s="182"/>
      <c r="UXE1" s="182"/>
      <c r="UXF1" s="182"/>
      <c r="UXG1" s="182"/>
      <c r="UXH1" s="182"/>
      <c r="UXI1" s="182"/>
      <c r="UXJ1" s="182"/>
      <c r="UXK1" s="182"/>
      <c r="UXL1" s="182"/>
      <c r="UXM1" s="182"/>
      <c r="UXN1" s="182"/>
      <c r="UXO1" s="182"/>
      <c r="UXP1" s="182"/>
      <c r="UXQ1" s="182"/>
      <c r="UXR1" s="182"/>
      <c r="UXS1" s="182"/>
      <c r="UXT1" s="182"/>
      <c r="UXU1" s="182"/>
      <c r="UXV1" s="182"/>
      <c r="UXW1" s="182"/>
      <c r="UXX1" s="182"/>
      <c r="UXY1" s="182"/>
      <c r="UXZ1" s="182"/>
      <c r="UYA1" s="182"/>
      <c r="UYB1" s="182"/>
      <c r="UYC1" s="182"/>
      <c r="UYD1" s="182"/>
      <c r="UYE1" s="182"/>
      <c r="UYF1" s="182"/>
      <c r="UYG1" s="182"/>
      <c r="UYH1" s="182"/>
      <c r="UYI1" s="182"/>
      <c r="UYJ1" s="182"/>
      <c r="UYK1" s="182"/>
      <c r="UYL1" s="182"/>
      <c r="UYM1" s="182"/>
      <c r="UYN1" s="182"/>
      <c r="UYO1" s="182"/>
      <c r="UYP1" s="182"/>
      <c r="UYQ1" s="182"/>
      <c r="UYR1" s="182"/>
      <c r="UYS1" s="182"/>
      <c r="UYT1" s="182"/>
      <c r="UYU1" s="182"/>
      <c r="UYV1" s="182"/>
      <c r="UYW1" s="182"/>
      <c r="UYX1" s="182"/>
      <c r="UYY1" s="182"/>
      <c r="UYZ1" s="182"/>
      <c r="UZA1" s="182"/>
      <c r="UZB1" s="182"/>
      <c r="UZC1" s="182"/>
      <c r="UZD1" s="182"/>
      <c r="UZE1" s="182"/>
      <c r="UZF1" s="182"/>
      <c r="UZG1" s="182"/>
      <c r="UZH1" s="182"/>
      <c r="UZI1" s="182"/>
      <c r="UZJ1" s="182"/>
      <c r="UZK1" s="182"/>
      <c r="UZL1" s="182"/>
      <c r="UZM1" s="182"/>
      <c r="UZN1" s="182"/>
      <c r="UZO1" s="182"/>
      <c r="UZP1" s="182"/>
      <c r="UZQ1" s="182"/>
      <c r="UZR1" s="182"/>
      <c r="UZS1" s="182"/>
      <c r="UZT1" s="182"/>
      <c r="UZU1" s="182"/>
      <c r="UZV1" s="182"/>
      <c r="UZW1" s="182"/>
      <c r="UZX1" s="182"/>
      <c r="UZY1" s="182"/>
      <c r="UZZ1" s="182"/>
      <c r="VAA1" s="182"/>
      <c r="VAB1" s="182"/>
      <c r="VAC1" s="182"/>
      <c r="VAD1" s="182"/>
      <c r="VAE1" s="182"/>
      <c r="VAF1" s="182"/>
      <c r="VAG1" s="182"/>
      <c r="VAH1" s="182"/>
      <c r="VAI1" s="182"/>
      <c r="VAJ1" s="182"/>
      <c r="VAK1" s="182"/>
      <c r="VAL1" s="182"/>
      <c r="VAM1" s="182"/>
      <c r="VAN1" s="182"/>
      <c r="VAO1" s="182"/>
      <c r="VAP1" s="182"/>
      <c r="VAQ1" s="182"/>
      <c r="VAR1" s="182"/>
      <c r="VAS1" s="182"/>
      <c r="VAT1" s="182"/>
      <c r="VAU1" s="182"/>
      <c r="VAV1" s="182"/>
      <c r="VAW1" s="182"/>
      <c r="VAX1" s="182"/>
      <c r="VAY1" s="182"/>
      <c r="VAZ1" s="182"/>
      <c r="VBA1" s="182"/>
      <c r="VBB1" s="182"/>
      <c r="VBC1" s="182"/>
      <c r="VBD1" s="182"/>
      <c r="VBE1" s="182"/>
      <c r="VBF1" s="182"/>
      <c r="VBG1" s="182"/>
      <c r="VBH1" s="182"/>
      <c r="VBI1" s="182"/>
      <c r="VBJ1" s="182"/>
      <c r="VBK1" s="182"/>
      <c r="VBL1" s="182"/>
      <c r="VBM1" s="182"/>
      <c r="VBN1" s="182"/>
      <c r="VBO1" s="182"/>
      <c r="VBP1" s="182"/>
      <c r="VBQ1" s="182"/>
      <c r="VBR1" s="182"/>
      <c r="VBS1" s="182"/>
      <c r="VBT1" s="182"/>
      <c r="VBU1" s="182"/>
      <c r="VBV1" s="182"/>
      <c r="VBW1" s="182"/>
      <c r="VBX1" s="182"/>
      <c r="VBY1" s="182"/>
      <c r="VBZ1" s="182"/>
      <c r="VCA1" s="182"/>
      <c r="VCB1" s="182"/>
      <c r="VCC1" s="182"/>
      <c r="VCD1" s="182"/>
      <c r="VCE1" s="182"/>
      <c r="VCF1" s="182"/>
      <c r="VCG1" s="182"/>
      <c r="VCH1" s="182"/>
      <c r="VCI1" s="182"/>
      <c r="VCJ1" s="182"/>
      <c r="VCK1" s="182"/>
      <c r="VCL1" s="182"/>
      <c r="VCM1" s="182"/>
      <c r="VCN1" s="182"/>
      <c r="VCO1" s="182"/>
      <c r="VCP1" s="182"/>
      <c r="VCQ1" s="182"/>
      <c r="VCR1" s="182"/>
      <c r="VCS1" s="182"/>
      <c r="VCT1" s="182"/>
      <c r="VCU1" s="182"/>
      <c r="VCV1" s="182"/>
      <c r="VCW1" s="182"/>
      <c r="VCX1" s="182"/>
      <c r="VCY1" s="182"/>
      <c r="VCZ1" s="182"/>
      <c r="VDA1" s="182"/>
      <c r="VDB1" s="182"/>
      <c r="VDC1" s="182"/>
      <c r="VDD1" s="182"/>
      <c r="VDE1" s="182"/>
      <c r="VDF1" s="182"/>
      <c r="VDG1" s="182"/>
      <c r="VDH1" s="182"/>
      <c r="VDI1" s="182"/>
      <c r="VDJ1" s="182"/>
      <c r="VDK1" s="182"/>
      <c r="VDL1" s="182"/>
      <c r="VDM1" s="182"/>
      <c r="VDN1" s="182"/>
      <c r="VDO1" s="182"/>
      <c r="VDP1" s="182"/>
      <c r="VDQ1" s="182"/>
      <c r="VDR1" s="182"/>
      <c r="VDS1" s="182"/>
      <c r="VDT1" s="182"/>
      <c r="VDU1" s="182"/>
      <c r="VDV1" s="182"/>
      <c r="VDW1" s="182"/>
      <c r="VDX1" s="182"/>
      <c r="VDY1" s="182"/>
      <c r="VDZ1" s="182"/>
      <c r="VEA1" s="182"/>
      <c r="VEB1" s="182"/>
      <c r="VEC1" s="182"/>
      <c r="VED1" s="182"/>
      <c r="VEE1" s="182"/>
      <c r="VEF1" s="182"/>
      <c r="VEG1" s="182"/>
      <c r="VEH1" s="182"/>
      <c r="VEI1" s="182"/>
      <c r="VEJ1" s="182"/>
      <c r="VEK1" s="182"/>
      <c r="VEL1" s="182"/>
      <c r="VEM1" s="182"/>
      <c r="VEN1" s="182"/>
      <c r="VEO1" s="182"/>
      <c r="VEP1" s="182"/>
      <c r="VEQ1" s="182"/>
      <c r="VER1" s="182"/>
      <c r="VES1" s="182"/>
      <c r="VET1" s="182"/>
      <c r="VEU1" s="182"/>
      <c r="VEV1" s="182"/>
      <c r="VEW1" s="182"/>
      <c r="VEX1" s="182"/>
      <c r="VEY1" s="182"/>
      <c r="VEZ1" s="182"/>
      <c r="VFA1" s="182"/>
      <c r="VFB1" s="182"/>
      <c r="VFC1" s="182"/>
      <c r="VFD1" s="182"/>
      <c r="VFE1" s="182"/>
      <c r="VFF1" s="182"/>
      <c r="VFG1" s="182"/>
      <c r="VFH1" s="182"/>
      <c r="VFI1" s="182"/>
      <c r="VFJ1" s="182"/>
      <c r="VFK1" s="182"/>
      <c r="VFL1" s="182"/>
      <c r="VFM1" s="182"/>
      <c r="VFN1" s="182"/>
      <c r="VFO1" s="182"/>
      <c r="VFP1" s="182"/>
      <c r="VFQ1" s="182"/>
      <c r="VFR1" s="182"/>
      <c r="VFS1" s="182"/>
      <c r="VFT1" s="182"/>
      <c r="VFU1" s="182"/>
      <c r="VFV1" s="182"/>
      <c r="VFW1" s="182"/>
      <c r="VFX1" s="182"/>
      <c r="VFY1" s="182"/>
      <c r="VFZ1" s="182"/>
      <c r="VGA1" s="182"/>
      <c r="VGB1" s="182"/>
      <c r="VGC1" s="182"/>
      <c r="VGD1" s="182"/>
      <c r="VGE1" s="182"/>
      <c r="VGF1" s="182"/>
      <c r="VGG1" s="182"/>
      <c r="VGH1" s="182"/>
      <c r="VGI1" s="182"/>
      <c r="VGJ1" s="182"/>
      <c r="VGK1" s="182"/>
      <c r="VGL1" s="182"/>
      <c r="VGM1" s="182"/>
      <c r="VGN1" s="182"/>
      <c r="VGO1" s="182"/>
      <c r="VGP1" s="182"/>
      <c r="VGQ1" s="182"/>
      <c r="VGR1" s="182"/>
      <c r="VGS1" s="182"/>
      <c r="VGT1" s="182"/>
      <c r="VGU1" s="182"/>
      <c r="VGV1" s="182"/>
      <c r="VGW1" s="182"/>
      <c r="VGX1" s="182"/>
      <c r="VGY1" s="182"/>
      <c r="VGZ1" s="182"/>
      <c r="VHA1" s="182"/>
      <c r="VHB1" s="182"/>
      <c r="VHC1" s="182"/>
      <c r="VHD1" s="182"/>
      <c r="VHE1" s="182"/>
      <c r="VHF1" s="182"/>
      <c r="VHG1" s="182"/>
      <c r="VHH1" s="182"/>
      <c r="VHI1" s="182"/>
      <c r="VHJ1" s="182"/>
      <c r="VHK1" s="182"/>
      <c r="VHL1" s="182"/>
      <c r="VHM1" s="182"/>
      <c r="VHN1" s="182"/>
      <c r="VHO1" s="182"/>
      <c r="VHP1" s="182"/>
      <c r="VHQ1" s="182"/>
      <c r="VHR1" s="182"/>
      <c r="VHS1" s="182"/>
      <c r="VHT1" s="182"/>
      <c r="VHU1" s="182"/>
      <c r="VHV1" s="182"/>
      <c r="VHW1" s="182"/>
      <c r="VHX1" s="182"/>
      <c r="VHY1" s="182"/>
      <c r="VHZ1" s="182"/>
      <c r="VIA1" s="182"/>
      <c r="VIB1" s="182"/>
      <c r="VIC1" s="182"/>
      <c r="VID1" s="182"/>
      <c r="VIE1" s="182"/>
      <c r="VIF1" s="182"/>
      <c r="VIG1" s="182"/>
      <c r="VIH1" s="182"/>
      <c r="VII1" s="182"/>
      <c r="VIJ1" s="182"/>
      <c r="VIK1" s="182"/>
      <c r="VIL1" s="182"/>
      <c r="VIM1" s="182"/>
      <c r="VIN1" s="182"/>
      <c r="VIO1" s="182"/>
      <c r="VIP1" s="182"/>
      <c r="VIQ1" s="182"/>
      <c r="VIR1" s="182"/>
      <c r="VIS1" s="182"/>
      <c r="VIT1" s="182"/>
      <c r="VIU1" s="182"/>
      <c r="VIV1" s="182"/>
      <c r="VIW1" s="182"/>
      <c r="VIX1" s="182"/>
      <c r="VIY1" s="182"/>
      <c r="VIZ1" s="182"/>
      <c r="VJA1" s="182"/>
      <c r="VJB1" s="182"/>
      <c r="VJC1" s="182"/>
      <c r="VJD1" s="182"/>
      <c r="VJE1" s="182"/>
      <c r="VJF1" s="182"/>
      <c r="VJG1" s="182"/>
      <c r="VJH1" s="182"/>
      <c r="VJI1" s="182"/>
      <c r="VJJ1" s="182"/>
      <c r="VJK1" s="182"/>
      <c r="VJL1" s="182"/>
      <c r="VJM1" s="182"/>
      <c r="VJN1" s="182"/>
      <c r="VJO1" s="182"/>
      <c r="VJP1" s="182"/>
      <c r="VJQ1" s="182"/>
      <c r="VJR1" s="182"/>
      <c r="VJS1" s="182"/>
      <c r="VJT1" s="182"/>
      <c r="VJU1" s="182"/>
      <c r="VJV1" s="182"/>
      <c r="VJW1" s="182"/>
      <c r="VJX1" s="182"/>
      <c r="VJY1" s="182"/>
      <c r="VJZ1" s="182"/>
      <c r="VKA1" s="182"/>
      <c r="VKB1" s="182"/>
      <c r="VKC1" s="182"/>
      <c r="VKD1" s="182"/>
      <c r="VKE1" s="182"/>
      <c r="VKF1" s="182"/>
      <c r="VKG1" s="182"/>
      <c r="VKH1" s="182"/>
      <c r="VKI1" s="182"/>
      <c r="VKJ1" s="182"/>
      <c r="VKK1" s="182"/>
      <c r="VKL1" s="182"/>
      <c r="VKM1" s="182"/>
      <c r="VKN1" s="182"/>
      <c r="VKO1" s="182"/>
      <c r="VKP1" s="182"/>
      <c r="VKQ1" s="182"/>
      <c r="VKR1" s="182"/>
      <c r="VKS1" s="182"/>
      <c r="VKT1" s="182"/>
      <c r="VKU1" s="182"/>
      <c r="VKV1" s="182"/>
      <c r="VKW1" s="182"/>
      <c r="VKX1" s="182"/>
      <c r="VKY1" s="182"/>
      <c r="VKZ1" s="182"/>
      <c r="VLA1" s="182"/>
      <c r="VLB1" s="182"/>
      <c r="VLC1" s="182"/>
      <c r="VLD1" s="182"/>
      <c r="VLE1" s="182"/>
      <c r="VLF1" s="182"/>
      <c r="VLG1" s="182"/>
      <c r="VLH1" s="182"/>
      <c r="VLI1" s="182"/>
      <c r="VLJ1" s="182"/>
      <c r="VLK1" s="182"/>
      <c r="VLL1" s="182"/>
      <c r="VLM1" s="182"/>
      <c r="VLN1" s="182"/>
      <c r="VLO1" s="182"/>
      <c r="VLP1" s="182"/>
      <c r="VLQ1" s="182"/>
      <c r="VLR1" s="182"/>
      <c r="VLS1" s="182"/>
      <c r="VLT1" s="182"/>
      <c r="VLU1" s="182"/>
      <c r="VLV1" s="182"/>
      <c r="VLW1" s="182"/>
      <c r="VLX1" s="182"/>
      <c r="VLY1" s="182"/>
      <c r="VLZ1" s="182"/>
      <c r="VMA1" s="182"/>
      <c r="VMB1" s="182"/>
      <c r="VMC1" s="182"/>
      <c r="VMD1" s="182"/>
      <c r="VME1" s="182"/>
      <c r="VMF1" s="182"/>
      <c r="VMG1" s="182"/>
      <c r="VMH1" s="182"/>
      <c r="VMI1" s="182"/>
      <c r="VMJ1" s="182"/>
      <c r="VMK1" s="182"/>
      <c r="VML1" s="182"/>
      <c r="VMM1" s="182"/>
      <c r="VMN1" s="182"/>
      <c r="VMO1" s="182"/>
      <c r="VMP1" s="182"/>
      <c r="VMQ1" s="182"/>
      <c r="VMR1" s="182"/>
      <c r="VMS1" s="182"/>
      <c r="VMT1" s="182"/>
      <c r="VMU1" s="182"/>
      <c r="VMV1" s="182"/>
      <c r="VMW1" s="182"/>
      <c r="VMX1" s="182"/>
      <c r="VMY1" s="182"/>
      <c r="VMZ1" s="182"/>
      <c r="VNA1" s="182"/>
      <c r="VNB1" s="182"/>
      <c r="VNC1" s="182"/>
      <c r="VND1" s="182"/>
      <c r="VNE1" s="182"/>
      <c r="VNF1" s="182"/>
      <c r="VNG1" s="182"/>
      <c r="VNH1" s="182"/>
      <c r="VNI1" s="182"/>
      <c r="VNJ1" s="182"/>
      <c r="VNK1" s="182"/>
      <c r="VNL1" s="182"/>
      <c r="VNM1" s="182"/>
      <c r="VNN1" s="182"/>
      <c r="VNO1" s="182"/>
      <c r="VNP1" s="182"/>
      <c r="VNQ1" s="182"/>
      <c r="VNR1" s="182"/>
      <c r="VNS1" s="182"/>
      <c r="VNT1" s="182"/>
      <c r="VNU1" s="182"/>
      <c r="VNV1" s="182"/>
      <c r="VNW1" s="182"/>
      <c r="VNX1" s="182"/>
      <c r="VNY1" s="182"/>
      <c r="VNZ1" s="182"/>
      <c r="VOA1" s="182"/>
      <c r="VOB1" s="182"/>
      <c r="VOC1" s="182"/>
      <c r="VOD1" s="182"/>
      <c r="VOE1" s="182"/>
      <c r="VOF1" s="182"/>
      <c r="VOG1" s="182"/>
      <c r="VOH1" s="182"/>
      <c r="VOI1" s="182"/>
      <c r="VOJ1" s="182"/>
      <c r="VOK1" s="182"/>
      <c r="VOL1" s="182"/>
      <c r="VOM1" s="182"/>
      <c r="VON1" s="182"/>
      <c r="VOO1" s="182"/>
      <c r="VOP1" s="182"/>
      <c r="VOQ1" s="182"/>
      <c r="VOR1" s="182"/>
      <c r="VOS1" s="182"/>
      <c r="VOT1" s="182"/>
      <c r="VOU1" s="182"/>
      <c r="VOV1" s="182"/>
      <c r="VOW1" s="182"/>
      <c r="VOX1" s="182"/>
      <c r="VOY1" s="182"/>
      <c r="VOZ1" s="182"/>
      <c r="VPA1" s="182"/>
      <c r="VPB1" s="182"/>
      <c r="VPC1" s="182"/>
      <c r="VPD1" s="182"/>
      <c r="VPE1" s="182"/>
      <c r="VPF1" s="182"/>
      <c r="VPG1" s="182"/>
      <c r="VPH1" s="182"/>
      <c r="VPI1" s="182"/>
      <c r="VPJ1" s="182"/>
      <c r="VPK1" s="182"/>
      <c r="VPL1" s="182"/>
      <c r="VPM1" s="182"/>
      <c r="VPN1" s="182"/>
      <c r="VPO1" s="182"/>
      <c r="VPP1" s="182"/>
      <c r="VPQ1" s="182"/>
      <c r="VPR1" s="182"/>
      <c r="VPS1" s="182"/>
      <c r="VPT1" s="182"/>
      <c r="VPU1" s="182"/>
      <c r="VPV1" s="182"/>
      <c r="VPW1" s="182"/>
      <c r="VPX1" s="182"/>
      <c r="VPY1" s="182"/>
      <c r="VPZ1" s="182"/>
      <c r="VQA1" s="182"/>
      <c r="VQB1" s="182"/>
      <c r="VQC1" s="182"/>
      <c r="VQD1" s="182"/>
      <c r="VQE1" s="182"/>
      <c r="VQF1" s="182"/>
      <c r="VQG1" s="182"/>
      <c r="VQH1" s="182"/>
      <c r="VQI1" s="182"/>
      <c r="VQJ1" s="182"/>
      <c r="VQK1" s="182"/>
      <c r="VQL1" s="182"/>
      <c r="VQM1" s="182"/>
      <c r="VQN1" s="182"/>
      <c r="VQO1" s="182"/>
      <c r="VQP1" s="182"/>
      <c r="VQQ1" s="182"/>
      <c r="VQR1" s="182"/>
      <c r="VQS1" s="182"/>
      <c r="VQT1" s="182"/>
      <c r="VQU1" s="182"/>
      <c r="VQV1" s="182"/>
      <c r="VQW1" s="182"/>
      <c r="VQX1" s="182"/>
      <c r="VQY1" s="182"/>
      <c r="VQZ1" s="182"/>
      <c r="VRA1" s="182"/>
      <c r="VRB1" s="182"/>
      <c r="VRC1" s="182"/>
      <c r="VRD1" s="182"/>
      <c r="VRE1" s="182"/>
      <c r="VRF1" s="182"/>
      <c r="VRG1" s="182"/>
      <c r="VRH1" s="182"/>
      <c r="VRI1" s="182"/>
      <c r="VRJ1" s="182"/>
      <c r="VRK1" s="182"/>
      <c r="VRL1" s="182"/>
      <c r="VRM1" s="182"/>
      <c r="VRN1" s="182"/>
      <c r="VRO1" s="182"/>
      <c r="VRP1" s="182"/>
      <c r="VRQ1" s="182"/>
      <c r="VRR1" s="182"/>
      <c r="VRS1" s="182"/>
      <c r="VRT1" s="182"/>
      <c r="VRU1" s="182"/>
      <c r="VRV1" s="182"/>
      <c r="VRW1" s="182"/>
      <c r="VRX1" s="182"/>
      <c r="VRY1" s="182"/>
      <c r="VRZ1" s="182"/>
      <c r="VSA1" s="182"/>
      <c r="VSB1" s="182"/>
      <c r="VSC1" s="182"/>
      <c r="VSD1" s="182"/>
      <c r="VSE1" s="182"/>
      <c r="VSF1" s="182"/>
      <c r="VSG1" s="182"/>
      <c r="VSH1" s="182"/>
      <c r="VSI1" s="182"/>
      <c r="VSJ1" s="182"/>
      <c r="VSK1" s="182"/>
      <c r="VSL1" s="182"/>
      <c r="VSM1" s="182"/>
      <c r="VSN1" s="182"/>
      <c r="VSO1" s="182"/>
      <c r="VSP1" s="182"/>
      <c r="VSQ1" s="182"/>
      <c r="VSR1" s="182"/>
      <c r="VSS1" s="182"/>
      <c r="VST1" s="182"/>
      <c r="VSU1" s="182"/>
      <c r="VSV1" s="182"/>
      <c r="VSW1" s="182"/>
      <c r="VSX1" s="182"/>
      <c r="VSY1" s="182"/>
      <c r="VSZ1" s="182"/>
      <c r="VTA1" s="182"/>
      <c r="VTB1" s="182"/>
      <c r="VTC1" s="182"/>
      <c r="VTD1" s="182"/>
      <c r="VTE1" s="182"/>
      <c r="VTF1" s="182"/>
      <c r="VTG1" s="182"/>
      <c r="VTH1" s="182"/>
      <c r="VTI1" s="182"/>
      <c r="VTJ1" s="182"/>
      <c r="VTK1" s="182"/>
      <c r="VTL1" s="182"/>
      <c r="VTM1" s="182"/>
      <c r="VTN1" s="182"/>
      <c r="VTO1" s="182"/>
      <c r="VTP1" s="182"/>
      <c r="VTQ1" s="182"/>
      <c r="VTR1" s="182"/>
      <c r="VTS1" s="182"/>
      <c r="VTT1" s="182"/>
      <c r="VTU1" s="182"/>
      <c r="VTV1" s="182"/>
      <c r="VTW1" s="182"/>
      <c r="VTX1" s="182"/>
      <c r="VTY1" s="182"/>
      <c r="VTZ1" s="182"/>
      <c r="VUA1" s="182"/>
      <c r="VUB1" s="182"/>
      <c r="VUC1" s="182"/>
      <c r="VUD1" s="182"/>
      <c r="VUE1" s="182"/>
      <c r="VUF1" s="182"/>
      <c r="VUG1" s="182"/>
      <c r="VUH1" s="182"/>
      <c r="VUI1" s="182"/>
      <c r="VUJ1" s="182"/>
      <c r="VUK1" s="182"/>
      <c r="VUL1" s="182"/>
      <c r="VUM1" s="182"/>
      <c r="VUN1" s="182"/>
      <c r="VUO1" s="182"/>
      <c r="VUP1" s="182"/>
      <c r="VUQ1" s="182"/>
      <c r="VUR1" s="182"/>
      <c r="VUS1" s="182"/>
      <c r="VUT1" s="182"/>
      <c r="VUU1" s="182"/>
      <c r="VUV1" s="182"/>
      <c r="VUW1" s="182"/>
      <c r="VUX1" s="182"/>
      <c r="VUY1" s="182"/>
      <c r="VUZ1" s="182"/>
      <c r="VVA1" s="182"/>
      <c r="VVB1" s="182"/>
      <c r="VVC1" s="182"/>
      <c r="VVD1" s="182"/>
      <c r="VVE1" s="182"/>
      <c r="VVF1" s="182"/>
      <c r="VVG1" s="182"/>
      <c r="VVH1" s="182"/>
      <c r="VVI1" s="182"/>
      <c r="VVJ1" s="182"/>
      <c r="VVK1" s="182"/>
      <c r="VVL1" s="182"/>
      <c r="VVM1" s="182"/>
      <c r="VVN1" s="182"/>
      <c r="VVO1" s="182"/>
      <c r="VVP1" s="182"/>
      <c r="VVQ1" s="182"/>
      <c r="VVR1" s="182"/>
      <c r="VVS1" s="182"/>
      <c r="VVT1" s="182"/>
      <c r="VVU1" s="182"/>
      <c r="VVV1" s="182"/>
      <c r="VVW1" s="182"/>
      <c r="VVX1" s="182"/>
      <c r="VVY1" s="182"/>
      <c r="VVZ1" s="182"/>
      <c r="VWA1" s="182"/>
      <c r="VWB1" s="182"/>
      <c r="VWC1" s="182"/>
      <c r="VWD1" s="182"/>
      <c r="VWE1" s="182"/>
      <c r="VWF1" s="182"/>
      <c r="VWG1" s="182"/>
      <c r="VWH1" s="182"/>
      <c r="VWI1" s="182"/>
      <c r="VWJ1" s="182"/>
      <c r="VWK1" s="182"/>
      <c r="VWL1" s="182"/>
      <c r="VWM1" s="182"/>
      <c r="VWN1" s="182"/>
      <c r="VWO1" s="182"/>
      <c r="VWP1" s="182"/>
      <c r="VWQ1" s="182"/>
      <c r="VWR1" s="182"/>
      <c r="VWS1" s="182"/>
      <c r="VWT1" s="182"/>
      <c r="VWU1" s="182"/>
      <c r="VWV1" s="182"/>
      <c r="VWW1" s="182"/>
      <c r="VWX1" s="182"/>
      <c r="VWY1" s="182"/>
      <c r="VWZ1" s="182"/>
      <c r="VXA1" s="182"/>
      <c r="VXB1" s="182"/>
      <c r="VXC1" s="182"/>
      <c r="VXD1" s="182"/>
      <c r="VXE1" s="182"/>
      <c r="VXF1" s="182"/>
      <c r="VXG1" s="182"/>
      <c r="VXH1" s="182"/>
      <c r="VXI1" s="182"/>
      <c r="VXJ1" s="182"/>
      <c r="VXK1" s="182"/>
      <c r="VXL1" s="182"/>
      <c r="VXM1" s="182"/>
      <c r="VXN1" s="182"/>
      <c r="VXO1" s="182"/>
      <c r="VXP1" s="182"/>
      <c r="VXQ1" s="182"/>
      <c r="VXR1" s="182"/>
      <c r="VXS1" s="182"/>
      <c r="VXT1" s="182"/>
      <c r="VXU1" s="182"/>
      <c r="VXV1" s="182"/>
      <c r="VXW1" s="182"/>
      <c r="VXX1" s="182"/>
      <c r="VXY1" s="182"/>
      <c r="VXZ1" s="182"/>
      <c r="VYA1" s="182"/>
      <c r="VYB1" s="182"/>
      <c r="VYC1" s="182"/>
      <c r="VYD1" s="182"/>
      <c r="VYE1" s="182"/>
      <c r="VYF1" s="182"/>
      <c r="VYG1" s="182"/>
      <c r="VYH1" s="182"/>
      <c r="VYI1" s="182"/>
      <c r="VYJ1" s="182"/>
      <c r="VYK1" s="182"/>
      <c r="VYL1" s="182"/>
      <c r="VYM1" s="182"/>
      <c r="VYN1" s="182"/>
      <c r="VYO1" s="182"/>
      <c r="VYP1" s="182"/>
      <c r="VYQ1" s="182"/>
      <c r="VYR1" s="182"/>
      <c r="VYS1" s="182"/>
      <c r="VYT1" s="182"/>
      <c r="VYU1" s="182"/>
      <c r="VYV1" s="182"/>
      <c r="VYW1" s="182"/>
      <c r="VYX1" s="182"/>
      <c r="VYY1" s="182"/>
      <c r="VYZ1" s="182"/>
      <c r="VZA1" s="182"/>
      <c r="VZB1" s="182"/>
      <c r="VZC1" s="182"/>
      <c r="VZD1" s="182"/>
      <c r="VZE1" s="182"/>
      <c r="VZF1" s="182"/>
      <c r="VZG1" s="182"/>
      <c r="VZH1" s="182"/>
      <c r="VZI1" s="182"/>
      <c r="VZJ1" s="182"/>
      <c r="VZK1" s="182"/>
      <c r="VZL1" s="182"/>
      <c r="VZM1" s="182"/>
      <c r="VZN1" s="182"/>
      <c r="VZO1" s="182"/>
      <c r="VZP1" s="182"/>
      <c r="VZQ1" s="182"/>
      <c r="VZR1" s="182"/>
      <c r="VZS1" s="182"/>
      <c r="VZT1" s="182"/>
      <c r="VZU1" s="182"/>
      <c r="VZV1" s="182"/>
      <c r="VZW1" s="182"/>
      <c r="VZX1" s="182"/>
      <c r="VZY1" s="182"/>
      <c r="VZZ1" s="182"/>
      <c r="WAA1" s="182"/>
      <c r="WAB1" s="182"/>
      <c r="WAC1" s="182"/>
      <c r="WAD1" s="182"/>
      <c r="WAE1" s="182"/>
      <c r="WAF1" s="182"/>
      <c r="WAG1" s="182"/>
      <c r="WAH1" s="182"/>
      <c r="WAI1" s="182"/>
      <c r="WAJ1" s="182"/>
      <c r="WAK1" s="182"/>
      <c r="WAL1" s="182"/>
      <c r="WAM1" s="182"/>
      <c r="WAN1" s="182"/>
      <c r="WAO1" s="182"/>
      <c r="WAP1" s="182"/>
      <c r="WAQ1" s="182"/>
      <c r="WAR1" s="182"/>
      <c r="WAS1" s="182"/>
      <c r="WAT1" s="182"/>
      <c r="WAU1" s="182"/>
      <c r="WAV1" s="182"/>
      <c r="WAW1" s="182"/>
      <c r="WAX1" s="182"/>
      <c r="WAY1" s="182"/>
      <c r="WAZ1" s="182"/>
      <c r="WBA1" s="182"/>
      <c r="WBB1" s="182"/>
      <c r="WBC1" s="182"/>
      <c r="WBD1" s="182"/>
      <c r="WBE1" s="182"/>
      <c r="WBF1" s="182"/>
      <c r="WBG1" s="182"/>
      <c r="WBH1" s="182"/>
      <c r="WBI1" s="182"/>
      <c r="WBJ1" s="182"/>
      <c r="WBK1" s="182"/>
      <c r="WBL1" s="182"/>
      <c r="WBM1" s="182"/>
      <c r="WBN1" s="182"/>
      <c r="WBO1" s="182"/>
      <c r="WBP1" s="182"/>
      <c r="WBQ1" s="182"/>
      <c r="WBR1" s="182"/>
      <c r="WBS1" s="182"/>
      <c r="WBT1" s="182"/>
      <c r="WBU1" s="182"/>
      <c r="WBV1" s="182"/>
      <c r="WBW1" s="182"/>
      <c r="WBX1" s="182"/>
      <c r="WBY1" s="182"/>
      <c r="WBZ1" s="182"/>
      <c r="WCA1" s="182"/>
      <c r="WCB1" s="182"/>
      <c r="WCC1" s="182"/>
      <c r="WCD1" s="182"/>
      <c r="WCE1" s="182"/>
      <c r="WCF1" s="182"/>
      <c r="WCG1" s="182"/>
      <c r="WCH1" s="182"/>
      <c r="WCI1" s="182"/>
      <c r="WCJ1" s="182"/>
      <c r="WCK1" s="182"/>
      <c r="WCL1" s="182"/>
      <c r="WCM1" s="182"/>
      <c r="WCN1" s="182"/>
      <c r="WCO1" s="182"/>
      <c r="WCP1" s="182"/>
      <c r="WCQ1" s="182"/>
      <c r="WCR1" s="182"/>
      <c r="WCS1" s="182"/>
      <c r="WCT1" s="182"/>
      <c r="WCU1" s="182"/>
      <c r="WCV1" s="182"/>
      <c r="WCW1" s="182"/>
      <c r="WCX1" s="182"/>
      <c r="WCY1" s="182"/>
      <c r="WCZ1" s="182"/>
      <c r="WDA1" s="182"/>
      <c r="WDB1" s="182"/>
      <c r="WDC1" s="182"/>
      <c r="WDD1" s="182"/>
      <c r="WDE1" s="182"/>
      <c r="WDF1" s="182"/>
      <c r="WDG1" s="182"/>
      <c r="WDH1" s="182"/>
      <c r="WDI1" s="182"/>
      <c r="WDJ1" s="182"/>
      <c r="WDK1" s="182"/>
      <c r="WDL1" s="182"/>
      <c r="WDM1" s="182"/>
      <c r="WDN1" s="182"/>
      <c r="WDO1" s="182"/>
      <c r="WDP1" s="182"/>
      <c r="WDQ1" s="182"/>
      <c r="WDR1" s="182"/>
      <c r="WDS1" s="182"/>
      <c r="WDT1" s="182"/>
      <c r="WDU1" s="182"/>
      <c r="WDV1" s="182"/>
      <c r="WDW1" s="182"/>
      <c r="WDX1" s="182"/>
      <c r="WDY1" s="182"/>
      <c r="WDZ1" s="182"/>
      <c r="WEA1" s="182"/>
      <c r="WEB1" s="182"/>
      <c r="WEC1" s="182"/>
      <c r="WED1" s="182"/>
      <c r="WEE1" s="182"/>
      <c r="WEF1" s="182"/>
      <c r="WEG1" s="182"/>
      <c r="WEH1" s="182"/>
      <c r="WEI1" s="182"/>
      <c r="WEJ1" s="182"/>
      <c r="WEK1" s="182"/>
      <c r="WEL1" s="182"/>
      <c r="WEM1" s="182"/>
      <c r="WEN1" s="182"/>
      <c r="WEO1" s="182"/>
      <c r="WEP1" s="182"/>
      <c r="WEQ1" s="182"/>
      <c r="WER1" s="182"/>
      <c r="WES1" s="182"/>
      <c r="WET1" s="182"/>
      <c r="WEU1" s="182"/>
      <c r="WEV1" s="182"/>
      <c r="WEW1" s="182"/>
      <c r="WEX1" s="182"/>
      <c r="WEY1" s="182"/>
      <c r="WEZ1" s="182"/>
      <c r="WFA1" s="182"/>
      <c r="WFB1" s="182"/>
      <c r="WFC1" s="182"/>
      <c r="WFD1" s="182"/>
      <c r="WFE1" s="182"/>
      <c r="WFF1" s="182"/>
      <c r="WFG1" s="182"/>
      <c r="WFH1" s="182"/>
      <c r="WFI1" s="182"/>
      <c r="WFJ1" s="182"/>
      <c r="WFK1" s="182"/>
      <c r="WFL1" s="182"/>
      <c r="WFM1" s="182"/>
      <c r="WFN1" s="182"/>
      <c r="WFO1" s="182"/>
      <c r="WFP1" s="182"/>
      <c r="WFQ1" s="182"/>
      <c r="WFR1" s="182"/>
      <c r="WFS1" s="182"/>
      <c r="WFT1" s="182"/>
      <c r="WFU1" s="182"/>
      <c r="WFV1" s="182"/>
      <c r="WFW1" s="182"/>
      <c r="WFX1" s="182"/>
      <c r="WFY1" s="182"/>
      <c r="WFZ1" s="182"/>
      <c r="WGA1" s="182"/>
      <c r="WGB1" s="182"/>
      <c r="WGC1" s="182"/>
      <c r="WGD1" s="182"/>
      <c r="WGE1" s="182"/>
      <c r="WGF1" s="182"/>
      <c r="WGG1" s="182"/>
      <c r="WGH1" s="182"/>
      <c r="WGI1" s="182"/>
      <c r="WGJ1" s="182"/>
      <c r="WGK1" s="182"/>
      <c r="WGL1" s="182"/>
      <c r="WGM1" s="182"/>
      <c r="WGN1" s="182"/>
      <c r="WGO1" s="182"/>
      <c r="WGP1" s="182"/>
      <c r="WGQ1" s="182"/>
      <c r="WGR1" s="182"/>
      <c r="WGS1" s="182"/>
      <c r="WGT1" s="182"/>
      <c r="WGU1" s="182"/>
      <c r="WGV1" s="182"/>
      <c r="WGW1" s="182"/>
      <c r="WGX1" s="182"/>
      <c r="WGY1" s="182"/>
      <c r="WGZ1" s="182"/>
      <c r="WHA1" s="182"/>
      <c r="WHB1" s="182"/>
      <c r="WHC1" s="182"/>
      <c r="WHD1" s="182"/>
      <c r="WHE1" s="182"/>
      <c r="WHF1" s="182"/>
      <c r="WHG1" s="182"/>
      <c r="WHH1" s="182"/>
      <c r="WHI1" s="182"/>
      <c r="WHJ1" s="182"/>
      <c r="WHK1" s="182"/>
      <c r="WHL1" s="182"/>
      <c r="WHM1" s="182"/>
      <c r="WHN1" s="182"/>
      <c r="WHO1" s="182"/>
      <c r="WHP1" s="182"/>
      <c r="WHQ1" s="182"/>
      <c r="WHR1" s="182"/>
      <c r="WHS1" s="182"/>
      <c r="WHT1" s="182"/>
      <c r="WHU1" s="182"/>
      <c r="WHV1" s="182"/>
      <c r="WHW1" s="182"/>
      <c r="WHX1" s="182"/>
      <c r="WHY1" s="182"/>
      <c r="WHZ1" s="182"/>
      <c r="WIA1" s="182"/>
      <c r="WIB1" s="182"/>
      <c r="WIC1" s="182"/>
      <c r="WID1" s="182"/>
      <c r="WIE1" s="182"/>
      <c r="WIF1" s="182"/>
      <c r="WIG1" s="182"/>
      <c r="WIH1" s="182"/>
      <c r="WII1" s="182"/>
      <c r="WIJ1" s="182"/>
      <c r="WIK1" s="182"/>
      <c r="WIL1" s="182"/>
      <c r="WIM1" s="182"/>
      <c r="WIN1" s="182"/>
      <c r="WIO1" s="182"/>
      <c r="WIP1" s="182"/>
      <c r="WIQ1" s="182"/>
      <c r="WIR1" s="182"/>
      <c r="WIS1" s="182"/>
      <c r="WIT1" s="182"/>
      <c r="WIU1" s="182"/>
      <c r="WIV1" s="182"/>
      <c r="WIW1" s="182"/>
      <c r="WIX1" s="182"/>
      <c r="WIY1" s="182"/>
      <c r="WIZ1" s="182"/>
      <c r="WJA1" s="182"/>
      <c r="WJB1" s="182"/>
      <c r="WJC1" s="182"/>
      <c r="WJD1" s="182"/>
      <c r="WJE1" s="182"/>
      <c r="WJF1" s="182"/>
      <c r="WJG1" s="182"/>
      <c r="WJH1" s="182"/>
      <c r="WJI1" s="182"/>
      <c r="WJJ1" s="182"/>
      <c r="WJK1" s="182"/>
      <c r="WJL1" s="182"/>
      <c r="WJM1" s="182"/>
      <c r="WJN1" s="182"/>
      <c r="WJO1" s="182"/>
      <c r="WJP1" s="182"/>
      <c r="WJQ1" s="182"/>
      <c r="WJR1" s="182"/>
      <c r="WJS1" s="182"/>
      <c r="WJT1" s="182"/>
      <c r="WJU1" s="182"/>
      <c r="WJV1" s="182"/>
      <c r="WJW1" s="182"/>
      <c r="WJX1" s="182"/>
      <c r="WJY1" s="182"/>
      <c r="WJZ1" s="182"/>
      <c r="WKA1" s="182"/>
      <c r="WKB1" s="182"/>
      <c r="WKC1" s="182"/>
      <c r="WKD1" s="182"/>
      <c r="WKE1" s="182"/>
      <c r="WKF1" s="182"/>
      <c r="WKG1" s="182"/>
      <c r="WKH1" s="182"/>
      <c r="WKI1" s="182"/>
      <c r="WKJ1" s="182"/>
      <c r="WKK1" s="182"/>
      <c r="WKL1" s="182"/>
      <c r="WKM1" s="182"/>
      <c r="WKN1" s="182"/>
      <c r="WKO1" s="182"/>
      <c r="WKP1" s="182"/>
      <c r="WKQ1" s="182"/>
      <c r="WKR1" s="182"/>
      <c r="WKS1" s="182"/>
      <c r="WKT1" s="182"/>
      <c r="WKU1" s="182"/>
      <c r="WKV1" s="182"/>
      <c r="WKW1" s="182"/>
      <c r="WKX1" s="182"/>
      <c r="WKY1" s="182"/>
      <c r="WKZ1" s="182"/>
      <c r="WLA1" s="182"/>
      <c r="WLB1" s="182"/>
      <c r="WLC1" s="182"/>
      <c r="WLD1" s="182"/>
      <c r="WLE1" s="182"/>
      <c r="WLF1" s="182"/>
      <c r="WLG1" s="182"/>
      <c r="WLH1" s="182"/>
      <c r="WLI1" s="182"/>
      <c r="WLJ1" s="182"/>
      <c r="WLK1" s="182"/>
      <c r="WLL1" s="182"/>
      <c r="WLM1" s="182"/>
      <c r="WLN1" s="182"/>
      <c r="WLO1" s="182"/>
      <c r="WLP1" s="182"/>
      <c r="WLQ1" s="182"/>
      <c r="WLR1" s="182"/>
      <c r="WLS1" s="182"/>
      <c r="WLT1" s="182"/>
      <c r="WLU1" s="182"/>
      <c r="WLV1" s="182"/>
      <c r="WLW1" s="182"/>
      <c r="WLX1" s="182"/>
      <c r="WLY1" s="182"/>
      <c r="WLZ1" s="182"/>
      <c r="WMA1" s="182"/>
      <c r="WMB1" s="182"/>
      <c r="WMC1" s="182"/>
      <c r="WMD1" s="182"/>
      <c r="WME1" s="182"/>
      <c r="WMF1" s="182"/>
      <c r="WMG1" s="182"/>
      <c r="WMH1" s="182"/>
      <c r="WMI1" s="182"/>
      <c r="WMJ1" s="182"/>
      <c r="WMK1" s="182"/>
      <c r="WML1" s="182"/>
      <c r="WMM1" s="182"/>
      <c r="WMN1" s="182"/>
      <c r="WMO1" s="182"/>
      <c r="WMP1" s="182"/>
      <c r="WMQ1" s="182"/>
      <c r="WMR1" s="182"/>
      <c r="WMS1" s="182"/>
      <c r="WMT1" s="182"/>
      <c r="WMU1" s="182"/>
      <c r="WMV1" s="182"/>
      <c r="WMW1" s="182"/>
      <c r="WMX1" s="182"/>
      <c r="WMY1" s="182"/>
      <c r="WMZ1" s="182"/>
      <c r="WNA1" s="182"/>
      <c r="WNB1" s="182"/>
      <c r="WNC1" s="182"/>
      <c r="WND1" s="182"/>
      <c r="WNE1" s="182"/>
      <c r="WNF1" s="182"/>
      <c r="WNG1" s="182"/>
      <c r="WNH1" s="182"/>
      <c r="WNI1" s="182"/>
      <c r="WNJ1" s="182"/>
      <c r="WNK1" s="182"/>
      <c r="WNL1" s="182"/>
      <c r="WNM1" s="182"/>
      <c r="WNN1" s="182"/>
      <c r="WNO1" s="182"/>
      <c r="WNP1" s="182"/>
      <c r="WNQ1" s="182"/>
      <c r="WNR1" s="182"/>
      <c r="WNS1" s="182"/>
      <c r="WNT1" s="182"/>
      <c r="WNU1" s="182"/>
      <c r="WNV1" s="182"/>
      <c r="WNW1" s="182"/>
      <c r="WNX1" s="182"/>
      <c r="WNY1" s="182"/>
      <c r="WNZ1" s="182"/>
      <c r="WOA1" s="182"/>
      <c r="WOB1" s="182"/>
      <c r="WOC1" s="182"/>
      <c r="WOD1" s="182"/>
      <c r="WOE1" s="182"/>
      <c r="WOF1" s="182"/>
      <c r="WOG1" s="182"/>
      <c r="WOH1" s="182"/>
      <c r="WOI1" s="182"/>
      <c r="WOJ1" s="182"/>
      <c r="WOK1" s="182"/>
      <c r="WOL1" s="182"/>
      <c r="WOM1" s="182"/>
      <c r="WON1" s="182"/>
      <c r="WOO1" s="182"/>
      <c r="WOP1" s="182"/>
      <c r="WOQ1" s="182"/>
      <c r="WOR1" s="182"/>
      <c r="WOS1" s="182"/>
      <c r="WOT1" s="182"/>
      <c r="WOU1" s="182"/>
      <c r="WOV1" s="182"/>
      <c r="WOW1" s="182"/>
      <c r="WOX1" s="182"/>
      <c r="WOY1" s="182"/>
      <c r="WOZ1" s="182"/>
      <c r="WPA1" s="182"/>
      <c r="WPB1" s="182"/>
      <c r="WPC1" s="182"/>
      <c r="WPD1" s="182"/>
      <c r="WPE1" s="182"/>
      <c r="WPF1" s="182"/>
      <c r="WPG1" s="182"/>
      <c r="WPH1" s="182"/>
      <c r="WPI1" s="182"/>
      <c r="WPJ1" s="182"/>
      <c r="WPK1" s="182"/>
      <c r="WPL1" s="182"/>
      <c r="WPM1" s="182"/>
      <c r="WPN1" s="182"/>
      <c r="WPO1" s="182"/>
      <c r="WPP1" s="182"/>
      <c r="WPQ1" s="182"/>
      <c r="WPR1" s="182"/>
      <c r="WPS1" s="182"/>
      <c r="WPT1" s="182"/>
      <c r="WPU1" s="182"/>
      <c r="WPV1" s="182"/>
      <c r="WPW1" s="182"/>
      <c r="WPX1" s="182"/>
      <c r="WPY1" s="182"/>
      <c r="WPZ1" s="182"/>
      <c r="WQA1" s="182"/>
      <c r="WQB1" s="182"/>
      <c r="WQC1" s="182"/>
      <c r="WQD1" s="182"/>
      <c r="WQE1" s="182"/>
      <c r="WQF1" s="182"/>
      <c r="WQG1" s="182"/>
      <c r="WQH1" s="182"/>
      <c r="WQI1" s="182"/>
      <c r="WQJ1" s="182"/>
      <c r="WQK1" s="182"/>
      <c r="WQL1" s="182"/>
      <c r="WQM1" s="182"/>
      <c r="WQN1" s="182"/>
      <c r="WQO1" s="182"/>
      <c r="WQP1" s="182"/>
      <c r="WQQ1" s="182"/>
      <c r="WQR1" s="182"/>
      <c r="WQS1" s="182"/>
      <c r="WQT1" s="182"/>
      <c r="WQU1" s="182"/>
      <c r="WQV1" s="182"/>
      <c r="WQW1" s="182"/>
      <c r="WQX1" s="182"/>
      <c r="WQY1" s="182"/>
      <c r="WQZ1" s="182"/>
      <c r="WRA1" s="182"/>
      <c r="WRB1" s="182"/>
      <c r="WRC1" s="182"/>
      <c r="WRD1" s="182"/>
      <c r="WRE1" s="182"/>
      <c r="WRF1" s="182"/>
      <c r="WRG1" s="182"/>
      <c r="WRH1" s="182"/>
      <c r="WRI1" s="182"/>
      <c r="WRJ1" s="182"/>
      <c r="WRK1" s="182"/>
      <c r="WRL1" s="182"/>
      <c r="WRM1" s="182"/>
      <c r="WRN1" s="182"/>
      <c r="WRO1" s="182"/>
      <c r="WRP1" s="182"/>
      <c r="WRQ1" s="182"/>
      <c r="WRR1" s="182"/>
      <c r="WRS1" s="182"/>
      <c r="WRT1" s="182"/>
      <c r="WRU1" s="182"/>
      <c r="WRV1" s="182"/>
      <c r="WRW1" s="182"/>
      <c r="WRX1" s="182"/>
      <c r="WRY1" s="182"/>
      <c r="WRZ1" s="182"/>
      <c r="WSA1" s="182"/>
      <c r="WSB1" s="182"/>
      <c r="WSC1" s="182"/>
      <c r="WSD1" s="182"/>
      <c r="WSE1" s="182"/>
      <c r="WSF1" s="182"/>
      <c r="WSG1" s="182"/>
      <c r="WSH1" s="182"/>
      <c r="WSI1" s="182"/>
      <c r="WSJ1" s="182"/>
      <c r="WSK1" s="182"/>
      <c r="WSL1" s="182"/>
      <c r="WSM1" s="182"/>
      <c r="WSN1" s="182"/>
      <c r="WSO1" s="182"/>
      <c r="WSP1" s="182"/>
      <c r="WSQ1" s="182"/>
      <c r="WSR1" s="182"/>
      <c r="WSS1" s="182"/>
      <c r="WST1" s="182"/>
      <c r="WSU1" s="182"/>
      <c r="WSV1" s="182"/>
      <c r="WSW1" s="182"/>
      <c r="WSX1" s="182"/>
      <c r="WSY1" s="182"/>
      <c r="WSZ1" s="182"/>
      <c r="WTA1" s="182"/>
      <c r="WTB1" s="182"/>
      <c r="WTC1" s="182"/>
      <c r="WTD1" s="182"/>
      <c r="WTE1" s="182"/>
      <c r="WTF1" s="182"/>
      <c r="WTG1" s="182"/>
      <c r="WTH1" s="182"/>
      <c r="WTI1" s="182"/>
      <c r="WTJ1" s="182"/>
      <c r="WTK1" s="182"/>
      <c r="WTL1" s="182"/>
      <c r="WTM1" s="182"/>
      <c r="WTN1" s="182"/>
      <c r="WTO1" s="182"/>
      <c r="WTP1" s="182"/>
      <c r="WTQ1" s="182"/>
      <c r="WTR1" s="182"/>
      <c r="WTS1" s="182"/>
      <c r="WTT1" s="182"/>
      <c r="WTU1" s="182"/>
      <c r="WTV1" s="182"/>
      <c r="WTW1" s="182"/>
      <c r="WTX1" s="182"/>
      <c r="WTY1" s="182"/>
      <c r="WTZ1" s="182"/>
      <c r="WUA1" s="182"/>
      <c r="WUB1" s="182"/>
      <c r="WUC1" s="182"/>
      <c r="WUD1" s="182"/>
      <c r="WUE1" s="182"/>
      <c r="WUF1" s="182"/>
      <c r="WUG1" s="182"/>
      <c r="WUH1" s="182"/>
      <c r="WUI1" s="182"/>
      <c r="WUJ1" s="182"/>
      <c r="WUK1" s="182"/>
      <c r="WUL1" s="182"/>
      <c r="WUM1" s="182"/>
      <c r="WUN1" s="182"/>
      <c r="WUO1" s="182"/>
      <c r="WUP1" s="182"/>
      <c r="WUQ1" s="182"/>
      <c r="WUR1" s="182"/>
      <c r="WUS1" s="182"/>
      <c r="WUT1" s="182"/>
      <c r="WUU1" s="182"/>
      <c r="WUV1" s="182"/>
      <c r="WUW1" s="182"/>
      <c r="WUX1" s="182"/>
      <c r="WUY1" s="182"/>
      <c r="WUZ1" s="182"/>
      <c r="WVA1" s="182"/>
      <c r="WVB1" s="182"/>
      <c r="WVC1" s="182"/>
      <c r="WVD1" s="182"/>
      <c r="WVE1" s="182"/>
      <c r="WVF1" s="182"/>
      <c r="WVG1" s="182"/>
      <c r="WVH1" s="182"/>
      <c r="WVI1" s="182"/>
      <c r="WVJ1" s="182"/>
      <c r="WVK1" s="182"/>
      <c r="WVL1" s="182"/>
      <c r="WVM1" s="182"/>
      <c r="WVN1" s="182"/>
      <c r="WVO1" s="182"/>
      <c r="WVP1" s="182"/>
      <c r="WVQ1" s="182"/>
      <c r="WVR1" s="182"/>
      <c r="WVS1" s="182"/>
      <c r="WVT1" s="182"/>
      <c r="WVU1" s="182"/>
      <c r="WVV1" s="182"/>
      <c r="WVW1" s="182"/>
      <c r="WVX1" s="182"/>
      <c r="WVY1" s="182"/>
      <c r="WVZ1" s="182"/>
      <c r="WWA1" s="182"/>
      <c r="WWB1" s="182"/>
      <c r="WWC1" s="182"/>
      <c r="WWD1" s="182"/>
      <c r="WWE1" s="182"/>
      <c r="WWF1" s="182"/>
      <c r="WWG1" s="182"/>
      <c r="WWH1" s="182"/>
      <c r="WWI1" s="182"/>
      <c r="WWJ1" s="182"/>
      <c r="WWK1" s="182"/>
      <c r="WWL1" s="182"/>
      <c r="WWM1" s="182"/>
      <c r="WWN1" s="182"/>
      <c r="WWO1" s="182"/>
      <c r="WWP1" s="182"/>
      <c r="WWQ1" s="182"/>
      <c r="WWR1" s="182"/>
      <c r="WWS1" s="182"/>
      <c r="WWT1" s="182"/>
      <c r="WWU1" s="182"/>
      <c r="WWV1" s="182"/>
      <c r="WWW1" s="182"/>
      <c r="WWX1" s="182"/>
      <c r="WWY1" s="182"/>
      <c r="WWZ1" s="182"/>
      <c r="WXA1" s="182"/>
      <c r="WXB1" s="182"/>
      <c r="WXC1" s="182"/>
      <c r="WXD1" s="182"/>
      <c r="WXE1" s="182"/>
      <c r="WXF1" s="182"/>
      <c r="WXG1" s="182"/>
      <c r="WXH1" s="182"/>
      <c r="WXI1" s="182"/>
      <c r="WXJ1" s="182"/>
      <c r="WXK1" s="182"/>
      <c r="WXL1" s="182"/>
      <c r="WXM1" s="182"/>
      <c r="WXN1" s="182"/>
      <c r="WXO1" s="182"/>
      <c r="WXP1" s="182"/>
      <c r="WXQ1" s="182"/>
      <c r="WXR1" s="182"/>
      <c r="WXS1" s="182"/>
      <c r="WXT1" s="182"/>
      <c r="WXU1" s="182"/>
      <c r="WXV1" s="182"/>
      <c r="WXW1" s="182"/>
      <c r="WXX1" s="182"/>
      <c r="WXY1" s="182"/>
      <c r="WXZ1" s="182"/>
      <c r="WYA1" s="182"/>
      <c r="WYB1" s="182"/>
      <c r="WYC1" s="182"/>
      <c r="WYD1" s="182"/>
      <c r="WYE1" s="182"/>
      <c r="WYF1" s="182"/>
      <c r="WYG1" s="182"/>
      <c r="WYH1" s="182"/>
      <c r="WYI1" s="182"/>
      <c r="WYJ1" s="182"/>
      <c r="WYK1" s="182"/>
      <c r="WYL1" s="182"/>
      <c r="WYM1" s="182"/>
      <c r="WYN1" s="182"/>
      <c r="WYO1" s="182"/>
      <c r="WYP1" s="182"/>
      <c r="WYQ1" s="182"/>
      <c r="WYR1" s="182"/>
      <c r="WYS1" s="182"/>
      <c r="WYT1" s="182"/>
      <c r="WYU1" s="182"/>
      <c r="WYV1" s="182"/>
      <c r="WYW1" s="182"/>
      <c r="WYX1" s="182"/>
      <c r="WYY1" s="182"/>
      <c r="WYZ1" s="182"/>
      <c r="WZA1" s="182"/>
      <c r="WZB1" s="182"/>
      <c r="WZC1" s="182"/>
      <c r="WZD1" s="182"/>
      <c r="WZE1" s="182"/>
      <c r="WZF1" s="182"/>
      <c r="WZG1" s="182"/>
      <c r="WZH1" s="182"/>
      <c r="WZI1" s="182"/>
      <c r="WZJ1" s="182"/>
      <c r="WZK1" s="182"/>
      <c r="WZL1" s="182"/>
      <c r="WZM1" s="182"/>
      <c r="WZN1" s="182"/>
      <c r="WZO1" s="182"/>
      <c r="WZP1" s="182"/>
      <c r="WZQ1" s="182"/>
      <c r="WZR1" s="182"/>
      <c r="WZS1" s="182"/>
      <c r="WZT1" s="182"/>
      <c r="WZU1" s="182"/>
      <c r="WZV1" s="182"/>
      <c r="WZW1" s="182"/>
      <c r="WZX1" s="182"/>
      <c r="WZY1" s="182"/>
      <c r="WZZ1" s="182"/>
      <c r="XAA1" s="182"/>
      <c r="XAB1" s="182"/>
      <c r="XAC1" s="182"/>
      <c r="XAD1" s="182"/>
      <c r="XAE1" s="182"/>
      <c r="XAF1" s="182"/>
      <c r="XAG1" s="182"/>
      <c r="XAH1" s="182"/>
      <c r="XAI1" s="182"/>
      <c r="XAJ1" s="182"/>
      <c r="XAK1" s="182"/>
      <c r="XAL1" s="182"/>
      <c r="XAM1" s="182"/>
      <c r="XAN1" s="182"/>
      <c r="XAO1" s="182"/>
      <c r="XAP1" s="182"/>
      <c r="XAQ1" s="182"/>
      <c r="XAR1" s="182"/>
      <c r="XAS1" s="182"/>
      <c r="XAT1" s="182"/>
      <c r="XAU1" s="182"/>
      <c r="XAV1" s="182"/>
      <c r="XAW1" s="182"/>
      <c r="XAX1" s="182"/>
      <c r="XAY1" s="182"/>
      <c r="XAZ1" s="182"/>
      <c r="XBA1" s="182"/>
      <c r="XBB1" s="182"/>
      <c r="XBC1" s="182"/>
      <c r="XBD1" s="182"/>
      <c r="XBE1" s="182"/>
      <c r="XBF1" s="182"/>
      <c r="XBG1" s="182"/>
      <c r="XBH1" s="182"/>
      <c r="XBI1" s="182"/>
      <c r="XBJ1" s="182"/>
      <c r="XBK1" s="182"/>
      <c r="XBL1" s="182"/>
      <c r="XBM1" s="182"/>
      <c r="XBN1" s="182"/>
      <c r="XBO1" s="182"/>
      <c r="XBP1" s="182"/>
      <c r="XBQ1" s="182"/>
      <c r="XBR1" s="182"/>
      <c r="XBS1" s="182"/>
      <c r="XBT1" s="182"/>
      <c r="XBU1" s="182"/>
      <c r="XBV1" s="182"/>
      <c r="XBW1" s="182"/>
      <c r="XBX1" s="182"/>
      <c r="XBY1" s="182"/>
      <c r="XBZ1" s="182"/>
      <c r="XCA1" s="182"/>
      <c r="XCB1" s="182"/>
      <c r="XCC1" s="182"/>
      <c r="XCD1" s="182"/>
      <c r="XCE1" s="182"/>
      <c r="XCF1" s="182"/>
      <c r="XCG1" s="182"/>
      <c r="XCH1" s="182"/>
      <c r="XCI1" s="182"/>
      <c r="XCJ1" s="182"/>
      <c r="XCK1" s="182"/>
      <c r="XCL1" s="182"/>
      <c r="XCM1" s="182"/>
      <c r="XCN1" s="182"/>
      <c r="XCO1" s="182"/>
      <c r="XCP1" s="182"/>
      <c r="XCQ1" s="182"/>
      <c r="XCR1" s="182"/>
      <c r="XCS1" s="182"/>
      <c r="XCT1" s="182"/>
      <c r="XCU1" s="182"/>
      <c r="XCV1" s="182"/>
      <c r="XCW1" s="182"/>
      <c r="XCX1" s="182"/>
      <c r="XCY1" s="182"/>
      <c r="XCZ1" s="182"/>
      <c r="XDA1" s="182"/>
      <c r="XDB1" s="182"/>
      <c r="XDC1" s="182"/>
      <c r="XDD1" s="182"/>
      <c r="XDE1" s="182"/>
      <c r="XDF1" s="182"/>
      <c r="XDG1" s="182"/>
      <c r="XDH1" s="182"/>
      <c r="XDI1" s="182"/>
      <c r="XDJ1" s="182"/>
      <c r="XDK1" s="182"/>
      <c r="XDL1" s="182"/>
      <c r="XDM1" s="182"/>
      <c r="XDN1" s="182"/>
      <c r="XDO1" s="182"/>
      <c r="XDP1" s="182"/>
      <c r="XDQ1" s="182"/>
      <c r="XDR1" s="182"/>
      <c r="XDS1" s="182"/>
      <c r="XDT1" s="182"/>
      <c r="XDU1" s="182"/>
      <c r="XDV1" s="182"/>
      <c r="XDW1" s="182"/>
      <c r="XDX1" s="182"/>
      <c r="XDY1" s="182"/>
      <c r="XDZ1" s="182"/>
      <c r="XEA1" s="182"/>
      <c r="XEB1" s="182"/>
      <c r="XEC1" s="182"/>
      <c r="XED1" s="182"/>
      <c r="XEE1" s="182"/>
      <c r="XEF1" s="182"/>
      <c r="XEG1" s="182"/>
      <c r="XEH1" s="182"/>
      <c r="XEI1" s="182"/>
      <c r="XEJ1" s="182"/>
      <c r="XEK1" s="182"/>
      <c r="XEL1" s="182"/>
      <c r="XEM1" s="182"/>
      <c r="XEN1" s="182"/>
      <c r="XEO1" s="182"/>
      <c r="XEP1" s="182"/>
      <c r="XEQ1" s="182"/>
      <c r="XER1" s="182"/>
      <c r="XES1" s="182"/>
      <c r="XET1" s="182"/>
      <c r="XEU1" s="182"/>
      <c r="XEV1" s="182"/>
      <c r="XEW1" s="182"/>
      <c r="XEX1" s="182"/>
      <c r="XEY1" s="182"/>
      <c r="XEZ1" s="182"/>
      <c r="XFA1" s="182"/>
      <c r="XFB1" s="182"/>
      <c r="XFC1" s="182"/>
      <c r="XFD1" s="182"/>
    </row>
    <row r="2" spans="1:16384">
      <c r="C2" s="235"/>
      <c r="D2" s="235"/>
      <c r="E2" s="235"/>
      <c r="F2" s="235"/>
      <c r="G2" s="236"/>
      <c r="H2" s="235"/>
      <c r="I2" s="235"/>
      <c r="J2" s="235"/>
      <c r="K2" s="237"/>
    </row>
    <row r="3" spans="1:16384">
      <c r="B3" s="233"/>
      <c r="C3" s="235"/>
      <c r="D3" s="235"/>
      <c r="E3" s="235"/>
      <c r="F3" s="235"/>
      <c r="G3" s="236"/>
      <c r="H3" s="235"/>
      <c r="I3" s="235"/>
      <c r="J3" s="235"/>
      <c r="K3" s="237"/>
    </row>
    <row r="4" spans="1:16384" ht="15.75" customHeight="1">
      <c r="A4" s="1813" t="s">
        <v>935</v>
      </c>
      <c r="B4" s="1813"/>
      <c r="C4" s="1813"/>
      <c r="D4" s="1813"/>
      <c r="E4" s="1813"/>
      <c r="F4" s="1813"/>
      <c r="G4" s="1813"/>
      <c r="H4" s="1813"/>
      <c r="I4" s="1813"/>
      <c r="J4" s="1813"/>
      <c r="K4" s="1813"/>
      <c r="L4" s="218"/>
    </row>
    <row r="5" spans="1:16384" ht="15.75" customHeight="1">
      <c r="A5" s="1809" t="s">
        <v>510</v>
      </c>
      <c r="B5" s="1809"/>
      <c r="C5" s="1809"/>
      <c r="D5" s="1809"/>
      <c r="E5" s="1809"/>
      <c r="F5" s="1809"/>
      <c r="G5" s="1809"/>
      <c r="H5" s="1809"/>
      <c r="I5" s="1809"/>
      <c r="J5" s="1809"/>
      <c r="K5" s="1809"/>
      <c r="L5" s="218"/>
    </row>
    <row r="6" spans="1:16384">
      <c r="A6" s="1814" t="str">
        <f>+'F1-Proj RR'!A6</f>
        <v>NEW YORK POWER AUTHORITY</v>
      </c>
      <c r="B6" s="1814"/>
      <c r="C6" s="1814"/>
      <c r="D6" s="1814"/>
      <c r="E6" s="1814"/>
      <c r="F6" s="1814"/>
      <c r="G6" s="1814"/>
      <c r="H6" s="1814"/>
      <c r="I6" s="1814"/>
      <c r="J6" s="1814"/>
      <c r="K6" s="1814"/>
      <c r="L6" s="219"/>
    </row>
    <row r="7" spans="1:16384">
      <c r="A7" s="1815" t="str">
        <f>SUMMARY!A7</f>
        <v>YEAR ENDING DECEMBER 31, 2018</v>
      </c>
      <c r="B7" s="1815"/>
      <c r="C7" s="1815"/>
      <c r="D7" s="1815"/>
      <c r="E7" s="1815"/>
      <c r="F7" s="1815"/>
      <c r="G7" s="1815"/>
      <c r="H7" s="1815"/>
      <c r="I7" s="1815"/>
      <c r="J7" s="1815"/>
      <c r="K7" s="1815"/>
      <c r="L7" s="219"/>
    </row>
    <row r="8" spans="1:16384" s="246" customFormat="1">
      <c r="A8" s="761" t="s">
        <v>468</v>
      </c>
      <c r="B8" s="1138"/>
      <c r="C8" s="1138"/>
      <c r="K8" s="1139"/>
    </row>
    <row r="9" spans="1:16384" s="246" customFormat="1" ht="16.5" thickBot="1">
      <c r="A9" s="1041" t="s">
        <v>59</v>
      </c>
      <c r="B9" s="1041" t="s">
        <v>229</v>
      </c>
      <c r="C9" s="1041" t="s">
        <v>771</v>
      </c>
      <c r="K9" s="1140" t="s">
        <v>513</v>
      </c>
    </row>
    <row r="10" spans="1:16384" s="246" customFormat="1" ht="15">
      <c r="A10" s="1141"/>
      <c r="B10" s="1138"/>
      <c r="C10" s="1138"/>
      <c r="K10" s="1139"/>
    </row>
    <row r="11" spans="1:16384" s="246" customFormat="1" ht="15">
      <c r="A11" s="1141">
        <v>1</v>
      </c>
      <c r="B11" s="1138" t="s">
        <v>511</v>
      </c>
      <c r="C11" s="1138" t="s">
        <v>937</v>
      </c>
      <c r="K11" s="1141">
        <f>'C1-Rate Base'!L31</f>
        <v>786278454.94802284</v>
      </c>
    </row>
    <row r="12" spans="1:16384" s="246" customFormat="1" ht="15">
      <c r="A12" s="1141"/>
      <c r="B12" s="1138"/>
      <c r="C12" s="1138"/>
      <c r="K12" s="1139"/>
    </row>
    <row r="13" spans="1:16384" s="246" customFormat="1" thickBot="1">
      <c r="A13" s="1142">
        <f>+A11+1</f>
        <v>2</v>
      </c>
      <c r="B13" s="1143" t="s">
        <v>512</v>
      </c>
      <c r="C13" s="1144"/>
      <c r="D13" s="1145"/>
      <c r="E13" s="1145"/>
      <c r="F13" s="1145"/>
      <c r="G13" s="1145"/>
      <c r="H13" s="1145"/>
      <c r="I13" s="1145"/>
      <c r="J13" s="1140" t="s">
        <v>513</v>
      </c>
      <c r="K13" s="1139"/>
    </row>
    <row r="14" spans="1:16384" s="246" customFormat="1">
      <c r="A14" s="1142"/>
      <c r="B14" s="1146"/>
      <c r="C14" s="1144"/>
      <c r="D14" s="1145"/>
      <c r="E14" s="1145"/>
      <c r="F14" s="1145"/>
      <c r="G14" s="1145"/>
      <c r="H14" s="1147"/>
      <c r="I14" s="1145"/>
      <c r="J14" s="1148" t="s">
        <v>170</v>
      </c>
      <c r="K14" s="1139"/>
    </row>
    <row r="15" spans="1:16384" s="246" customFormat="1" ht="16.5" thickBot="1">
      <c r="A15" s="1142"/>
      <c r="B15" s="1146"/>
      <c r="C15" s="1144"/>
      <c r="D15" s="1145"/>
      <c r="E15" s="1145"/>
      <c r="F15" s="1149" t="s">
        <v>514</v>
      </c>
      <c r="G15" s="1145"/>
      <c r="H15" s="1149" t="s">
        <v>169</v>
      </c>
      <c r="I15" s="1145"/>
      <c r="J15" s="1149" t="s">
        <v>169</v>
      </c>
      <c r="K15" s="1139"/>
    </row>
    <row r="16" spans="1:16384" s="246" customFormat="1" ht="15">
      <c r="A16" s="1142">
        <f>+A13+1</f>
        <v>3</v>
      </c>
      <c r="B16" s="1143" t="s">
        <v>515</v>
      </c>
      <c r="C16" s="1150" t="s">
        <v>938</v>
      </c>
      <c r="D16" s="1150"/>
      <c r="E16" s="1145"/>
      <c r="F16" s="1676">
        <f>+'D1-Cap Structure'!D21</f>
        <v>0.5</v>
      </c>
      <c r="G16" s="1677"/>
      <c r="H16" s="1677">
        <f>+'D1-Cap Structure'!F21</f>
        <v>5.0521913022541783E-2</v>
      </c>
      <c r="I16" s="1678"/>
      <c r="J16" s="1678">
        <f>F16*H16</f>
        <v>2.5260956511270891E-2</v>
      </c>
      <c r="K16" s="1139"/>
    </row>
    <row r="17" spans="1:11" s="246" customFormat="1" ht="39.75" customHeight="1" thickBot="1">
      <c r="A17" s="1142">
        <f>+A16+1</f>
        <v>4</v>
      </c>
      <c r="B17" s="1143" t="s">
        <v>516</v>
      </c>
      <c r="C17" s="1150" t="s">
        <v>939</v>
      </c>
      <c r="D17" s="1152" t="s">
        <v>590</v>
      </c>
      <c r="E17" s="1145"/>
      <c r="F17" s="1676">
        <f>+'D1-Cap Structure'!D23</f>
        <v>0.5</v>
      </c>
      <c r="G17" s="1677"/>
      <c r="H17" s="1679">
        <f>+'D1-Cap Structure'!F23+0.01</f>
        <v>0.1045</v>
      </c>
      <c r="I17" s="1678"/>
      <c r="J17" s="1680">
        <f>F17*H17</f>
        <v>5.2249999999999998E-2</v>
      </c>
      <c r="K17" s="1139"/>
    </row>
    <row r="18" spans="1:11" s="246" customFormat="1" ht="15">
      <c r="A18" s="1142">
        <f>+A17+1</f>
        <v>5</v>
      </c>
      <c r="B18" s="1146" t="s">
        <v>517</v>
      </c>
      <c r="C18" s="1150"/>
      <c r="D18" s="1153"/>
      <c r="E18" s="1145"/>
      <c r="F18" s="1678" t="s">
        <v>31</v>
      </c>
      <c r="G18" s="1678"/>
      <c r="H18" s="1678"/>
      <c r="I18" s="1678"/>
      <c r="J18" s="1678">
        <f>SUM(J16:J17)</f>
        <v>7.7510956511270893E-2</v>
      </c>
      <c r="K18" s="1139"/>
    </row>
    <row r="19" spans="1:11" s="246" customFormat="1" ht="15">
      <c r="A19" s="1142">
        <f t="shared" ref="A19:A25" si="0">+A18+1</f>
        <v>6</v>
      </c>
      <c r="B19" s="1146" t="s">
        <v>518</v>
      </c>
      <c r="C19" s="1150"/>
      <c r="D19" s="1153"/>
      <c r="E19" s="1145"/>
      <c r="F19" s="1145"/>
      <c r="G19" s="1145"/>
      <c r="H19" s="1145"/>
      <c r="I19" s="1145"/>
      <c r="J19" s="1154"/>
      <c r="K19" s="1155">
        <f>+J18*K11</f>
        <v>60945195.127225466</v>
      </c>
    </row>
    <row r="20" spans="1:11" s="246" customFormat="1" ht="15">
      <c r="A20" s="1142"/>
      <c r="K20" s="1155"/>
    </row>
    <row r="21" spans="1:11" s="246" customFormat="1" ht="15">
      <c r="A21" s="1142"/>
      <c r="K21" s="1155"/>
    </row>
    <row r="22" spans="1:11" s="246" customFormat="1" ht="15">
      <c r="A22" s="1142">
        <f>+A19+1</f>
        <v>7</v>
      </c>
      <c r="B22" s="246" t="s">
        <v>941</v>
      </c>
      <c r="K22" s="1155">
        <f>+'C1-Rate Base'!P31</f>
        <v>57013802.852485351</v>
      </c>
    </row>
    <row r="23" spans="1:11" s="246" customFormat="1" ht="15">
      <c r="A23" s="1142">
        <f>+A22+1</f>
        <v>8</v>
      </c>
      <c r="B23" s="1150" t="s">
        <v>519</v>
      </c>
      <c r="E23" s="246" t="s">
        <v>520</v>
      </c>
      <c r="K23" s="1155">
        <f>+K19-K22</f>
        <v>3931392.2747401148</v>
      </c>
    </row>
    <row r="24" spans="1:11" s="246" customFormat="1" ht="15">
      <c r="A24" s="1142">
        <f t="shared" si="0"/>
        <v>9</v>
      </c>
      <c r="B24" s="246" t="s">
        <v>842</v>
      </c>
      <c r="E24" s="246" t="s">
        <v>940</v>
      </c>
      <c r="K24" s="1156">
        <f>+'C1-Rate Base'!D19</f>
        <v>624502269.89778006</v>
      </c>
    </row>
    <row r="25" spans="1:11" s="246" customFormat="1" ht="15">
      <c r="A25" s="1142">
        <f t="shared" si="0"/>
        <v>10</v>
      </c>
      <c r="B25" s="246" t="s">
        <v>521</v>
      </c>
      <c r="E25" s="246" t="s">
        <v>522</v>
      </c>
      <c r="K25" s="1678">
        <f>IF(K24=0,0,K23/K24)</f>
        <v>6.2952409690738417E-3</v>
      </c>
    </row>
    <row r="26" spans="1:11" s="246" customFormat="1" ht="15">
      <c r="A26" s="1141"/>
      <c r="K26" s="1139"/>
    </row>
    <row r="27" spans="1:11" s="246" customFormat="1" ht="15">
      <c r="A27" s="1141" t="s">
        <v>523</v>
      </c>
      <c r="K27" s="1139"/>
    </row>
    <row r="28" spans="1:11" s="246" customFormat="1" ht="15">
      <c r="A28" s="1157" t="s">
        <v>456</v>
      </c>
      <c r="B28" s="1138" t="s">
        <v>524</v>
      </c>
      <c r="K28" s="1139"/>
    </row>
    <row r="29" spans="1:11" s="246" customFormat="1" ht="15">
      <c r="A29" s="1157"/>
      <c r="B29" s="1138" t="s">
        <v>1160</v>
      </c>
      <c r="K29" s="1139"/>
    </row>
    <row r="30" spans="1:11" s="246" customFormat="1" ht="15">
      <c r="A30" s="1157"/>
      <c r="B30" s="1138" t="s">
        <v>1111</v>
      </c>
      <c r="K30" s="1139"/>
    </row>
    <row r="31" spans="1:11" s="246" customFormat="1" ht="15">
      <c r="A31" s="1157"/>
      <c r="B31" s="1138" t="s">
        <v>1796</v>
      </c>
      <c r="K31" s="1139"/>
    </row>
    <row r="32" spans="1:11">
      <c r="A32" s="241"/>
      <c r="B32" s="239"/>
    </row>
    <row r="33" spans="2:3">
      <c r="B33" s="239"/>
      <c r="C33" s="239"/>
    </row>
  </sheetData>
  <customSheetViews>
    <customSheetView guid="{B321D76C-CDE5-48BB-9CDE-80FF97D58FCF}" scale="90" showPageBreaks="1" fitToPage="1" printArea="1" view="pageBreakPreview">
      <selection activeCell="D33" sqref="D33"/>
      <pageMargins left="0.7" right="0.7" top="0.75" bottom="0.75" header="0.3" footer="0.3"/>
      <pageSetup scale="61" orientation="landscape" r:id="rId1"/>
    </customSheetView>
  </customSheetViews>
  <mergeCells count="4">
    <mergeCell ref="A4:K4"/>
    <mergeCell ref="A5:K5"/>
    <mergeCell ref="A6:K6"/>
    <mergeCell ref="A7:K7"/>
  </mergeCells>
  <pageMargins left="0.7" right="0.7" top="0.75" bottom="0.75" header="0.3" footer="0.3"/>
  <pageSetup scale="61"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A1:N85"/>
  <sheetViews>
    <sheetView tabSelected="1" topLeftCell="A13" zoomScaleNormal="100" zoomScaleSheetLayoutView="100" workbookViewId="0">
      <selection activeCell="C30" sqref="C30"/>
    </sheetView>
  </sheetViews>
  <sheetFormatPr defaultColWidth="10" defaultRowHeight="12.75"/>
  <cols>
    <col min="1" max="1" width="6.75" style="209" customWidth="1"/>
    <col min="2" max="2" width="30.5" style="209" customWidth="1"/>
    <col min="3" max="3" width="16" style="209" bestFit="1" customWidth="1"/>
    <col min="4" max="4" width="21" style="209" customWidth="1"/>
    <col min="5" max="5" width="26" style="209" customWidth="1"/>
    <col min="6" max="6" width="23.5" style="209" customWidth="1"/>
    <col min="7" max="7" width="14.75" style="209" customWidth="1"/>
    <col min="8" max="8" width="16.25" style="209" customWidth="1"/>
    <col min="9" max="9" width="20.75" style="209" customWidth="1"/>
    <col min="10" max="10" width="15.5" style="209" customWidth="1"/>
    <col min="11" max="11" width="29.125" style="209" customWidth="1"/>
    <col min="12" max="12" width="15.25" style="209" customWidth="1"/>
    <col min="13" max="16384" width="10" style="209"/>
  </cols>
  <sheetData>
    <row r="1" spans="1:12" ht="15.75">
      <c r="A1" s="14" t="s">
        <v>942</v>
      </c>
    </row>
    <row r="2" spans="1:12">
      <c r="J2" s="752" t="s">
        <v>602</v>
      </c>
    </row>
    <row r="4" spans="1:12">
      <c r="E4" s="222"/>
    </row>
    <row r="5" spans="1:12" ht="15.75">
      <c r="A5" s="1810" t="s">
        <v>943</v>
      </c>
      <c r="B5" s="1810"/>
      <c r="C5" s="1810"/>
      <c r="D5" s="1810"/>
      <c r="E5" s="1810"/>
      <c r="F5" s="1810"/>
      <c r="G5" s="1810"/>
      <c r="H5" s="1810"/>
      <c r="I5" s="1810"/>
      <c r="J5" s="1810"/>
      <c r="K5" s="212"/>
      <c r="L5" s="215"/>
    </row>
    <row r="6" spans="1:12" ht="15.75">
      <c r="A6" s="1810" t="s">
        <v>525</v>
      </c>
      <c r="B6" s="1810"/>
      <c r="C6" s="1810"/>
      <c r="D6" s="1810"/>
      <c r="E6" s="1810"/>
      <c r="F6" s="1810"/>
      <c r="G6" s="1810"/>
      <c r="H6" s="1810"/>
      <c r="I6" s="1810"/>
      <c r="J6" s="1810"/>
      <c r="K6" s="220"/>
      <c r="L6" s="215"/>
    </row>
    <row r="7" spans="1:12" ht="15.75">
      <c r="A7" s="1811" t="str">
        <f>'F2-Incentives'!A5</f>
        <v>Incentives</v>
      </c>
      <c r="B7" s="1811"/>
      <c r="C7" s="1811"/>
      <c r="D7" s="1811"/>
      <c r="E7" s="1811"/>
      <c r="F7" s="1811"/>
      <c r="G7" s="1811"/>
      <c r="H7" s="1811"/>
      <c r="I7" s="1811"/>
      <c r="J7" s="1811"/>
      <c r="K7" s="213"/>
      <c r="L7" s="213"/>
    </row>
    <row r="8" spans="1:12" ht="15.75">
      <c r="A8" s="1815" t="str">
        <f>SUMMARY!A7</f>
        <v>YEAR ENDING DECEMBER 31, 2018</v>
      </c>
      <c r="B8" s="1815"/>
      <c r="C8" s="1815"/>
      <c r="D8" s="1815"/>
      <c r="E8" s="1815"/>
      <c r="F8" s="1815"/>
      <c r="G8" s="1815"/>
      <c r="H8" s="1815"/>
      <c r="I8" s="1815"/>
      <c r="J8" s="1815"/>
      <c r="K8" s="213"/>
      <c r="L8" s="213"/>
    </row>
    <row r="9" spans="1:12">
      <c r="A9" s="211"/>
      <c r="C9" s="213"/>
      <c r="D9" s="213"/>
      <c r="E9" s="221" t="s">
        <v>784</v>
      </c>
      <c r="F9" s="213"/>
      <c r="G9" s="213"/>
      <c r="H9" s="217"/>
      <c r="I9" s="213"/>
      <c r="J9" s="213"/>
      <c r="K9" s="213"/>
      <c r="L9" s="213"/>
    </row>
    <row r="10" spans="1:12">
      <c r="A10" s="211"/>
      <c r="E10" s="223"/>
      <c r="F10" s="223"/>
      <c r="G10" s="223"/>
      <c r="I10" s="213"/>
      <c r="J10" s="213"/>
      <c r="K10" s="213"/>
      <c r="L10" s="213"/>
    </row>
    <row r="11" spans="1:12" s="1035" customFormat="1" ht="15">
      <c r="A11" s="1158" t="s">
        <v>192</v>
      </c>
      <c r="B11" s="1158" t="s">
        <v>193</v>
      </c>
      <c r="C11" s="1158" t="s">
        <v>194</v>
      </c>
      <c r="D11" s="1158" t="s">
        <v>195</v>
      </c>
      <c r="E11" s="1158" t="s">
        <v>196</v>
      </c>
      <c r="F11" s="1158" t="s">
        <v>371</v>
      </c>
      <c r="G11" s="1158" t="s">
        <v>372</v>
      </c>
      <c r="H11" s="1158" t="s">
        <v>901</v>
      </c>
      <c r="I11" s="1158" t="s">
        <v>902</v>
      </c>
      <c r="J11" s="1158" t="s">
        <v>903</v>
      </c>
      <c r="K11" s="1159"/>
      <c r="L11" s="1159"/>
    </row>
    <row r="12" spans="1:12" s="1035" customFormat="1">
      <c r="A12" s="1160"/>
      <c r="B12" s="1161"/>
      <c r="C12" s="1161"/>
      <c r="E12" s="1162" t="s">
        <v>433</v>
      </c>
      <c r="F12" s="1162" t="s">
        <v>528</v>
      </c>
      <c r="H12" s="1162" t="s">
        <v>529</v>
      </c>
      <c r="I12" s="1162" t="s">
        <v>528</v>
      </c>
      <c r="J12" s="1163"/>
    </row>
    <row r="13" spans="1:12" s="1035" customFormat="1">
      <c r="A13" s="1160"/>
      <c r="B13" s="1161"/>
      <c r="C13" s="1162" t="s">
        <v>770</v>
      </c>
      <c r="E13" s="1162" t="s">
        <v>216</v>
      </c>
      <c r="F13" s="1162" t="s">
        <v>530</v>
      </c>
      <c r="G13" s="1162"/>
      <c r="H13" s="1162" t="s">
        <v>531</v>
      </c>
      <c r="I13" s="1162" t="s">
        <v>530</v>
      </c>
      <c r="J13" s="1164" t="s">
        <v>4</v>
      </c>
    </row>
    <row r="14" spans="1:12" s="1035" customFormat="1">
      <c r="A14" s="1165" t="s">
        <v>468</v>
      </c>
      <c r="B14" s="1162" t="s">
        <v>532</v>
      </c>
      <c r="C14" s="1162" t="s">
        <v>591</v>
      </c>
      <c r="D14" s="1162" t="s">
        <v>740</v>
      </c>
      <c r="E14" s="1162" t="s">
        <v>533</v>
      </c>
      <c r="F14" s="1162" t="s">
        <v>534</v>
      </c>
      <c r="G14" s="1166" t="s">
        <v>535</v>
      </c>
      <c r="H14" s="1162" t="s">
        <v>536</v>
      </c>
      <c r="I14" s="1162" t="s">
        <v>531</v>
      </c>
      <c r="J14" s="1164" t="s">
        <v>528</v>
      </c>
    </row>
    <row r="15" spans="1:12" s="1035" customFormat="1">
      <c r="A15" s="1167" t="s">
        <v>59</v>
      </c>
      <c r="B15" s="1168" t="s">
        <v>330</v>
      </c>
      <c r="C15" s="1168" t="s">
        <v>537</v>
      </c>
      <c r="D15" s="1168" t="s">
        <v>741</v>
      </c>
      <c r="E15" s="1168" t="s">
        <v>742</v>
      </c>
      <c r="F15" s="1168" t="s">
        <v>538</v>
      </c>
      <c r="G15" s="1168" t="s">
        <v>530</v>
      </c>
      <c r="H15" s="1168" t="s">
        <v>538</v>
      </c>
      <c r="I15" s="1168" t="s">
        <v>538</v>
      </c>
      <c r="J15" s="1169" t="s">
        <v>530</v>
      </c>
    </row>
    <row r="16" spans="1:12" s="1035" customFormat="1">
      <c r="A16" s="1160"/>
      <c r="B16" s="1161"/>
      <c r="C16" s="1161"/>
      <c r="D16" s="1135"/>
      <c r="E16" s="1135"/>
      <c r="F16" s="1161"/>
      <c r="G16" s="1161"/>
      <c r="H16" s="1161"/>
      <c r="I16" s="1161"/>
      <c r="J16" s="1163"/>
    </row>
    <row r="17" spans="1:12" s="1035" customFormat="1">
      <c r="A17" s="1160"/>
      <c r="B17" s="1161"/>
      <c r="C17" s="1161"/>
      <c r="D17" s="1162" t="s">
        <v>31</v>
      </c>
      <c r="E17" s="1135"/>
      <c r="F17" s="1161"/>
      <c r="G17" s="1135" t="s">
        <v>840</v>
      </c>
      <c r="H17" s="1135"/>
      <c r="I17" s="1135" t="s">
        <v>1766</v>
      </c>
      <c r="J17" s="1163" t="s">
        <v>1768</v>
      </c>
    </row>
    <row r="18" spans="1:12" s="1035" customFormat="1" ht="26.25" customHeight="1">
      <c r="A18" s="1170"/>
      <c r="B18" s="1171"/>
      <c r="C18" s="1171"/>
      <c r="D18" s="1172" t="s">
        <v>822</v>
      </c>
      <c r="E18" s="1173" t="s">
        <v>944</v>
      </c>
      <c r="F18" s="1174" t="s">
        <v>1765</v>
      </c>
      <c r="G18" s="1135" t="s">
        <v>743</v>
      </c>
      <c r="H18" s="1135" t="s">
        <v>539</v>
      </c>
      <c r="I18" s="1135" t="s">
        <v>1767</v>
      </c>
      <c r="J18" s="1175" t="s">
        <v>1769</v>
      </c>
    </row>
    <row r="19" spans="1:12" s="1035" customFormat="1">
      <c r="A19" s="1176"/>
      <c r="B19" s="1177"/>
      <c r="C19" s="1177"/>
      <c r="D19" s="1177"/>
      <c r="E19" s="1177"/>
      <c r="F19" s="1177"/>
      <c r="G19" s="1177"/>
      <c r="H19" s="1177"/>
      <c r="I19" s="1177"/>
      <c r="J19" s="1178"/>
    </row>
    <row r="20" spans="1:12" s="1035" customFormat="1">
      <c r="A20" s="1179" t="s">
        <v>471</v>
      </c>
      <c r="B20" s="1108" t="str">
        <f>+SUMMARY!B42</f>
        <v>NTAC Facilities</v>
      </c>
      <c r="C20" s="1110">
        <v>0</v>
      </c>
      <c r="D20" s="1180">
        <v>207330594.60999998</v>
      </c>
      <c r="E20" s="1180">
        <f>'F1-Proj RR'!R47</f>
        <v>214765950.36305624</v>
      </c>
      <c r="F20" s="1181">
        <f>+E20-D20</f>
        <v>7435355.753056258</v>
      </c>
      <c r="G20" s="1180">
        <f>I74+I76</f>
        <v>1491384.9923519997</v>
      </c>
      <c r="H20" s="1686">
        <f>+H$68</f>
        <v>4.0631578947368423E-3</v>
      </c>
      <c r="I20" s="1181">
        <f>(F20+G20)*H20*24</f>
        <v>870498.17121539055</v>
      </c>
      <c r="J20" s="1182">
        <f>+I20+F20+G20</f>
        <v>9797238.9166236483</v>
      </c>
    </row>
    <row r="21" spans="1:12" s="1035" customFormat="1">
      <c r="A21" s="1183" t="s">
        <v>473</v>
      </c>
      <c r="B21" s="1184" t="s">
        <v>2019</v>
      </c>
      <c r="C21" s="1180">
        <v>0</v>
      </c>
      <c r="D21" s="1180">
        <v>5466214.8699999992</v>
      </c>
      <c r="E21" s="1675">
        <f>'F1-Proj RR'!R48</f>
        <v>8166382.783849122</v>
      </c>
      <c r="F21" s="1181">
        <f>+E21-D21</f>
        <v>2700167.9138491228</v>
      </c>
      <c r="G21" s="1180">
        <f>I75+I77</f>
        <v>1847165.4746492631</v>
      </c>
      <c r="H21" s="1686">
        <f>+H$68</f>
        <v>4.0631578947368423E-3</v>
      </c>
      <c r="I21" s="1181">
        <f>(F21+G21)*H21*24</f>
        <v>443436.80537946371</v>
      </c>
      <c r="J21" s="1182">
        <f>+I21+F21+G21</f>
        <v>4990770.1938778497</v>
      </c>
    </row>
    <row r="22" spans="1:12" s="1035" customFormat="1">
      <c r="A22" s="1183" t="s">
        <v>494</v>
      </c>
      <c r="B22" s="1184"/>
      <c r="C22" s="1180">
        <v>0</v>
      </c>
      <c r="D22" s="1180">
        <v>0</v>
      </c>
      <c r="E22" s="1185">
        <v>0</v>
      </c>
      <c r="F22" s="1181">
        <f>+E22-D22</f>
        <v>0</v>
      </c>
      <c r="G22" s="1180">
        <v>0</v>
      </c>
      <c r="H22" s="1180">
        <f>+H$68</f>
        <v>4.0631578947368423E-3</v>
      </c>
      <c r="I22" s="1181">
        <f>(F22+G22)*H22*24</f>
        <v>0</v>
      </c>
      <c r="J22" s="1182">
        <f>+I22+F22+G22</f>
        <v>0</v>
      </c>
    </row>
    <row r="23" spans="1:12" s="1035" customFormat="1">
      <c r="A23" s="1183" t="s">
        <v>495</v>
      </c>
      <c r="B23" s="1184">
        <v>0</v>
      </c>
      <c r="C23" s="1180">
        <v>0</v>
      </c>
      <c r="D23" s="1180">
        <v>0</v>
      </c>
      <c r="E23" s="1185">
        <v>0</v>
      </c>
      <c r="F23" s="1181">
        <f>+E23-D23</f>
        <v>0</v>
      </c>
      <c r="G23" s="1180">
        <v>0</v>
      </c>
      <c r="H23" s="1180">
        <f>+H$68</f>
        <v>4.0631578947368423E-3</v>
      </c>
      <c r="I23" s="1181">
        <f>(F23+G23)*H23*24</f>
        <v>0</v>
      </c>
      <c r="J23" s="1182">
        <f>+I23+F23+G23</f>
        <v>0</v>
      </c>
    </row>
    <row r="24" spans="1:12" s="1035" customFormat="1">
      <c r="A24" s="1183" t="s">
        <v>496</v>
      </c>
      <c r="B24" s="1184">
        <v>0</v>
      </c>
      <c r="C24" s="1180">
        <v>0</v>
      </c>
      <c r="D24" s="1180">
        <v>0</v>
      </c>
      <c r="E24" s="1185">
        <v>0</v>
      </c>
      <c r="F24" s="1181">
        <f>+E24-D24</f>
        <v>0</v>
      </c>
      <c r="G24" s="1180">
        <v>0</v>
      </c>
      <c r="H24" s="1180">
        <f>+H$68</f>
        <v>4.0631578947368423E-3</v>
      </c>
      <c r="I24" s="1181">
        <f>(F24+G24)*H24*24</f>
        <v>0</v>
      </c>
      <c r="J24" s="1182">
        <f>+I24+F24+G24</f>
        <v>0</v>
      </c>
    </row>
    <row r="25" spans="1:12" s="1035" customFormat="1">
      <c r="A25" s="1165" t="s">
        <v>541</v>
      </c>
      <c r="B25" s="1184"/>
      <c r="C25" s="1180"/>
      <c r="D25" s="1180"/>
      <c r="E25" s="1180"/>
      <c r="F25" s="1181"/>
      <c r="G25" s="1180"/>
      <c r="H25" s="1180"/>
      <c r="I25" s="1181"/>
      <c r="J25" s="1182"/>
    </row>
    <row r="26" spans="1:12" s="1035" customFormat="1">
      <c r="A26" s="1165" t="s">
        <v>541</v>
      </c>
      <c r="B26" s="1186"/>
      <c r="C26" s="1186"/>
      <c r="D26" s="1186"/>
      <c r="E26" s="1186"/>
      <c r="F26" s="1181"/>
      <c r="G26" s="1180"/>
      <c r="H26" s="1184"/>
      <c r="I26" s="1181"/>
      <c r="J26" s="1182"/>
    </row>
    <row r="27" spans="1:12" s="1035" customFormat="1">
      <c r="A27" s="1167"/>
      <c r="B27" s="1171"/>
      <c r="C27" s="1171"/>
      <c r="D27" s="1171"/>
      <c r="E27" s="1171"/>
      <c r="F27" s="1171"/>
      <c r="G27" s="1171"/>
      <c r="H27" s="1171"/>
      <c r="I27" s="1171"/>
      <c r="J27" s="1187"/>
    </row>
    <row r="28" spans="1:12" s="1035" customFormat="1" ht="15">
      <c r="A28" s="1188">
        <v>2</v>
      </c>
      <c r="B28" s="1189" t="s">
        <v>542</v>
      </c>
      <c r="C28" s="1189"/>
      <c r="D28" s="1190"/>
      <c r="E28" s="1190"/>
      <c r="F28" s="1191">
        <f>SUM(F20:F27)</f>
        <v>10135523.666905381</v>
      </c>
      <c r="G28" s="1191"/>
      <c r="H28" s="1190"/>
      <c r="I28" s="1192">
        <f>SUM(I20:I27)</f>
        <v>1313934.9765948541</v>
      </c>
      <c r="J28" s="1191">
        <f>SUM(J20:J26)</f>
        <v>14788009.110501498</v>
      </c>
      <c r="K28" s="1193"/>
    </row>
    <row r="29" spans="1:12" s="1035" customFormat="1" ht="15">
      <c r="A29" s="1188"/>
      <c r="B29" s="1189"/>
      <c r="C29" s="1189"/>
      <c r="D29" s="1189"/>
      <c r="E29" s="1189"/>
      <c r="F29" s="1189"/>
      <c r="G29" s="1189"/>
      <c r="H29" s="1189"/>
      <c r="I29" s="1189"/>
      <c r="J29" s="1189"/>
      <c r="K29" s="1193"/>
      <c r="L29" s="1193"/>
    </row>
    <row r="30" spans="1:12" s="1035" customFormat="1">
      <c r="A30" s="1188">
        <v>3</v>
      </c>
      <c r="B30" s="1189" t="s">
        <v>543</v>
      </c>
      <c r="C30" s="1189"/>
      <c r="D30" s="1189"/>
      <c r="E30" s="1189"/>
      <c r="F30" s="1191"/>
      <c r="G30" s="1191"/>
      <c r="H30" s="1189"/>
      <c r="I30" s="1190"/>
      <c r="J30" s="1191">
        <f>+J28</f>
        <v>14788009.110501498</v>
      </c>
      <c r="K30" s="1190"/>
      <c r="L30" s="1190"/>
    </row>
    <row r="31" spans="1:12" s="1035" customFormat="1">
      <c r="A31" s="1188"/>
      <c r="B31" s="1189"/>
      <c r="C31" s="1189"/>
      <c r="D31" s="1189"/>
      <c r="E31" s="1189"/>
      <c r="F31" s="1191"/>
      <c r="G31" s="1191"/>
      <c r="H31" s="1189"/>
      <c r="I31" s="1190"/>
      <c r="J31" s="1194"/>
      <c r="K31" s="1190"/>
      <c r="L31" s="1190"/>
    </row>
    <row r="32" spans="1:12" s="1035" customFormat="1">
      <c r="A32" s="1188"/>
      <c r="B32" s="152" t="s">
        <v>571</v>
      </c>
      <c r="C32" s="1189"/>
      <c r="D32" s="1816"/>
      <c r="E32" s="1816"/>
      <c r="F32" s="1816"/>
      <c r="G32" s="1816"/>
      <c r="H32" s="1816"/>
      <c r="I32" s="1816"/>
      <c r="J32" s="1816"/>
      <c r="K32" s="1816"/>
      <c r="L32" s="1190"/>
    </row>
    <row r="33" spans="1:14" s="1035" customFormat="1">
      <c r="A33" s="1188"/>
      <c r="B33" s="1035" t="s">
        <v>1112</v>
      </c>
      <c r="C33" s="1189"/>
      <c r="D33" s="1189"/>
      <c r="E33" s="1189"/>
      <c r="F33" s="1191"/>
      <c r="G33" s="1191"/>
      <c r="H33" s="1189"/>
      <c r="I33" s="1190"/>
      <c r="J33" s="1194"/>
      <c r="K33" s="1190"/>
      <c r="L33" s="1190"/>
    </row>
    <row r="34" spans="1:14" s="1035" customFormat="1">
      <c r="A34" s="1188"/>
      <c r="B34" s="1259" t="s">
        <v>1770</v>
      </c>
      <c r="C34" s="1189"/>
      <c r="D34" s="1189"/>
      <c r="E34" s="1189"/>
      <c r="F34" s="1191"/>
      <c r="G34" s="1191"/>
      <c r="H34" s="1189"/>
      <c r="I34" s="1190"/>
      <c r="J34" s="1194"/>
      <c r="K34" s="1190"/>
      <c r="L34" s="1190"/>
    </row>
    <row r="35" spans="1:14" s="1035" customFormat="1">
      <c r="A35" s="1188"/>
      <c r="B35" s="1035" t="s">
        <v>1830</v>
      </c>
      <c r="C35" s="1189"/>
      <c r="D35" s="1189"/>
      <c r="E35" s="1189"/>
      <c r="F35" s="1191"/>
      <c r="G35" s="1191"/>
      <c r="H35" s="1189"/>
      <c r="I35" s="1190"/>
      <c r="J35" s="1194"/>
      <c r="K35" s="1190"/>
      <c r="L35" s="1190"/>
    </row>
    <row r="36" spans="1:14" s="1035" customFormat="1">
      <c r="A36" s="1188"/>
      <c r="C36" s="1189"/>
      <c r="D36" s="1189"/>
      <c r="E36" s="1189"/>
      <c r="F36" s="1191"/>
      <c r="G36" s="1191"/>
      <c r="H36" s="1189"/>
      <c r="I36" s="1190"/>
      <c r="J36" s="1194"/>
      <c r="K36" s="1190"/>
      <c r="L36" s="1190"/>
    </row>
    <row r="37" spans="1:14" s="224" customFormat="1" ht="15">
      <c r="A37" s="242"/>
      <c r="B37" s="314"/>
      <c r="C37" s="243"/>
      <c r="D37" s="243"/>
      <c r="E37" s="243"/>
      <c r="F37" s="243"/>
      <c r="G37" s="243"/>
      <c r="H37" s="243"/>
      <c r="I37" s="243"/>
      <c r="J37" s="243"/>
      <c r="K37" s="244"/>
      <c r="L37" s="244"/>
    </row>
    <row r="38" spans="1:14" ht="20.25">
      <c r="A38" s="644" t="s">
        <v>942</v>
      </c>
      <c r="B38" s="224"/>
      <c r="L38" s="224"/>
    </row>
    <row r="39" spans="1:14" ht="15.75">
      <c r="E39" s="754" t="str">
        <f>+A5</f>
        <v>Schedule F3</v>
      </c>
      <c r="J39" s="752" t="s">
        <v>603</v>
      </c>
      <c r="L39" s="224"/>
    </row>
    <row r="40" spans="1:14" ht="15.75">
      <c r="E40" s="755" t="s">
        <v>525</v>
      </c>
      <c r="L40" s="224"/>
    </row>
    <row r="41" spans="1:14" ht="15.75">
      <c r="E41" s="753" t="str">
        <f>+A7</f>
        <v>Incentives</v>
      </c>
      <c r="L41" s="224"/>
    </row>
    <row r="42" spans="1:14">
      <c r="L42" s="224"/>
    </row>
    <row r="43" spans="1:14">
      <c r="L43" s="224"/>
    </row>
    <row r="44" spans="1:14" s="1035" customFormat="1">
      <c r="A44" s="1195" t="s">
        <v>544</v>
      </c>
    </row>
    <row r="45" spans="1:14" s="1035" customFormat="1"/>
    <row r="46" spans="1:14" s="1035" customFormat="1"/>
    <row r="47" spans="1:14" s="1035" customFormat="1" ht="27.75" customHeight="1">
      <c r="A47" s="1196">
        <f>+A30+1</f>
        <v>4</v>
      </c>
      <c r="B47" s="1197" t="s">
        <v>545</v>
      </c>
      <c r="C47" s="1198"/>
      <c r="D47" s="1198" t="s">
        <v>191</v>
      </c>
      <c r="E47" s="1199" t="s">
        <v>546</v>
      </c>
      <c r="F47" s="1200"/>
      <c r="G47" s="1200"/>
      <c r="H47" s="1200"/>
      <c r="I47" s="1200"/>
      <c r="J47" s="1200"/>
      <c r="K47" s="246"/>
      <c r="L47" s="246"/>
      <c r="M47" s="246"/>
      <c r="N47" s="246"/>
    </row>
    <row r="48" spans="1:14" s="1035" customFormat="1" ht="12.75" customHeight="1">
      <c r="A48" s="1196">
        <f>+A47+1</f>
        <v>5</v>
      </c>
      <c r="B48" s="1200" t="s">
        <v>547</v>
      </c>
      <c r="C48" s="1201"/>
      <c r="D48" s="1681">
        <v>2018</v>
      </c>
      <c r="E48" s="1682">
        <v>3.5999999999999999E-3</v>
      </c>
      <c r="F48" s="1202"/>
      <c r="G48" s="1202"/>
      <c r="H48" s="1202"/>
      <c r="I48" s="1200"/>
      <c r="J48" s="1200"/>
      <c r="K48" s="246"/>
      <c r="L48" s="246"/>
      <c r="M48" s="246"/>
      <c r="N48" s="246"/>
    </row>
    <row r="49" spans="1:14" s="1035" customFormat="1" ht="12.75" customHeight="1">
      <c r="A49" s="1196">
        <f t="shared" ref="A49:A66" si="0">+A48+1</f>
        <v>6</v>
      </c>
      <c r="B49" s="1200" t="s">
        <v>548</v>
      </c>
      <c r="C49" s="1201"/>
      <c r="D49" s="1681">
        <v>2018</v>
      </c>
      <c r="E49" s="1682">
        <v>3.3E-3</v>
      </c>
      <c r="F49" s="1202"/>
      <c r="G49" s="1202"/>
      <c r="H49" s="1202"/>
      <c r="I49" s="1200"/>
      <c r="J49" s="1200"/>
      <c r="K49" s="246"/>
      <c r="L49" s="246"/>
      <c r="M49" s="246"/>
      <c r="N49" s="246"/>
    </row>
    <row r="50" spans="1:14" s="1035" customFormat="1" ht="12.75" customHeight="1">
      <c r="A50" s="1196">
        <f t="shared" si="0"/>
        <v>7</v>
      </c>
      <c r="B50" s="1200" t="s">
        <v>549</v>
      </c>
      <c r="C50" s="1201"/>
      <c r="D50" s="1681">
        <v>2018</v>
      </c>
      <c r="E50" s="1682">
        <v>3.5999999999999999E-3</v>
      </c>
      <c r="F50" s="1202"/>
      <c r="G50" s="1202"/>
      <c r="H50" s="1202"/>
      <c r="I50" s="1200"/>
      <c r="J50" s="1200"/>
      <c r="K50" s="246"/>
      <c r="L50" s="246"/>
      <c r="M50" s="246"/>
      <c r="N50" s="246"/>
    </row>
    <row r="51" spans="1:14" s="1035" customFormat="1" ht="12.75" customHeight="1">
      <c r="A51" s="1196">
        <f t="shared" si="0"/>
        <v>8</v>
      </c>
      <c r="B51" s="1200" t="s">
        <v>550</v>
      </c>
      <c r="C51" s="1201"/>
      <c r="D51" s="1681">
        <v>2018</v>
      </c>
      <c r="E51" s="1682">
        <v>3.7000000000000002E-3</v>
      </c>
      <c r="F51" s="1202"/>
      <c r="G51" s="1202"/>
      <c r="H51" s="1202"/>
      <c r="I51" s="1200"/>
      <c r="J51" s="1200"/>
      <c r="K51" s="246"/>
      <c r="L51" s="246"/>
      <c r="M51" s="246"/>
      <c r="N51" s="246"/>
    </row>
    <row r="52" spans="1:14" s="1035" customFormat="1" ht="12.75" customHeight="1">
      <c r="A52" s="1196">
        <f t="shared" si="0"/>
        <v>9</v>
      </c>
      <c r="B52" s="1200" t="s">
        <v>551</v>
      </c>
      <c r="C52" s="1201"/>
      <c r="D52" s="1681">
        <v>2018</v>
      </c>
      <c r="E52" s="1682">
        <v>3.8E-3</v>
      </c>
      <c r="F52" s="1202"/>
      <c r="G52" s="1202"/>
      <c r="H52" s="1202"/>
      <c r="I52" s="1200"/>
      <c r="J52" s="1200"/>
      <c r="K52" s="246"/>
      <c r="L52" s="246"/>
      <c r="M52" s="246"/>
      <c r="N52" s="246"/>
    </row>
    <row r="53" spans="1:14" s="1035" customFormat="1" ht="12.75" customHeight="1">
      <c r="A53" s="1196">
        <f t="shared" si="0"/>
        <v>10</v>
      </c>
      <c r="B53" s="1200" t="s">
        <v>552</v>
      </c>
      <c r="C53" s="1201"/>
      <c r="D53" s="1681">
        <v>2018</v>
      </c>
      <c r="E53" s="1682">
        <v>3.7000000000000002E-3</v>
      </c>
      <c r="F53" s="1202"/>
      <c r="G53" s="1202"/>
      <c r="H53" s="1202"/>
      <c r="I53" s="1200"/>
      <c r="J53" s="1200"/>
      <c r="K53" s="246"/>
      <c r="L53" s="246"/>
      <c r="M53" s="246"/>
      <c r="N53" s="246"/>
    </row>
    <row r="54" spans="1:14" s="1035" customFormat="1" ht="12.75" customHeight="1">
      <c r="A54" s="1196">
        <f t="shared" si="0"/>
        <v>11</v>
      </c>
      <c r="B54" s="1200" t="s">
        <v>553</v>
      </c>
      <c r="C54" s="1201"/>
      <c r="D54" s="1681">
        <v>2018</v>
      </c>
      <c r="E54" s="1682">
        <v>4.0000000000000001E-3</v>
      </c>
      <c r="F54" s="1202"/>
      <c r="G54" s="1202"/>
      <c r="H54" s="1202"/>
      <c r="I54" s="1200"/>
      <c r="J54" s="1200"/>
      <c r="K54" s="246"/>
      <c r="L54" s="246"/>
      <c r="M54" s="246"/>
      <c r="N54" s="246"/>
    </row>
    <row r="55" spans="1:14" s="1035" customFormat="1" ht="12.75" customHeight="1">
      <c r="A55" s="1196">
        <f t="shared" si="0"/>
        <v>12</v>
      </c>
      <c r="B55" s="1200" t="s">
        <v>554</v>
      </c>
      <c r="C55" s="1201"/>
      <c r="D55" s="1681">
        <v>2018</v>
      </c>
      <c r="E55" s="1682">
        <v>4.0000000000000001E-3</v>
      </c>
      <c r="F55" s="1202"/>
      <c r="G55" s="1202"/>
      <c r="H55" s="1202"/>
      <c r="I55" s="1200"/>
      <c r="J55" s="1200"/>
      <c r="K55" s="246"/>
      <c r="L55" s="246"/>
      <c r="M55" s="246"/>
      <c r="N55" s="246"/>
    </row>
    <row r="56" spans="1:14" s="1035" customFormat="1" ht="12.75" customHeight="1">
      <c r="A56" s="1196">
        <f t="shared" si="0"/>
        <v>13</v>
      </c>
      <c r="B56" s="1200" t="s">
        <v>555</v>
      </c>
      <c r="C56" s="1201"/>
      <c r="D56" s="1681">
        <v>2018</v>
      </c>
      <c r="E56" s="1682">
        <v>3.8999999999999998E-3</v>
      </c>
      <c r="F56" s="1202"/>
      <c r="G56" s="1202"/>
      <c r="H56" s="1202"/>
      <c r="I56" s="1200"/>
      <c r="J56" s="1200"/>
      <c r="K56" s="246"/>
      <c r="L56" s="246"/>
      <c r="M56" s="246"/>
      <c r="N56" s="246"/>
    </row>
    <row r="57" spans="1:14" s="1035" customFormat="1" ht="12.75" customHeight="1">
      <c r="A57" s="1196">
        <f t="shared" si="0"/>
        <v>14</v>
      </c>
      <c r="B57" s="1200" t="s">
        <v>556</v>
      </c>
      <c r="C57" s="1201"/>
      <c r="D57" s="1681">
        <v>2018</v>
      </c>
      <c r="E57" s="1682">
        <v>4.1999999999999997E-3</v>
      </c>
      <c r="F57" s="1202"/>
      <c r="G57" s="1202"/>
      <c r="H57" s="1202"/>
      <c r="I57" s="1200"/>
      <c r="J57" s="1200"/>
      <c r="K57" s="246"/>
      <c r="L57" s="246"/>
      <c r="M57" s="246"/>
      <c r="N57" s="246"/>
    </row>
    <row r="58" spans="1:14" s="1035" customFormat="1" ht="12.75" customHeight="1">
      <c r="A58" s="1196">
        <f t="shared" si="0"/>
        <v>15</v>
      </c>
      <c r="B58" s="1200" t="s">
        <v>557</v>
      </c>
      <c r="C58" s="1201"/>
      <c r="D58" s="1681">
        <v>2018</v>
      </c>
      <c r="E58" s="1682">
        <v>4.1000000000000003E-3</v>
      </c>
      <c r="F58" s="1202"/>
      <c r="G58" s="1202"/>
      <c r="H58" s="1202"/>
      <c r="I58" s="1200"/>
      <c r="J58" s="1200"/>
      <c r="K58" s="246"/>
      <c r="L58" s="246"/>
      <c r="M58" s="246"/>
      <c r="N58" s="246"/>
    </row>
    <row r="59" spans="1:14" s="1035" customFormat="1" ht="15">
      <c r="A59" s="1196">
        <f t="shared" si="0"/>
        <v>16</v>
      </c>
      <c r="B59" s="1200" t="s">
        <v>558</v>
      </c>
      <c r="C59" s="1201"/>
      <c r="D59" s="1681">
        <v>2018</v>
      </c>
      <c r="E59" s="1682">
        <v>4.1999999999999997E-3</v>
      </c>
      <c r="F59" s="1202"/>
      <c r="G59" s="1202"/>
      <c r="H59" s="1202"/>
      <c r="I59" s="1200"/>
      <c r="J59" s="1200"/>
      <c r="K59" s="246"/>
      <c r="L59" s="246"/>
      <c r="M59" s="246"/>
      <c r="N59" s="246"/>
    </row>
    <row r="60" spans="1:14" s="1035" customFormat="1" ht="15">
      <c r="A60" s="1196">
        <f t="shared" si="0"/>
        <v>17</v>
      </c>
      <c r="B60" s="1200" t="s">
        <v>547</v>
      </c>
      <c r="C60" s="1201"/>
      <c r="D60" s="1681">
        <v>2019</v>
      </c>
      <c r="E60" s="1682">
        <v>4.4000000000000003E-3</v>
      </c>
      <c r="F60" s="1202"/>
      <c r="G60" s="1202"/>
      <c r="H60" s="1202"/>
      <c r="I60" s="1200"/>
      <c r="J60" s="1200"/>
      <c r="K60" s="246"/>
      <c r="L60" s="246"/>
      <c r="M60" s="246"/>
      <c r="N60" s="246"/>
    </row>
    <row r="61" spans="1:14" s="1035" customFormat="1" ht="15">
      <c r="A61" s="1196">
        <f t="shared" si="0"/>
        <v>18</v>
      </c>
      <c r="B61" s="1200" t="s">
        <v>548</v>
      </c>
      <c r="C61" s="1201"/>
      <c r="D61" s="1681">
        <v>2019</v>
      </c>
      <c r="E61" s="1682">
        <v>4.0000000000000001E-3</v>
      </c>
      <c r="F61" s="1202"/>
      <c r="G61" s="1202"/>
      <c r="H61" s="1202"/>
      <c r="I61" s="1200"/>
      <c r="J61" s="1200"/>
      <c r="K61" s="246"/>
      <c r="L61" s="246"/>
      <c r="M61" s="246"/>
      <c r="N61" s="246"/>
    </row>
    <row r="62" spans="1:14" s="1035" customFormat="1" ht="15">
      <c r="A62" s="1196">
        <f t="shared" si="0"/>
        <v>19</v>
      </c>
      <c r="B62" s="1200" t="s">
        <v>549</v>
      </c>
      <c r="C62" s="1201"/>
      <c r="D62" s="1681">
        <v>2019</v>
      </c>
      <c r="E62" s="1682">
        <v>4.4000000000000003E-3</v>
      </c>
      <c r="F62" s="1202"/>
      <c r="G62" s="1202"/>
      <c r="H62" s="1202"/>
      <c r="I62" s="1200"/>
      <c r="J62" s="1200"/>
      <c r="K62" s="246"/>
      <c r="L62" s="246"/>
      <c r="M62" s="246"/>
      <c r="N62" s="246"/>
    </row>
    <row r="63" spans="1:14" s="1035" customFormat="1" ht="15">
      <c r="A63" s="1196">
        <f t="shared" si="0"/>
        <v>20</v>
      </c>
      <c r="B63" s="1200" t="s">
        <v>550</v>
      </c>
      <c r="C63" s="1201"/>
      <c r="D63" s="1681">
        <v>2019</v>
      </c>
      <c r="E63" s="1682">
        <v>4.4999999999999997E-3</v>
      </c>
      <c r="F63" s="1202"/>
      <c r="G63" s="1202"/>
      <c r="H63" s="1202"/>
      <c r="I63" s="1200"/>
      <c r="J63" s="1200"/>
      <c r="K63" s="246"/>
      <c r="L63" s="246"/>
      <c r="M63" s="246"/>
      <c r="N63" s="246"/>
    </row>
    <row r="64" spans="1:14" s="1035" customFormat="1" ht="15">
      <c r="A64" s="1196">
        <f t="shared" si="0"/>
        <v>21</v>
      </c>
      <c r="B64" s="1200" t="s">
        <v>551</v>
      </c>
      <c r="C64" s="1201"/>
      <c r="D64" s="1681">
        <v>2019</v>
      </c>
      <c r="E64" s="1682">
        <v>4.5999999999999999E-3</v>
      </c>
      <c r="F64" s="1202"/>
      <c r="G64" s="1202"/>
      <c r="H64" s="1202"/>
      <c r="I64" s="1200"/>
      <c r="J64" s="1200"/>
      <c r="K64" s="246"/>
      <c r="L64" s="246"/>
      <c r="M64" s="246"/>
      <c r="N64" s="246"/>
    </row>
    <row r="65" spans="1:14" s="1035" customFormat="1" ht="13.5" customHeight="1">
      <c r="A65" s="1196">
        <f t="shared" si="0"/>
        <v>22</v>
      </c>
      <c r="B65" s="1200" t="s">
        <v>552</v>
      </c>
      <c r="C65" s="1200"/>
      <c r="D65" s="1681">
        <v>2019</v>
      </c>
      <c r="E65" s="1682">
        <v>4.4999999999999997E-3</v>
      </c>
      <c r="F65" s="1202"/>
      <c r="G65" s="1202"/>
      <c r="H65" s="1202"/>
      <c r="I65" s="1200"/>
      <c r="J65" s="1200"/>
      <c r="K65" s="246"/>
      <c r="L65" s="246"/>
      <c r="M65" s="246"/>
      <c r="N65" s="246"/>
    </row>
    <row r="66" spans="1:14" s="1035" customFormat="1" ht="13.5" customHeight="1">
      <c r="A66" s="1196">
        <f t="shared" si="0"/>
        <v>23</v>
      </c>
      <c r="B66" s="1200" t="s">
        <v>553</v>
      </c>
      <c r="C66" s="1203"/>
      <c r="D66" s="1681">
        <v>2019</v>
      </c>
      <c r="E66" s="1682">
        <v>4.7000000000000002E-3</v>
      </c>
      <c r="F66" s="1202"/>
      <c r="G66" s="1202"/>
      <c r="H66" s="1202"/>
      <c r="I66" s="1200"/>
      <c r="J66" s="1200"/>
      <c r="K66" s="246"/>
      <c r="L66" s="246"/>
      <c r="M66" s="246"/>
      <c r="N66" s="246"/>
    </row>
    <row r="67" spans="1:14" s="1035" customFormat="1" ht="13.5" customHeight="1">
      <c r="A67" s="1196"/>
      <c r="B67" s="1200"/>
      <c r="C67" s="1203"/>
      <c r="D67" s="1202"/>
      <c r="E67" s="1683">
        <f>SUM(E48:E66)</f>
        <v>7.7200000000000005E-2</v>
      </c>
      <c r="F67" s="1202"/>
      <c r="G67" s="1202"/>
      <c r="H67" s="1202"/>
      <c r="I67" s="1200"/>
      <c r="J67" s="1200"/>
      <c r="K67" s="246"/>
      <c r="L67" s="246"/>
      <c r="M67" s="246"/>
      <c r="N67" s="246"/>
    </row>
    <row r="68" spans="1:14" s="1035" customFormat="1" ht="15">
      <c r="A68" s="1196">
        <f>+A66+1</f>
        <v>24</v>
      </c>
      <c r="B68" s="1204" t="s">
        <v>559</v>
      </c>
      <c r="C68" s="1205"/>
      <c r="D68" s="1206"/>
      <c r="E68" s="1684">
        <f>E67/19</f>
        <v>4.0631578947368423E-3</v>
      </c>
      <c r="F68" s="1202"/>
      <c r="G68" s="1202"/>
      <c r="H68" s="1685">
        <f>E68</f>
        <v>4.0631578947368423E-3</v>
      </c>
      <c r="I68" s="1200"/>
      <c r="J68" s="1200"/>
      <c r="K68" s="246"/>
      <c r="L68" s="246"/>
      <c r="M68" s="246"/>
      <c r="N68" s="246"/>
    </row>
    <row r="69" spans="1:14" s="1035" customFormat="1" ht="15">
      <c r="A69" s="1196"/>
      <c r="B69" s="1200"/>
      <c r="C69" s="1200"/>
      <c r="D69" s="1202"/>
      <c r="E69" s="1202"/>
      <c r="F69" s="1202"/>
      <c r="G69" s="1202"/>
      <c r="H69" s="1202"/>
      <c r="I69" s="1200"/>
      <c r="J69" s="1200"/>
      <c r="K69" s="246"/>
      <c r="L69" s="246"/>
      <c r="M69" s="246"/>
      <c r="N69" s="246"/>
    </row>
    <row r="70" spans="1:14" s="1035" customFormat="1" ht="15">
      <c r="A70" s="1207" t="s">
        <v>560</v>
      </c>
      <c r="C70" s="1200"/>
      <c r="D70" s="1202"/>
      <c r="E70" s="1202"/>
      <c r="F70" s="1202"/>
      <c r="G70" s="1202"/>
      <c r="H70" s="1202"/>
      <c r="I70" s="1200"/>
      <c r="J70" s="1200"/>
      <c r="K70" s="246"/>
      <c r="L70" s="246"/>
      <c r="M70" s="246"/>
      <c r="N70" s="246"/>
    </row>
    <row r="71" spans="1:14" s="1035" customFormat="1" ht="15">
      <c r="A71" s="1196"/>
      <c r="B71" s="1135" t="s">
        <v>101</v>
      </c>
      <c r="C71" s="1198" t="s">
        <v>102</v>
      </c>
      <c r="D71" s="1198"/>
      <c r="E71" s="1198"/>
      <c r="F71" s="1198"/>
      <c r="G71" s="1198" t="s">
        <v>291</v>
      </c>
      <c r="H71" s="1198" t="s">
        <v>526</v>
      </c>
      <c r="I71" s="1198" t="s">
        <v>527</v>
      </c>
      <c r="J71" s="1200"/>
      <c r="K71" s="246"/>
      <c r="L71" s="246"/>
      <c r="M71" s="246"/>
      <c r="N71" s="246"/>
    </row>
    <row r="72" spans="1:14" s="1035" customFormat="1" ht="15">
      <c r="A72" s="1196"/>
      <c r="B72" s="1208" t="s">
        <v>561</v>
      </c>
      <c r="C72" s="1825" t="s">
        <v>530</v>
      </c>
      <c r="D72" s="1826"/>
      <c r="E72" s="1826"/>
      <c r="F72" s="1827"/>
      <c r="G72" s="1209" t="s">
        <v>172</v>
      </c>
      <c r="H72" s="1209" t="s">
        <v>531</v>
      </c>
      <c r="I72" s="1209" t="s">
        <v>562</v>
      </c>
      <c r="J72" s="1200"/>
      <c r="K72" s="246"/>
      <c r="L72" s="246"/>
      <c r="M72" s="246"/>
      <c r="N72" s="246"/>
    </row>
    <row r="73" spans="1:14" s="1035" customFormat="1" ht="15">
      <c r="A73" s="1196"/>
      <c r="B73" s="1210" t="s">
        <v>540</v>
      </c>
      <c r="C73" s="1828" t="s">
        <v>563</v>
      </c>
      <c r="D73" s="1829"/>
      <c r="E73" s="1829"/>
      <c r="F73" s="1830"/>
      <c r="G73" s="1211" t="s">
        <v>564</v>
      </c>
      <c r="H73" s="1212" t="s">
        <v>565</v>
      </c>
      <c r="I73" s="1211" t="s">
        <v>566</v>
      </c>
      <c r="J73" s="1200"/>
      <c r="K73" s="246"/>
      <c r="L73" s="246"/>
      <c r="M73" s="246"/>
      <c r="N73" s="246"/>
    </row>
    <row r="74" spans="1:14" s="1035" customFormat="1" ht="15">
      <c r="A74" s="1196">
        <v>25</v>
      </c>
      <c r="B74" s="1213">
        <v>0</v>
      </c>
      <c r="C74" s="1831" t="s">
        <v>2050</v>
      </c>
      <c r="D74" s="1832"/>
      <c r="E74" s="1832"/>
      <c r="F74" s="1833"/>
      <c r="G74" s="1180">
        <v>2046127.89</v>
      </c>
      <c r="H74" s="1215">
        <v>83223.559652210504</v>
      </c>
      <c r="I74" s="1214">
        <f t="shared" ref="I74:I79" si="1">+G74+H74</f>
        <v>2129351.4496522103</v>
      </c>
      <c r="J74" s="1772"/>
      <c r="K74" s="1773"/>
      <c r="L74" s="246"/>
      <c r="M74" s="246"/>
      <c r="N74" s="246"/>
    </row>
    <row r="75" spans="1:14" s="1035" customFormat="1" ht="15">
      <c r="A75" s="1196" t="s">
        <v>567</v>
      </c>
      <c r="B75" s="1213">
        <v>0</v>
      </c>
      <c r="C75" s="1831" t="s">
        <v>2051</v>
      </c>
      <c r="D75" s="1832"/>
      <c r="E75" s="1832"/>
      <c r="F75" s="1833"/>
      <c r="G75" s="1180">
        <v>1817562.48</v>
      </c>
      <c r="H75" s="1215">
        <v>73926.962344421059</v>
      </c>
      <c r="I75" s="1214">
        <f t="shared" si="1"/>
        <v>1891489.4423444211</v>
      </c>
      <c r="J75" s="1200"/>
      <c r="K75" s="246"/>
      <c r="L75" s="246"/>
      <c r="M75" s="246"/>
      <c r="N75" s="246"/>
    </row>
    <row r="76" spans="1:14" s="1035" customFormat="1" ht="15">
      <c r="A76" s="1196" t="s">
        <v>568</v>
      </c>
      <c r="B76" s="1213">
        <v>0</v>
      </c>
      <c r="C76" s="1831" t="s">
        <v>2052</v>
      </c>
      <c r="D76" s="1832"/>
      <c r="E76" s="1832"/>
      <c r="F76" s="1833"/>
      <c r="G76" s="1215">
        <v>-613032.18000000005</v>
      </c>
      <c r="H76" s="1215">
        <v>-24934.277300210531</v>
      </c>
      <c r="I76" s="1214">
        <f t="shared" si="1"/>
        <v>-637966.4573002106</v>
      </c>
      <c r="J76" s="1200"/>
      <c r="K76" s="246"/>
      <c r="L76" s="246"/>
      <c r="M76" s="246"/>
      <c r="N76" s="246"/>
    </row>
    <row r="77" spans="1:14" s="1035" customFormat="1" ht="15">
      <c r="A77" s="1196" t="s">
        <v>569</v>
      </c>
      <c r="B77" s="1215"/>
      <c r="C77" s="1831" t="s">
        <v>2053</v>
      </c>
      <c r="D77" s="1832"/>
      <c r="E77" s="1832"/>
      <c r="F77" s="1833"/>
      <c r="G77" s="1215">
        <f>-42591.61</f>
        <v>-42591.61</v>
      </c>
      <c r="H77" s="1215">
        <v>-1732.3576951578948</v>
      </c>
      <c r="I77" s="1214">
        <f t="shared" si="1"/>
        <v>-44323.967695157895</v>
      </c>
      <c r="J77" s="1200"/>
      <c r="K77" s="246"/>
      <c r="L77" s="246"/>
      <c r="M77" s="246"/>
      <c r="N77" s="246"/>
    </row>
    <row r="78" spans="1:14" s="1035" customFormat="1" ht="15">
      <c r="A78" s="1196" t="s">
        <v>541</v>
      </c>
      <c r="B78" s="1217"/>
      <c r="C78" s="1818"/>
      <c r="D78" s="1819"/>
      <c r="E78" s="1819"/>
      <c r="F78" s="1820"/>
      <c r="G78" s="1216"/>
      <c r="H78" s="1216"/>
      <c r="I78" s="1214">
        <f t="shared" si="1"/>
        <v>0</v>
      </c>
      <c r="J78" s="1200"/>
      <c r="K78" s="246"/>
      <c r="L78" s="246"/>
      <c r="M78" s="246"/>
      <c r="N78" s="246"/>
    </row>
    <row r="79" spans="1:14" s="1035" customFormat="1" ht="15">
      <c r="A79" s="1196" t="s">
        <v>570</v>
      </c>
      <c r="B79" s="1218"/>
      <c r="C79" s="1821"/>
      <c r="D79" s="1822"/>
      <c r="E79" s="1822"/>
      <c r="F79" s="1823"/>
      <c r="G79" s="1219"/>
      <c r="H79" s="1219"/>
      <c r="I79" s="1220">
        <f t="shared" si="1"/>
        <v>0</v>
      </c>
      <c r="J79" s="1200"/>
      <c r="K79" s="246"/>
      <c r="L79" s="246"/>
      <c r="M79" s="246"/>
      <c r="N79" s="246"/>
    </row>
    <row r="80" spans="1:14" s="1035" customFormat="1" ht="15">
      <c r="A80" s="1221">
        <v>26</v>
      </c>
      <c r="B80" s="1200" t="s">
        <v>4</v>
      </c>
      <c r="D80" s="1200"/>
      <c r="E80" s="1200"/>
      <c r="F80" s="1200"/>
      <c r="G80" s="1200"/>
      <c r="H80" s="1200"/>
      <c r="I80" s="1222">
        <f>SUM(I74:I79)</f>
        <v>3338550.4670012631</v>
      </c>
      <c r="J80" s="1200"/>
      <c r="K80" s="246"/>
      <c r="L80" s="246"/>
      <c r="M80" s="246"/>
      <c r="N80" s="246"/>
    </row>
    <row r="81" spans="1:14" s="1035" customFormat="1" ht="15">
      <c r="A81" s="1196"/>
      <c r="C81" s="1200"/>
      <c r="D81" s="1223"/>
      <c r="E81" s="1223"/>
      <c r="F81" s="1223"/>
      <c r="G81" s="1223"/>
      <c r="H81" s="1223"/>
      <c r="I81" s="1223"/>
      <c r="J81" s="1223"/>
      <c r="K81" s="247"/>
      <c r="L81" s="247"/>
      <c r="M81" s="247"/>
      <c r="N81" s="247"/>
    </row>
    <row r="82" spans="1:14" s="1035" customFormat="1" ht="30" customHeight="1">
      <c r="A82" s="1224" t="s">
        <v>571</v>
      </c>
      <c r="B82" s="1224" t="s">
        <v>456</v>
      </c>
      <c r="C82" s="1824" t="s">
        <v>1797</v>
      </c>
      <c r="D82" s="1824"/>
      <c r="E82" s="1824"/>
      <c r="F82" s="1824"/>
      <c r="G82" s="1824"/>
      <c r="H82" s="1824"/>
      <c r="I82" s="1824"/>
      <c r="J82" s="1824"/>
      <c r="K82" s="248"/>
      <c r="L82" s="248"/>
      <c r="M82" s="248"/>
      <c r="N82" s="248"/>
    </row>
    <row r="83" spans="1:14">
      <c r="A83" s="315"/>
      <c r="B83" s="316"/>
    </row>
    <row r="84" spans="1:14">
      <c r="A84" s="317"/>
      <c r="B84" s="318"/>
      <c r="C84" s="1817"/>
      <c r="D84" s="1817"/>
      <c r="E84" s="1817"/>
      <c r="F84" s="1817"/>
      <c r="G84" s="1817"/>
      <c r="H84" s="1817"/>
      <c r="I84" s="1817"/>
      <c r="J84" s="245"/>
    </row>
    <row r="85" spans="1:14" ht="57" customHeight="1"/>
  </sheetData>
  <customSheetViews>
    <customSheetView guid="{B321D76C-CDE5-48BB-9CDE-80FF97D58FCF}" showPageBreaks="1" printArea="1" view="pageBreakPreview" topLeftCell="A7">
      <selection activeCell="D38" sqref="D38"/>
      <rowBreaks count="1" manualBreakCount="1">
        <brk id="37" max="9" man="1"/>
      </rowBreaks>
      <pageMargins left="0.7" right="0.7" top="0.75" bottom="0.75" header="0.3" footer="0.3"/>
      <pageSetup scale="60" fitToHeight="2" orientation="landscape" r:id="rId1"/>
    </customSheetView>
  </customSheetViews>
  <mergeCells count="15">
    <mergeCell ref="C84:I84"/>
    <mergeCell ref="C78:F78"/>
    <mergeCell ref="C79:F79"/>
    <mergeCell ref="C82:J82"/>
    <mergeCell ref="C72:F72"/>
    <mergeCell ref="C73:F73"/>
    <mergeCell ref="C74:F74"/>
    <mergeCell ref="C75:F75"/>
    <mergeCell ref="C76:F76"/>
    <mergeCell ref="C77:F77"/>
    <mergeCell ref="A8:J8"/>
    <mergeCell ref="A7:J7"/>
    <mergeCell ref="A6:J6"/>
    <mergeCell ref="A5:J5"/>
    <mergeCell ref="D32:K32"/>
  </mergeCells>
  <pageMargins left="0.7" right="0.7" top="0.75" bottom="0.75" header="0.3" footer="0.3"/>
  <pageSetup scale="60" fitToHeight="2" orientation="landscape" r:id="rId2"/>
  <rowBreaks count="1" manualBreakCount="1">
    <brk id="37" max="9"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1:J80"/>
  <sheetViews>
    <sheetView tabSelected="1" view="pageBreakPreview" topLeftCell="A57" zoomScaleNormal="110" zoomScaleSheetLayoutView="100" workbookViewId="0">
      <selection activeCell="C30" sqref="C30"/>
    </sheetView>
  </sheetViews>
  <sheetFormatPr defaultRowHeight="12"/>
  <cols>
    <col min="1" max="1" width="6.75" customWidth="1"/>
    <col min="2" max="2" width="44.375" customWidth="1"/>
    <col min="3" max="4" width="15.75" style="313" customWidth="1"/>
    <col min="5" max="5" width="17.5" style="313" bestFit="1" customWidth="1"/>
    <col min="6" max="6" width="23.5" customWidth="1"/>
    <col min="7" max="7" width="14.25" customWidth="1"/>
    <col min="8" max="8" width="13.5" customWidth="1"/>
    <col min="9" max="9" width="17.125" style="1745" bestFit="1" customWidth="1"/>
    <col min="10" max="10" width="12.875" customWidth="1"/>
  </cols>
  <sheetData>
    <row r="1" spans="1:9" s="13" customFormat="1" ht="15.75">
      <c r="A1" s="322" t="s">
        <v>914</v>
      </c>
      <c r="C1" s="313"/>
      <c r="D1" s="313"/>
      <c r="E1" s="313"/>
      <c r="I1" s="1586"/>
    </row>
    <row r="2" spans="1:9" s="13" customFormat="1">
      <c r="C2" s="313"/>
      <c r="D2" s="313"/>
      <c r="E2" s="313"/>
      <c r="I2" s="1586"/>
    </row>
    <row r="3" spans="1:9" s="13" customFormat="1">
      <c r="C3" s="313"/>
      <c r="D3" s="313"/>
      <c r="E3" s="313"/>
      <c r="I3" s="1586"/>
    </row>
    <row r="4" spans="1:9" s="13" customFormat="1" ht="18">
      <c r="A4" s="1788" t="s">
        <v>200</v>
      </c>
      <c r="B4" s="1788"/>
      <c r="C4" s="1788"/>
      <c r="D4" s="1788"/>
      <c r="E4" s="1788"/>
      <c r="F4" s="1788"/>
      <c r="G4" s="1788"/>
      <c r="H4" s="71"/>
      <c r="I4" s="1586"/>
    </row>
    <row r="5" spans="1:9" s="13" customFormat="1" ht="18">
      <c r="A5" s="1788" t="s">
        <v>103</v>
      </c>
      <c r="B5" s="1788"/>
      <c r="C5" s="1788"/>
      <c r="D5" s="1788"/>
      <c r="E5" s="1788"/>
      <c r="F5" s="1788"/>
      <c r="G5" s="1788"/>
      <c r="H5" s="71"/>
      <c r="I5" s="1586"/>
    </row>
    <row r="6" spans="1:9" s="13" customFormat="1" ht="18">
      <c r="A6" s="1789" t="str">
        <f>SUMMARY!A7</f>
        <v>YEAR ENDING DECEMBER 31, 2018</v>
      </c>
      <c r="B6" s="1789"/>
      <c r="C6" s="1789"/>
      <c r="D6" s="1789"/>
      <c r="E6" s="1789"/>
      <c r="F6" s="1789"/>
      <c r="G6" s="1789"/>
      <c r="H6" s="71"/>
      <c r="I6" s="1586"/>
    </row>
    <row r="7" spans="1:9" s="13" customFormat="1" ht="18">
      <c r="A7" s="11"/>
      <c r="B7" s="63"/>
      <c r="C7" s="370"/>
      <c r="D7" s="372"/>
      <c r="E7" s="370"/>
      <c r="F7" s="11"/>
      <c r="G7" s="11"/>
      <c r="H7" s="11"/>
      <c r="I7" s="1586"/>
    </row>
    <row r="8" spans="1:9" s="13" customFormat="1" ht="18">
      <c r="A8" s="1790" t="s">
        <v>913</v>
      </c>
      <c r="B8" s="1790"/>
      <c r="C8" s="1790"/>
      <c r="D8" s="1790"/>
      <c r="E8" s="1790"/>
      <c r="F8" s="1790"/>
      <c r="G8" s="1790"/>
      <c r="H8" s="29"/>
      <c r="I8" s="1586"/>
    </row>
    <row r="9" spans="1:9" s="13" customFormat="1" ht="18">
      <c r="A9" s="1834" t="s">
        <v>713</v>
      </c>
      <c r="B9" s="1834"/>
      <c r="C9" s="1834"/>
      <c r="D9" s="1834"/>
      <c r="E9" s="1834"/>
      <c r="F9" s="1834"/>
      <c r="G9" s="1834"/>
      <c r="H9" s="71"/>
      <c r="I9" s="1586"/>
    </row>
    <row r="10" spans="1:9" s="13" customFormat="1" ht="15.75" customHeight="1">
      <c r="A10" s="1834"/>
      <c r="B10" s="1834"/>
      <c r="C10" s="1834"/>
      <c r="D10" s="1834"/>
      <c r="E10" s="1834"/>
      <c r="F10" s="1834"/>
      <c r="G10" s="1834"/>
      <c r="I10" s="1586"/>
    </row>
    <row r="11" spans="1:9" s="13" customFormat="1" ht="12.75">
      <c r="A11" s="751"/>
      <c r="B11" s="751" t="s">
        <v>192</v>
      </c>
      <c r="C11" s="751" t="s">
        <v>193</v>
      </c>
      <c r="D11" s="751" t="s">
        <v>194</v>
      </c>
      <c r="E11" s="751" t="s">
        <v>195</v>
      </c>
      <c r="F11" s="751" t="s">
        <v>196</v>
      </c>
      <c r="G11" s="751" t="s">
        <v>371</v>
      </c>
      <c r="H11" s="751"/>
      <c r="I11" s="1586"/>
    </row>
    <row r="12" spans="1:9" ht="15">
      <c r="B12" s="285"/>
      <c r="C12" s="675"/>
      <c r="D12" s="675"/>
      <c r="E12" s="675"/>
      <c r="F12" s="676" t="s">
        <v>715</v>
      </c>
      <c r="G12" s="676" t="s">
        <v>730</v>
      </c>
      <c r="H12" s="744"/>
    </row>
    <row r="13" spans="1:9" s="13" customFormat="1" ht="18" customHeight="1" thickBot="1">
      <c r="A13" s="294" t="s">
        <v>1</v>
      </c>
      <c r="B13" s="326" t="s">
        <v>338</v>
      </c>
      <c r="C13" s="677" t="s">
        <v>53</v>
      </c>
      <c r="D13" s="677" t="s">
        <v>27</v>
      </c>
      <c r="E13" s="677" t="s">
        <v>720</v>
      </c>
      <c r="F13" s="323" t="s">
        <v>716</v>
      </c>
      <c r="G13" s="324" t="s">
        <v>613</v>
      </c>
      <c r="I13" s="1586"/>
    </row>
    <row r="14" spans="1:9" s="13" customFormat="1" ht="15.75" thickBot="1">
      <c r="B14" s="678"/>
      <c r="C14" s="679"/>
      <c r="D14" s="679"/>
      <c r="E14" s="679"/>
      <c r="F14" s="680"/>
      <c r="G14" s="325"/>
      <c r="I14" s="1586"/>
    </row>
    <row r="15" spans="1:9" s="13" customFormat="1" ht="15">
      <c r="A15" s="1404" t="s">
        <v>471</v>
      </c>
      <c r="B15" s="328" t="s">
        <v>125</v>
      </c>
      <c r="C15" s="674">
        <f>SUM('WP-AB'!D39:V39)</f>
        <v>121037131.95999999</v>
      </c>
      <c r="D15" s="674">
        <f>SUM('WP-AB'!W39:AF39)</f>
        <v>77387463.379999995</v>
      </c>
      <c r="E15" s="674">
        <f>SUM('WP-AB'!AG39,'WP-AB'!AH39,'WP-AB'!AI39,'WP-AB'!AJ39,'WP-AB'!AK39,'WP-AB'!AL39)</f>
        <v>511818825.55000001</v>
      </c>
      <c r="F15" s="329">
        <f>SUM(C15:E15)</f>
        <v>710243420.88999999</v>
      </c>
      <c r="G15" s="332">
        <f>SUM(F15)</f>
        <v>710243420.88999999</v>
      </c>
      <c r="I15" s="1586"/>
    </row>
    <row r="16" spans="1:9" s="13" customFormat="1" ht="15">
      <c r="A16" s="1404" t="s">
        <v>473</v>
      </c>
      <c r="B16" s="328" t="s">
        <v>108</v>
      </c>
      <c r="C16" s="674">
        <f>SUM('WP-AB'!D19:V19)</f>
        <v>188624071.94999999</v>
      </c>
      <c r="D16" s="674">
        <f>SUM('WP-AB'!W19:AF19)</f>
        <v>0</v>
      </c>
      <c r="E16" s="674">
        <f>SUM('WP-AB'!AG19,'WP-AB'!AH19,'WP-AB'!AI19,'WP-AB'!AJ19,'WP-AB'!AK19,'WP-AB'!AL19)</f>
        <v>-1527.46</v>
      </c>
      <c r="F16" s="329">
        <f t="shared" ref="F16:F30" si="0">SUM(C16:E16)</f>
        <v>188622544.48999998</v>
      </c>
      <c r="G16" s="332">
        <f>SUM(F16:F16)</f>
        <v>188622544.48999998</v>
      </c>
      <c r="I16" s="1586"/>
    </row>
    <row r="17" spans="1:9" s="1702" customFormat="1" ht="15">
      <c r="A17" s="1698" t="s">
        <v>495</v>
      </c>
      <c r="B17" s="328" t="s">
        <v>129</v>
      </c>
      <c r="C17" s="1699"/>
      <c r="D17" s="1699">
        <f>SUM('WP-AB'!E43:AF43)</f>
        <v>8024181.2700000005</v>
      </c>
      <c r="E17" s="1699">
        <f>SUM('WP-AB'!AG43,'WP-AB'!AH43,'WP-AB'!AI43,'WP-AB'!AJ43,'WP-AB'!AK43,'WP-AB'!AL43)</f>
        <v>645594318.96000004</v>
      </c>
      <c r="F17" s="1700">
        <f t="shared" si="0"/>
        <v>653618500.23000002</v>
      </c>
      <c r="G17" s="1701">
        <f>F17</f>
        <v>653618500.23000002</v>
      </c>
      <c r="I17" s="1746"/>
    </row>
    <row r="18" spans="1:9" s="13" customFormat="1" ht="15.75" thickBot="1">
      <c r="A18" s="1380" t="s">
        <v>541</v>
      </c>
      <c r="B18" s="1376" t="s">
        <v>1166</v>
      </c>
      <c r="C18" s="1378" t="s">
        <v>1166</v>
      </c>
      <c r="D18" s="1378" t="s">
        <v>1166</v>
      </c>
      <c r="E18" s="1378" t="s">
        <v>1166</v>
      </c>
      <c r="F18" s="1377" t="s">
        <v>1166</v>
      </c>
      <c r="G18" s="1405" t="s">
        <v>1166</v>
      </c>
      <c r="I18" s="1586"/>
    </row>
    <row r="19" spans="1:9" s="13" customFormat="1" ht="15">
      <c r="A19" t="s">
        <v>1266</v>
      </c>
      <c r="B19" s="327" t="s">
        <v>425</v>
      </c>
      <c r="C19" s="674">
        <f>SUM('WP-AB'!D20:V20)</f>
        <v>0</v>
      </c>
      <c r="D19" s="674">
        <f>SUM('WP-AB'!W20:AF20)</f>
        <v>0</v>
      </c>
      <c r="E19" s="674">
        <f>SUM('WP-AB'!AG20,'WP-AB'!AH20,'WP-AB'!AI20,'WP-AB'!AJ20,'WP-AB'!AK20,'WP-AB'!AL20)</f>
        <v>0</v>
      </c>
      <c r="F19" s="308">
        <f t="shared" si="0"/>
        <v>0</v>
      </c>
      <c r="G19" s="1445"/>
      <c r="I19" s="1586"/>
    </row>
    <row r="20" spans="1:9" s="13" customFormat="1" ht="15">
      <c r="A20" t="s">
        <v>1267</v>
      </c>
      <c r="B20" s="328" t="s">
        <v>110</v>
      </c>
      <c r="C20" s="674">
        <f>SUM('WP-AB'!D23:V23)</f>
        <v>12934486.329999998</v>
      </c>
      <c r="D20" s="674">
        <f>SUM('WP-AB'!W23:AF23)</f>
        <v>0</v>
      </c>
      <c r="E20" s="674">
        <f>SUM('WP-AB'!AG23,'WP-AB'!AH23,'WP-AB'!AI23,'WP-AB'!AJ23,'WP-AB'!AK23,'WP-AB'!AL23)</f>
        <v>0</v>
      </c>
      <c r="F20" s="329">
        <f t="shared" si="0"/>
        <v>12934486.329999998</v>
      </c>
      <c r="G20" s="1446"/>
      <c r="I20" s="1586"/>
    </row>
    <row r="21" spans="1:9" s="13" customFormat="1" ht="15">
      <c r="A21" t="s">
        <v>1268</v>
      </c>
      <c r="B21" s="328" t="s">
        <v>111</v>
      </c>
      <c r="C21" s="674">
        <f>SUM('WP-AB'!D24:V24)</f>
        <v>830857.7699999999</v>
      </c>
      <c r="D21" s="674">
        <f>SUM('WP-AB'!W24:AF24)</f>
        <v>0</v>
      </c>
      <c r="E21" s="674">
        <f>SUM('WP-AB'!AG24,'WP-AB'!AH24,'WP-AB'!AI24,'WP-AB'!AJ24,'WP-AB'!AK24,'WP-AB'!AL24)</f>
        <v>0</v>
      </c>
      <c r="F21" s="329">
        <f t="shared" si="0"/>
        <v>830857.7699999999</v>
      </c>
      <c r="G21" s="1446"/>
      <c r="I21" s="1586"/>
    </row>
    <row r="22" spans="1:9" s="13" customFormat="1" ht="15">
      <c r="A22" t="s">
        <v>1269</v>
      </c>
      <c r="B22" s="328" t="s">
        <v>427</v>
      </c>
      <c r="C22" s="674">
        <f>SUM('WP-AB'!D25:V25)</f>
        <v>9262677.459999999</v>
      </c>
      <c r="D22" s="674">
        <f>SUM('WP-AB'!W25:AF25)</f>
        <v>0</v>
      </c>
      <c r="E22" s="674">
        <f>SUM('WP-AB'!AG25,'WP-AB'!AH25,'WP-AB'!AI25,'WP-AB'!AJ25,'WP-AB'!AK25,'WP-AB'!AL25)</f>
        <v>0</v>
      </c>
      <c r="F22" s="329">
        <f t="shared" si="0"/>
        <v>9262677.459999999</v>
      </c>
      <c r="G22" s="1446"/>
      <c r="I22" s="1586"/>
    </row>
    <row r="23" spans="1:9" s="13" customFormat="1" ht="15">
      <c r="A23" t="s">
        <v>1270</v>
      </c>
      <c r="B23" s="328" t="s">
        <v>112</v>
      </c>
      <c r="C23" s="674">
        <f>SUM('WP-AB'!D26:V26)</f>
        <v>24756353.750000007</v>
      </c>
      <c r="D23" s="674">
        <f>SUM('WP-AB'!W26:AF26)</f>
        <v>0</v>
      </c>
      <c r="E23" s="674">
        <f>SUM('WP-AB'!AG26,'WP-AB'!AH26,'WP-AB'!AI26,'WP-AB'!AJ26,'WP-AB'!AK26,'WP-AB'!AL26)</f>
        <v>0</v>
      </c>
      <c r="F23" s="329">
        <f t="shared" si="0"/>
        <v>24756353.750000007</v>
      </c>
      <c r="G23" s="1446"/>
      <c r="I23" s="1586"/>
    </row>
    <row r="24" spans="1:9" s="13" customFormat="1" ht="15">
      <c r="A24" t="s">
        <v>1271</v>
      </c>
      <c r="B24" s="328" t="s">
        <v>118</v>
      </c>
      <c r="C24" s="674">
        <f>SUM('WP-AB'!D32:V32)</f>
        <v>2892663.41</v>
      </c>
      <c r="D24" s="674">
        <f>SUM('WP-AB'!W32:AF32)</f>
        <v>0</v>
      </c>
      <c r="E24" s="674">
        <f>SUM('WP-AB'!AG32,'WP-AB'!AH32,'WP-AB'!AI32,'WP-AB'!AJ32,'WP-AB'!AK32,'WP-AB'!AL32)</f>
        <v>0</v>
      </c>
      <c r="F24" s="329">
        <f t="shared" si="0"/>
        <v>2892663.41</v>
      </c>
      <c r="G24" s="1446"/>
      <c r="H24" s="744"/>
      <c r="I24" s="1586"/>
    </row>
    <row r="25" spans="1:9" s="13" customFormat="1" ht="15">
      <c r="A25" t="s">
        <v>1272</v>
      </c>
      <c r="B25" s="328" t="s">
        <v>119</v>
      </c>
      <c r="C25" s="674">
        <f>SUM('WP-AB'!D33:V33)</f>
        <v>23250852.48</v>
      </c>
      <c r="D25" s="674">
        <f>SUM('WP-AB'!W33:AF33)</f>
        <v>0</v>
      </c>
      <c r="E25" s="674">
        <f>SUM('WP-AB'!AG33,'WP-AB'!AH33,'WP-AB'!AI33,'WP-AB'!AJ33,'WP-AB'!AK33,'WP-AB'!AL33)</f>
        <v>0</v>
      </c>
      <c r="F25" s="329">
        <f t="shared" si="0"/>
        <v>23250852.48</v>
      </c>
      <c r="G25" s="1446"/>
      <c r="H25" s="744"/>
      <c r="I25" s="1586"/>
    </row>
    <row r="26" spans="1:9" s="13" customFormat="1" ht="15">
      <c r="A26" t="s">
        <v>1273</v>
      </c>
      <c r="B26" s="328" t="s">
        <v>120</v>
      </c>
      <c r="C26" s="674">
        <f>SUM('WP-AB'!D34:V34)</f>
        <v>27970361.150000002</v>
      </c>
      <c r="D26" s="674">
        <f>SUM('WP-AB'!W34:AF34)</f>
        <v>0</v>
      </c>
      <c r="E26" s="674">
        <f>SUM('WP-AB'!AG34,'WP-AB'!AH34,'WP-AB'!AI34,'WP-AB'!AJ34,'WP-AB'!AK34,'WP-AB'!AL34)</f>
        <v>8596383.8299999982</v>
      </c>
      <c r="F26" s="329">
        <f t="shared" si="0"/>
        <v>36566744.980000004</v>
      </c>
      <c r="G26" s="1446"/>
      <c r="H26" s="744"/>
      <c r="I26" s="1586"/>
    </row>
    <row r="27" spans="1:9" s="13" customFormat="1" ht="15">
      <c r="A27" t="s">
        <v>1586</v>
      </c>
      <c r="B27" s="328" t="s">
        <v>126</v>
      </c>
      <c r="C27" s="674">
        <f>SUM('WP-AB'!D40:V40)</f>
        <v>0</v>
      </c>
      <c r="D27" s="674">
        <f>SUM('WP-AB'!W40:AF40)</f>
        <v>5080319.9000000004</v>
      </c>
      <c r="E27" s="674">
        <f>SUM('WP-AB'!AG40,'WP-AB'!AH40,'WP-AB'!AI40,'WP-AB'!AJ40,'WP-AB'!AK40,'WP-AB'!AL40)</f>
        <v>0</v>
      </c>
      <c r="F27" s="329">
        <f t="shared" si="0"/>
        <v>5080319.9000000004</v>
      </c>
      <c r="G27" s="1446"/>
      <c r="I27" s="1586"/>
    </row>
    <row r="28" spans="1:9" s="13" customFormat="1" ht="15">
      <c r="A28" t="s">
        <v>1587</v>
      </c>
      <c r="B28" s="328" t="s">
        <v>127</v>
      </c>
      <c r="C28" s="674">
        <f>SUM('WP-AB'!D41:V41)</f>
        <v>0</v>
      </c>
      <c r="D28" s="674">
        <f>SUM('WP-AB'!W41:AF41)</f>
        <v>2409185.75</v>
      </c>
      <c r="E28" s="674">
        <f>SUM('WP-AB'!AG41,'WP-AB'!AH41,'WP-AB'!AI41,'WP-AB'!AJ41,'WP-AB'!AK41,'WP-AB'!AL41)</f>
        <v>0</v>
      </c>
      <c r="F28" s="329">
        <f t="shared" si="0"/>
        <v>2409185.75</v>
      </c>
      <c r="G28" s="1446"/>
      <c r="I28" s="1586"/>
    </row>
    <row r="29" spans="1:9" s="13" customFormat="1" ht="15">
      <c r="A29" t="s">
        <v>1588</v>
      </c>
      <c r="B29" s="328" t="s">
        <v>128</v>
      </c>
      <c r="C29" s="674">
        <f>SUM('WP-AB'!D42:V42)</f>
        <v>0</v>
      </c>
      <c r="D29" s="674">
        <f>SUM('WP-AB'!W42:AF42)</f>
        <v>3894469.16</v>
      </c>
      <c r="E29" s="674">
        <f>SUM('WP-AB'!AG42,'WP-AB'!AH42,'WP-AB'!AI42,'WP-AB'!AJ42,'WP-AB'!AK42,'WP-AB'!AL42)</f>
        <v>0</v>
      </c>
      <c r="F29" s="329">
        <f t="shared" si="0"/>
        <v>3894469.16</v>
      </c>
      <c r="G29" s="1446"/>
      <c r="I29" s="1586"/>
    </row>
    <row r="30" spans="1:9" s="13" customFormat="1" ht="15">
      <c r="A30" t="s">
        <v>1589</v>
      </c>
      <c r="B30" s="328" t="s">
        <v>130</v>
      </c>
      <c r="C30" s="674">
        <f>SUM('WP-AB'!D44:V44)</f>
        <v>0</v>
      </c>
      <c r="D30" s="674">
        <f>SUM('WP-AB'!W44:AF44)</f>
        <v>9628925.5099999998</v>
      </c>
      <c r="E30" s="674">
        <f>SUM('WP-AB'!AG44,'WP-AB'!AH44,'WP-AB'!AI44,'WP-AB'!AJ44,'WP-AB'!AK44,'WP-AB'!AL44)</f>
        <v>0</v>
      </c>
      <c r="F30" s="329">
        <f t="shared" si="0"/>
        <v>9628925.5099999998</v>
      </c>
      <c r="G30" s="1446"/>
      <c r="I30" s="1586"/>
    </row>
    <row r="31" spans="1:9" s="13" customFormat="1" ht="15">
      <c r="A31" t="s">
        <v>1590</v>
      </c>
      <c r="B31" s="328" t="s">
        <v>137</v>
      </c>
      <c r="C31" s="674">
        <f>SUM('WP-AB'!D51:V51)</f>
        <v>11678113.030000001</v>
      </c>
      <c r="D31" s="674">
        <f>SUM('WP-AB'!W51:AF51)</f>
        <v>0</v>
      </c>
      <c r="E31" s="674">
        <f>SUM('WP-AB'!AG51,'WP-AB'!AH51,'WP-AB'!AI51,'WP-AB'!AJ51,'WP-AB'!AK51,'WP-AB'!AL51)</f>
        <v>46393466.880000003</v>
      </c>
      <c r="F31" s="329">
        <f>SUM(C31:E31)</f>
        <v>58071579.910000004</v>
      </c>
      <c r="G31" s="1446"/>
      <c r="I31" s="1586"/>
    </row>
    <row r="32" spans="1:9" s="13" customFormat="1" ht="15">
      <c r="A32" t="s">
        <v>1591</v>
      </c>
      <c r="B32" s="328" t="s">
        <v>634</v>
      </c>
      <c r="C32" s="674"/>
      <c r="D32" s="674"/>
      <c r="E32" s="674">
        <v>0</v>
      </c>
      <c r="F32" s="329">
        <f>SUM(C32:E32)</f>
        <v>0</v>
      </c>
      <c r="G32" s="1446"/>
      <c r="I32" s="1586"/>
    </row>
    <row r="33" spans="1:9" s="13" customFormat="1" ht="15">
      <c r="A33" t="s">
        <v>1592</v>
      </c>
      <c r="B33" s="328" t="s">
        <v>138</v>
      </c>
      <c r="C33" s="674">
        <f>SUM('WP-AB'!D52:V52)</f>
        <v>3700000</v>
      </c>
      <c r="D33" s="674">
        <f>SUM('WP-AB'!W52:AF52)</f>
        <v>17776134.280000001</v>
      </c>
      <c r="E33" s="674">
        <f>SUM('WP-AB'!AG52,'WP-AB'!AH52,'WP-AB'!AI52,'WP-AB'!AJ52,'WP-AB'!AK52,'WP-AB'!AL52)</f>
        <v>0</v>
      </c>
      <c r="F33" s="329">
        <f t="shared" ref="F33:F72" si="1">SUM(C33:E33)</f>
        <v>21476134.280000001</v>
      </c>
      <c r="G33" s="1446"/>
    </row>
    <row r="34" spans="1:9" s="13" customFormat="1" ht="15">
      <c r="A34" t="s">
        <v>1593</v>
      </c>
      <c r="B34" s="328" t="s">
        <v>139</v>
      </c>
      <c r="C34" s="674">
        <f>SUM('WP-AB'!D53:V53)</f>
        <v>0</v>
      </c>
      <c r="D34" s="674">
        <f>SUM('WP-AB'!W53:AF53)</f>
        <v>0</v>
      </c>
      <c r="E34" s="674">
        <f>SUM('WP-AB'!AG53,'WP-AB'!AH53,'WP-AB'!AI53,'WP-AB'!AJ53,'WP-AB'!AK53,'WP-AB'!AL53)</f>
        <v>72575353.396908149</v>
      </c>
      <c r="F34" s="329">
        <f t="shared" si="1"/>
        <v>72575353.396908149</v>
      </c>
      <c r="G34" s="1446"/>
      <c r="H34" s="1702"/>
    </row>
    <row r="35" spans="1:9" s="13" customFormat="1" ht="15">
      <c r="A35" t="s">
        <v>1594</v>
      </c>
      <c r="B35" s="328" t="s">
        <v>140</v>
      </c>
      <c r="C35" s="674">
        <f>SUM('WP-AB'!D54:V54)</f>
        <v>0</v>
      </c>
      <c r="D35" s="674">
        <f>SUM('WP-AB'!W54:AF54)</f>
        <v>0</v>
      </c>
      <c r="E35" s="674">
        <f>SUM('WP-AB'!AG54,'WP-AB'!AH54,'WP-AB'!AI54,'WP-AB'!AJ54,'WP-AB'!AK54,'WP-AB'!AL54)</f>
        <v>28131768.875966236</v>
      </c>
      <c r="F35" s="329">
        <f t="shared" si="1"/>
        <v>28131768.875966236</v>
      </c>
      <c r="G35" s="1446"/>
    </row>
    <row r="36" spans="1:9" s="13" customFormat="1" ht="15">
      <c r="A36" t="s">
        <v>1595</v>
      </c>
      <c r="B36" s="328" t="s">
        <v>141</v>
      </c>
      <c r="C36" s="674">
        <f>SUM('WP-AB'!D55:V55)</f>
        <v>0</v>
      </c>
      <c r="D36" s="674">
        <f>SUM('WP-AB'!W55:AF55)</f>
        <v>0</v>
      </c>
      <c r="E36" s="674">
        <f>SUM('WP-AB'!AG55,'WP-AB'!AH55,'WP-AB'!AI55,'WP-AB'!AJ55,'WP-AB'!AK55,'WP-AB'!AL55)</f>
        <v>-14239040.280000001</v>
      </c>
      <c r="F36" s="329">
        <f t="shared" si="1"/>
        <v>-14239040.280000001</v>
      </c>
      <c r="G36" s="1446"/>
    </row>
    <row r="37" spans="1:9" s="13" customFormat="1" ht="15">
      <c r="A37" t="s">
        <v>1596</v>
      </c>
      <c r="B37" s="328" t="s">
        <v>428</v>
      </c>
      <c r="C37" s="674">
        <f>SUM('WP-AB'!D56:V56)</f>
        <v>0</v>
      </c>
      <c r="D37" s="674">
        <f>SUM('WP-AB'!W56:AF56)</f>
        <v>0</v>
      </c>
      <c r="E37" s="674">
        <f>SUM('WP-AB'!AG56,'WP-AB'!AH56,'WP-AB'!AI56,'WP-AB'!AJ56,'WP-AB'!AK56,'WP-AB'!AL56)</f>
        <v>30439458.986750524</v>
      </c>
      <c r="F37" s="329">
        <f t="shared" si="1"/>
        <v>30439458.986750524</v>
      </c>
      <c r="G37" s="1446"/>
    </row>
    <row r="38" spans="1:9" s="13" customFormat="1" ht="15">
      <c r="A38" t="s">
        <v>1597</v>
      </c>
      <c r="B38" s="328" t="s">
        <v>375</v>
      </c>
      <c r="C38" s="674">
        <f>SUM('WP-AB'!D57:V57)</f>
        <v>4548427.2200000007</v>
      </c>
      <c r="D38" s="674">
        <f>SUM('WP-AB'!W57:AF57)</f>
        <v>488473.87</v>
      </c>
      <c r="E38" s="674">
        <f>SUM('WP-AB'!AG57,'WP-AB'!AH57,'WP-AB'!AI57,'WP-AB'!AJ57,'WP-AB'!AK57,'WP-AB'!AL57)</f>
        <v>612270.44802882744</v>
      </c>
      <c r="F38" s="329">
        <f t="shared" si="1"/>
        <v>5649171.5380288279</v>
      </c>
      <c r="G38" s="1446"/>
    </row>
    <row r="39" spans="1:9" s="13" customFormat="1" ht="15">
      <c r="A39" s="1379" t="s">
        <v>1598</v>
      </c>
      <c r="B39" s="328" t="s">
        <v>332</v>
      </c>
      <c r="C39" s="674">
        <f>SUM('WP-AB'!D58:V58)</f>
        <v>2400068.34</v>
      </c>
      <c r="D39" s="674">
        <f>SUM('WP-AB'!W58:AF58)</f>
        <v>385481.41</v>
      </c>
      <c r="E39" s="674">
        <f>SUM('WP-AB'!AG58,'WP-AB'!AH58,'WP-AB'!AI58,'WP-AB'!AJ58,'WP-AB'!AK58,'WP-AB'!AL58)</f>
        <v>856524.07842811989</v>
      </c>
      <c r="F39" s="329">
        <f t="shared" si="1"/>
        <v>3642073.8284281199</v>
      </c>
      <c r="G39" s="1446"/>
    </row>
    <row r="40" spans="1:9" s="13" customFormat="1" ht="15">
      <c r="A40" s="1379" t="s">
        <v>1599</v>
      </c>
      <c r="B40" s="328" t="s">
        <v>429</v>
      </c>
      <c r="C40" s="674">
        <f>SUM('WP-AB'!D60:V60)</f>
        <v>0</v>
      </c>
      <c r="D40" s="674">
        <f>SUM('WP-AB'!W60:AF60)</f>
        <v>0</v>
      </c>
      <c r="E40" s="674">
        <f>SUM('WP-AB'!AG60,'WP-AB'!AH60,'WP-AB'!AI60,'WP-AB'!AJ60,'WP-AB'!AK60,'WP-AB'!AL60)</f>
        <v>27097724.102288321</v>
      </c>
      <c r="F40" s="329">
        <f t="shared" si="1"/>
        <v>27097724.102288321</v>
      </c>
      <c r="G40" s="1446"/>
    </row>
    <row r="41" spans="1:9" s="13" customFormat="1" ht="15">
      <c r="A41" s="1379" t="s">
        <v>1600</v>
      </c>
      <c r="B41" s="328" t="s">
        <v>739</v>
      </c>
      <c r="C41" s="674">
        <f>SUM('WP-AB'!D59:V59)</f>
        <v>0</v>
      </c>
      <c r="D41" s="674">
        <f>SUM('WP-AB'!W59:AF59)</f>
        <v>0</v>
      </c>
      <c r="E41" s="674">
        <f>SUM('WP-AB'!AG59,'WP-AB'!AH59,'WP-AB'!AI59,'WP-AB'!AJ59,'WP-AB'!AK59,'WP-AB'!AL59)</f>
        <v>0</v>
      </c>
      <c r="F41" s="329">
        <f t="shared" si="1"/>
        <v>0</v>
      </c>
      <c r="G41" s="1446"/>
    </row>
    <row r="42" spans="1:9" s="13" customFormat="1" ht="15">
      <c r="A42" s="1379" t="s">
        <v>1601</v>
      </c>
      <c r="B42" s="328" t="s">
        <v>430</v>
      </c>
      <c r="C42" s="674">
        <f>SUM('WP-AB'!D61:V61)</f>
        <v>4471345.75</v>
      </c>
      <c r="D42" s="674">
        <f>SUM('WP-AB'!W61:AF61)</f>
        <v>0</v>
      </c>
      <c r="E42" s="674">
        <f>SUM('WP-AB'!AG61,'WP-AB'!AH61,'WP-AB'!AI61,'WP-AB'!AJ61,'WP-AB'!AK61,'WP-AB'!AL61)</f>
        <v>0</v>
      </c>
      <c r="F42" s="329">
        <f t="shared" si="1"/>
        <v>4471345.75</v>
      </c>
      <c r="G42" s="1446"/>
    </row>
    <row r="43" spans="1:9" s="13" customFormat="1" ht="15">
      <c r="A43" s="1379" t="s">
        <v>1602</v>
      </c>
      <c r="B43" s="328" t="s">
        <v>142</v>
      </c>
      <c r="C43" s="674">
        <f>SUM('WP-AB'!D62:V62)</f>
        <v>-51324.770000000004</v>
      </c>
      <c r="D43" s="674">
        <f>SUM('WP-AB'!W62:AF62)</f>
        <v>-1071.73</v>
      </c>
      <c r="E43" s="674">
        <f>SUM('WP-AB'!AG62,'WP-AB'!AH62,'WP-AB'!AI62,'WP-AB'!AJ62,'WP-AB'!AK62,'WP-AB'!AL62)</f>
        <v>850078.08</v>
      </c>
      <c r="F43" s="329">
        <f t="shared" si="1"/>
        <v>797681.58</v>
      </c>
      <c r="G43" s="1446"/>
    </row>
    <row r="44" spans="1:9" s="13" customFormat="1" ht="15">
      <c r="A44" s="1379" t="s">
        <v>1603</v>
      </c>
      <c r="B44" s="328" t="s">
        <v>605</v>
      </c>
      <c r="C44" s="674">
        <f>SUM('WP-AB'!D65:V65)</f>
        <v>0</v>
      </c>
      <c r="D44" s="674">
        <f>SUM('WP-AB'!W65:AF65)</f>
        <v>0</v>
      </c>
      <c r="E44" s="674">
        <f>SUM('WP-AB'!AG65,'WP-AB'!AH65,'WP-AB'!AI65,'WP-AB'!AJ65,'WP-AB'!AK65,'WP-AB'!AL65)</f>
        <v>239551.59223703726</v>
      </c>
      <c r="F44" s="329">
        <f t="shared" si="1"/>
        <v>239551.59223703726</v>
      </c>
      <c r="G44" s="1446"/>
      <c r="I44" s="1586"/>
    </row>
    <row r="45" spans="1:9" s="13" customFormat="1" ht="15">
      <c r="A45" s="1379" t="s">
        <v>1604</v>
      </c>
      <c r="B45" s="328" t="s">
        <v>431</v>
      </c>
      <c r="C45" s="674">
        <f>SUM('WP-AB'!D66:V66)</f>
        <v>1679.5500000000002</v>
      </c>
      <c r="D45" s="674">
        <f>SUM('WP-AB'!W66:AF66)</f>
        <v>0</v>
      </c>
      <c r="E45" s="674">
        <f>SUM('WP-AB'!AG66,'WP-AB'!AH66,'WP-AB'!AI66,'WP-AB'!AJ66,'WP-AB'!AK66,'WP-AB'!AL66)</f>
        <v>5885565.4771568049</v>
      </c>
      <c r="F45" s="329">
        <f t="shared" si="1"/>
        <v>5887245.0271568047</v>
      </c>
      <c r="G45" s="1446"/>
      <c r="H45" s="744"/>
    </row>
    <row r="46" spans="1:9" s="13" customFormat="1" ht="15">
      <c r="A46" s="1379" t="s">
        <v>1605</v>
      </c>
      <c r="B46" s="328" t="s">
        <v>143</v>
      </c>
      <c r="C46" s="674">
        <v>907484.91</v>
      </c>
      <c r="D46" s="674">
        <v>2404422.5499999998</v>
      </c>
      <c r="E46" s="674">
        <v>5462342.29</v>
      </c>
      <c r="F46" s="329">
        <f t="shared" si="1"/>
        <v>8774249.75</v>
      </c>
      <c r="G46" s="1446"/>
    </row>
    <row r="47" spans="1:9" s="13" customFormat="1" ht="15">
      <c r="A47" s="1379" t="s">
        <v>1606</v>
      </c>
      <c r="B47" s="328" t="s">
        <v>144</v>
      </c>
      <c r="C47" s="674">
        <f>SUM('WP-AB'!D63:V63)</f>
        <v>0</v>
      </c>
      <c r="D47" s="674">
        <f>SUM('WP-AB'!W63:AF63)</f>
        <v>0</v>
      </c>
      <c r="E47" s="674">
        <f>SUM('WP-AB'!AG63,'WP-AB'!AH63,'WP-AB'!AI63,'WP-AB'!AJ63,'WP-AB'!AK63,'WP-AB'!AL63)</f>
        <v>854718.10223599686</v>
      </c>
      <c r="F47" s="329">
        <f t="shared" si="1"/>
        <v>854718.10223599686</v>
      </c>
      <c r="G47" s="1446"/>
    </row>
    <row r="48" spans="1:9" s="13" customFormat="1" ht="15">
      <c r="A48" s="1379" t="s">
        <v>1607</v>
      </c>
      <c r="B48" s="328" t="s">
        <v>432</v>
      </c>
      <c r="C48" s="674">
        <f>SUM('WP-AB'!D67:V67)</f>
        <v>447062.23</v>
      </c>
      <c r="D48" s="674">
        <f>SUM('WP-AB'!W67:AF67)</f>
        <v>0</v>
      </c>
      <c r="E48" s="674">
        <f>SUM('WP-AB'!AF67,'WP-AB'!AG67,'WP-AB'!AH67,'WP-AB'!AI67,'WP-AB'!AJ67,'WP-AB'!AK67)</f>
        <v>5114301.1399999997</v>
      </c>
      <c r="F48" s="329">
        <f t="shared" ref="F48:F51" si="2">SUM(C48:E48)</f>
        <v>5561363.3699999992</v>
      </c>
      <c r="H48" s="744"/>
    </row>
    <row r="49" spans="1:10" s="13" customFormat="1" ht="17.25">
      <c r="A49" s="1692" t="s">
        <v>2032</v>
      </c>
      <c r="B49" s="1693" t="s">
        <v>2031</v>
      </c>
      <c r="C49" s="1694"/>
      <c r="D49" s="1694"/>
      <c r="E49" s="1694">
        <f>SUM('WP-AB'!AG70:AN70)</f>
        <v>141329997.24000001</v>
      </c>
      <c r="F49" s="329">
        <f t="shared" si="2"/>
        <v>141329997.24000001</v>
      </c>
      <c r="G49" s="1447"/>
    </row>
    <row r="50" spans="1:10" s="1702" customFormat="1" ht="15">
      <c r="A50" s="1698" t="s">
        <v>2033</v>
      </c>
      <c r="B50" s="1693" t="s">
        <v>2027</v>
      </c>
      <c r="C50" s="1694"/>
      <c r="D50" s="1694"/>
      <c r="E50" s="1694">
        <f>'WP-AB'!AQ68</f>
        <v>2066455.19</v>
      </c>
      <c r="F50" s="329">
        <f t="shared" si="2"/>
        <v>2066455.19</v>
      </c>
      <c r="H50" s="744"/>
      <c r="I50" s="13"/>
      <c r="J50" s="13"/>
    </row>
    <row r="51" spans="1:10" s="1702" customFormat="1" ht="17.25">
      <c r="A51" s="1698" t="s">
        <v>2049</v>
      </c>
      <c r="B51" s="1693" t="s">
        <v>2040</v>
      </c>
      <c r="C51" s="1694"/>
      <c r="D51" s="1694"/>
      <c r="E51" s="1694">
        <f>'WP-AB'!AO69</f>
        <v>188428.1</v>
      </c>
      <c r="F51" s="329">
        <f t="shared" si="2"/>
        <v>188428.1</v>
      </c>
      <c r="G51" s="1695" t="s">
        <v>629</v>
      </c>
      <c r="H51" s="744"/>
      <c r="I51" s="13"/>
      <c r="J51" s="13"/>
    </row>
    <row r="52" spans="1:10" s="13" customFormat="1" ht="15.75" thickBot="1">
      <c r="A52" s="1380" t="s">
        <v>541</v>
      </c>
      <c r="B52" s="1376" t="s">
        <v>1166</v>
      </c>
      <c r="C52" s="1378" t="s">
        <v>1166</v>
      </c>
      <c r="D52" s="1378" t="s">
        <v>1166</v>
      </c>
      <c r="E52" s="1378" t="s">
        <v>1166</v>
      </c>
      <c r="F52" s="1377" t="s">
        <v>1166</v>
      </c>
      <c r="G52" s="1448">
        <f>SUM(F19:F52)</f>
        <v>534522796.84000015</v>
      </c>
      <c r="H52" s="744"/>
      <c r="I52" s="1586"/>
    </row>
    <row r="53" spans="1:10" s="13" customFormat="1" ht="15">
      <c r="A53" s="1379" t="s">
        <v>1277</v>
      </c>
      <c r="B53" s="327" t="s">
        <v>117</v>
      </c>
      <c r="C53" s="674">
        <f>SUM('WP-AB'!D31:V31)</f>
        <v>11644931.319999998</v>
      </c>
      <c r="D53" s="674">
        <f>SUM('WP-AB'!W31:AF31)</f>
        <v>0</v>
      </c>
      <c r="E53" s="673">
        <f>SUM('WP-AB'!AG31,'WP-AB'!AH31,'WP-AB'!AI31,'WP-AB'!AJ31,'WP-AB'!AK31,'WP-AB'!AL31)</f>
        <v>0</v>
      </c>
      <c r="F53" s="308">
        <f t="shared" si="1"/>
        <v>11644931.319999998</v>
      </c>
      <c r="G53" s="1445"/>
      <c r="H53" s="744"/>
      <c r="I53" s="1586"/>
    </row>
    <row r="54" spans="1:10" s="13" customFormat="1" ht="15">
      <c r="A54" s="1379" t="s">
        <v>1278</v>
      </c>
      <c r="B54" s="328" t="s">
        <v>426</v>
      </c>
      <c r="C54" s="674">
        <f>SUM('WP-AB'!D21:V21)</f>
        <v>1096699.3499999999</v>
      </c>
      <c r="D54" s="674">
        <f>SUM('WP-AB'!W21:AF21)</f>
        <v>0</v>
      </c>
      <c r="E54" s="674">
        <f>SUM('WP-AB'!AG21,'WP-AB'!AH21,'WP-AB'!AI21,'WP-AB'!AJ21,'WP-AB'!AK21,'WP-AB'!AL21)</f>
        <v>0</v>
      </c>
      <c r="F54" s="329">
        <f t="shared" si="1"/>
        <v>1096699.3499999999</v>
      </c>
      <c r="G54" s="1446"/>
      <c r="H54" s="744"/>
      <c r="I54" s="1586"/>
    </row>
    <row r="55" spans="1:10" s="13" customFormat="1" ht="15">
      <c r="A55" s="1379" t="s">
        <v>1279</v>
      </c>
      <c r="B55" s="328" t="s">
        <v>109</v>
      </c>
      <c r="C55" s="674">
        <f>SUM('WP-AB'!D22:V22)</f>
        <v>28696.09</v>
      </c>
      <c r="D55" s="674">
        <f>SUM('WP-AB'!W22:AF22)</f>
        <v>0</v>
      </c>
      <c r="E55" s="674">
        <f>SUM('WP-AB'!AG22,'WP-AB'!AH22,'WP-AB'!AI22,'WP-AB'!AJ22,'WP-AB'!AK22,'WP-AB'!AL22)</f>
        <v>0</v>
      </c>
      <c r="F55" s="329">
        <f t="shared" si="1"/>
        <v>28696.09</v>
      </c>
      <c r="G55" s="1446"/>
      <c r="H55" s="744"/>
      <c r="I55" s="1586"/>
    </row>
    <row r="56" spans="1:10" s="13" customFormat="1" ht="15">
      <c r="A56" s="1379" t="s">
        <v>1280</v>
      </c>
      <c r="B56" s="328" t="s">
        <v>113</v>
      </c>
      <c r="C56" s="674">
        <f>SUM('WP-AB'!D27:V27)</f>
        <v>991503.66</v>
      </c>
      <c r="D56" s="674">
        <f>SUM('WP-AB'!W27:AF27)</f>
        <v>0</v>
      </c>
      <c r="E56" s="674">
        <f>SUM('WP-AB'!AG27,'WP-AB'!AH27,'WP-AB'!AI27,'WP-AB'!AJ27,'WP-AB'!AK27,'WP-AB'!AL27)</f>
        <v>0</v>
      </c>
      <c r="F56" s="329">
        <f t="shared" si="1"/>
        <v>991503.66</v>
      </c>
      <c r="G56" s="1446"/>
      <c r="H56" s="1703"/>
      <c r="I56" s="1746"/>
    </row>
    <row r="57" spans="1:10" s="13" customFormat="1" ht="15">
      <c r="A57" s="1379" t="s">
        <v>1281</v>
      </c>
      <c r="B57" s="328" t="s">
        <v>114</v>
      </c>
      <c r="C57" s="674">
        <f>SUM('WP-AB'!D28:V28)</f>
        <v>19493393.800000001</v>
      </c>
      <c r="D57" s="674">
        <f>SUM('WP-AB'!W28:AF28)</f>
        <v>0</v>
      </c>
      <c r="E57" s="674">
        <f>SUM('WP-AB'!AG28,'WP-AB'!AH28,'WP-AB'!AI28,'WP-AB'!AJ28,'WP-AB'!AK28,'WP-AB'!AL28)</f>
        <v>0</v>
      </c>
      <c r="F57" s="329">
        <f t="shared" si="1"/>
        <v>19493393.800000001</v>
      </c>
      <c r="G57" s="1446"/>
      <c r="H57" s="744"/>
      <c r="I57" s="1586"/>
    </row>
    <row r="58" spans="1:10" s="13" customFormat="1" ht="15">
      <c r="A58" s="1379" t="s">
        <v>1313</v>
      </c>
      <c r="B58" s="328" t="s">
        <v>115</v>
      </c>
      <c r="C58" s="674">
        <f>SUM('WP-AB'!D29:V29)</f>
        <v>8479167.9499999993</v>
      </c>
      <c r="D58" s="674">
        <f>SUM('WP-AB'!W29:AF29)</f>
        <v>0</v>
      </c>
      <c r="E58" s="674">
        <f>SUM('WP-AB'!AG29,'WP-AB'!AH29,'WP-AB'!AI29,'WP-AB'!AJ29,'WP-AB'!AK29,'WP-AB'!AL29)</f>
        <v>0</v>
      </c>
      <c r="F58" s="329">
        <f t="shared" si="1"/>
        <v>8479167.9499999993</v>
      </c>
      <c r="G58" s="1446"/>
      <c r="I58" s="1586"/>
    </row>
    <row r="59" spans="1:10" s="13" customFormat="1" ht="15">
      <c r="A59" s="1379" t="s">
        <v>1314</v>
      </c>
      <c r="B59" s="328" t="s">
        <v>116</v>
      </c>
      <c r="C59" s="674">
        <f>SUM('WP-AB'!D30:V30)</f>
        <v>17523128.619999997</v>
      </c>
      <c r="D59" s="674">
        <f>SUM('WP-AB'!W30:AF30)</f>
        <v>0</v>
      </c>
      <c r="E59" s="674">
        <f>SUM('WP-AB'!AG30,'WP-AB'!AH30,'WP-AB'!AI30,'WP-AB'!AJ30,'WP-AB'!AK30,'WP-AB'!AL30)</f>
        <v>0</v>
      </c>
      <c r="F59" s="329">
        <f t="shared" si="1"/>
        <v>17523128.619999997</v>
      </c>
      <c r="G59" s="1446"/>
      <c r="H59" s="727"/>
      <c r="I59" s="1586"/>
    </row>
    <row r="60" spans="1:10" s="13" customFormat="1" ht="15">
      <c r="A60" s="1379" t="s">
        <v>1315</v>
      </c>
      <c r="B60" s="328" t="s">
        <v>121</v>
      </c>
      <c r="C60" s="674">
        <f>SUM('WP-AB'!D35:V35)</f>
        <v>692.36</v>
      </c>
      <c r="D60" s="674">
        <f>SUM('WP-AB'!W35:AF35)</f>
        <v>0</v>
      </c>
      <c r="E60" s="674">
        <f>SUM('WP-AB'!AG35,'WP-AB'!AH35,'WP-AB'!AI35,'WP-AB'!AJ35,'WP-AB'!AK35,'WP-AB'!AL35)</f>
        <v>0</v>
      </c>
      <c r="F60" s="329">
        <f t="shared" si="1"/>
        <v>692.36</v>
      </c>
      <c r="G60" s="1446"/>
      <c r="I60" s="1586"/>
    </row>
    <row r="61" spans="1:10" s="13" customFormat="1" ht="15">
      <c r="A61" s="1379" t="s">
        <v>1316</v>
      </c>
      <c r="B61" s="328" t="s">
        <v>122</v>
      </c>
      <c r="C61" s="674">
        <f>SUM('WP-AB'!D36:V36)</f>
        <v>706774.04</v>
      </c>
      <c r="D61" s="674">
        <f>SUM('WP-AB'!W36:AF36)</f>
        <v>0</v>
      </c>
      <c r="E61" s="674">
        <f>SUM('WP-AB'!AG36,'WP-AB'!AH36,'WP-AB'!AI36,'WP-AB'!AJ36,'WP-AB'!AK36,'WP-AB'!AL36)</f>
        <v>0</v>
      </c>
      <c r="F61" s="329">
        <f t="shared" si="1"/>
        <v>706774.04</v>
      </c>
      <c r="G61" s="1446"/>
      <c r="I61" s="1586"/>
      <c r="J61" s="1702"/>
    </row>
    <row r="62" spans="1:10" s="13" customFormat="1" ht="15">
      <c r="A62" s="1379" t="s">
        <v>1608</v>
      </c>
      <c r="B62" s="328" t="s">
        <v>123</v>
      </c>
      <c r="C62" s="674">
        <f>SUM('WP-AB'!D37:V37)</f>
        <v>39126907.210000001</v>
      </c>
      <c r="D62" s="674">
        <f>SUM('WP-AB'!W37:AF37)</f>
        <v>0</v>
      </c>
      <c r="E62" s="674">
        <f>SUM('WP-AB'!AG37,'WP-AB'!AH37,'WP-AB'!AI37,'WP-AB'!AJ37,'WP-AB'!AK37,'WP-AB'!AL37)</f>
        <v>0</v>
      </c>
      <c r="F62" s="329">
        <f t="shared" si="1"/>
        <v>39126907.210000001</v>
      </c>
      <c r="G62" s="1446"/>
      <c r="H62" s="313"/>
      <c r="I62" s="1747"/>
    </row>
    <row r="63" spans="1:10" s="13" customFormat="1" ht="15">
      <c r="A63" s="1379" t="s">
        <v>1609</v>
      </c>
      <c r="B63" s="328" t="s">
        <v>124</v>
      </c>
      <c r="C63" s="674">
        <f>SUM('WP-AB'!D38:V38)</f>
        <v>3320152.55</v>
      </c>
      <c r="D63" s="674">
        <f>SUM('WP-AB'!W38:AF38)</f>
        <v>0</v>
      </c>
      <c r="E63" s="674">
        <f>SUM('WP-AB'!AG38,'WP-AB'!AH38,'WP-AB'!AI38,'WP-AB'!AJ38,'WP-AB'!AK38,'WP-AB'!AL38)</f>
        <v>0</v>
      </c>
      <c r="F63" s="329">
        <f t="shared" si="1"/>
        <v>3320152.55</v>
      </c>
      <c r="G63" s="1446"/>
      <c r="H63" s="313"/>
      <c r="I63" s="1747"/>
    </row>
    <row r="64" spans="1:10" s="13" customFormat="1" ht="15">
      <c r="A64" s="1379" t="s">
        <v>1610</v>
      </c>
      <c r="B64" s="328" t="s">
        <v>131</v>
      </c>
      <c r="C64" s="674">
        <f>SUM('WP-AB'!D45:V45)</f>
        <v>0</v>
      </c>
      <c r="D64" s="674">
        <f>SUM('WP-AB'!W45:AF45)</f>
        <v>8877105.7599999998</v>
      </c>
      <c r="E64" s="674">
        <f>SUM('WP-AB'!AG45,'WP-AB'!AH45,'WP-AB'!AI45,'WP-AB'!AJ45,'WP-AB'!AK45,'WP-AB'!AL45)</f>
        <v>0</v>
      </c>
      <c r="F64" s="329">
        <f t="shared" si="1"/>
        <v>8877105.7599999998</v>
      </c>
      <c r="G64" s="1446"/>
      <c r="H64" s="313"/>
      <c r="I64" s="1747"/>
    </row>
    <row r="65" spans="1:10" s="13" customFormat="1" ht="15">
      <c r="A65" s="1379" t="s">
        <v>1611</v>
      </c>
      <c r="B65" s="328" t="s">
        <v>132</v>
      </c>
      <c r="C65" s="674">
        <f>SUM('WP-AB'!D46:V46)</f>
        <v>0</v>
      </c>
      <c r="D65" s="674">
        <f>SUM('WP-AB'!W46:AF46)</f>
        <v>5169551.49</v>
      </c>
      <c r="E65" s="674">
        <f>SUM('WP-AB'!AG46,'WP-AB'!AH46,'WP-AB'!AI46,'WP-AB'!AJ46,'WP-AB'!AK46,'WP-AB'!AL46)</f>
        <v>0</v>
      </c>
      <c r="F65" s="329">
        <f t="shared" si="1"/>
        <v>5169551.49</v>
      </c>
      <c r="G65" s="1446"/>
      <c r="H65"/>
      <c r="I65" s="1745"/>
    </row>
    <row r="66" spans="1:10" s="13" customFormat="1" ht="15">
      <c r="A66" s="1379" t="s">
        <v>1612</v>
      </c>
      <c r="B66" s="328" t="s">
        <v>133</v>
      </c>
      <c r="C66" s="674">
        <f>SUM('WP-AB'!D47:V47)</f>
        <v>12385.64</v>
      </c>
      <c r="D66" s="674">
        <f>SUM('WP-AB'!W47:AF47)</f>
        <v>13900874.390000001</v>
      </c>
      <c r="E66" s="674">
        <f>SUM('WP-AB'!AG47,'WP-AB'!AH47,'WP-AB'!AI47,'WP-AB'!AJ47,'WP-AB'!AK47,'WP-AB'!AL47)</f>
        <v>0</v>
      </c>
      <c r="F66" s="329">
        <f t="shared" si="1"/>
        <v>13913260.030000001</v>
      </c>
      <c r="G66" s="1446"/>
      <c r="H66"/>
      <c r="I66" s="1745"/>
    </row>
    <row r="67" spans="1:10" s="13" customFormat="1" ht="15">
      <c r="A67" s="1379" t="s">
        <v>1613</v>
      </c>
      <c r="B67" s="328" t="s">
        <v>134</v>
      </c>
      <c r="C67" s="674">
        <f>SUM('WP-AB'!D48:V48)</f>
        <v>0</v>
      </c>
      <c r="D67" s="674">
        <f>SUM('WP-AB'!W48:AF48)</f>
        <v>13341187.59</v>
      </c>
      <c r="E67" s="674">
        <f>SUM('WP-AB'!AG48,'WP-AB'!AH48,'WP-AB'!AI48,'WP-AB'!AJ48,'WP-AB'!AK48,'WP-AB'!AL48)</f>
        <v>0</v>
      </c>
      <c r="F67" s="329">
        <f t="shared" si="1"/>
        <v>13341187.59</v>
      </c>
      <c r="G67" s="1446"/>
      <c r="H67"/>
      <c r="I67" s="1745"/>
      <c r="J67" s="313"/>
    </row>
    <row r="68" spans="1:10" s="13" customFormat="1" ht="15">
      <c r="A68" s="1404" t="s">
        <v>1614</v>
      </c>
      <c r="B68" s="328" t="s">
        <v>135</v>
      </c>
      <c r="C68" s="674">
        <f>SUM('WP-AB'!D49:V49)</f>
        <v>0</v>
      </c>
      <c r="D68" s="674">
        <f>SUM('WP-AB'!W49:AF49)</f>
        <v>393798.19</v>
      </c>
      <c r="E68" s="674">
        <f>SUM('WP-AB'!AG49,'WP-AB'!AH49,'WP-AB'!AI49,'WP-AB'!AJ49,'WP-AB'!AK49,'WP-AB'!AL49)</f>
        <v>0</v>
      </c>
      <c r="F68" s="329">
        <f t="shared" si="1"/>
        <v>393798.19</v>
      </c>
      <c r="G68" s="1446"/>
      <c r="H68"/>
      <c r="I68" s="1745"/>
      <c r="J68" s="313"/>
    </row>
    <row r="69" spans="1:10" s="13" customFormat="1" ht="17.25">
      <c r="A69" s="1379" t="s">
        <v>1615</v>
      </c>
      <c r="B69" s="328" t="s">
        <v>136</v>
      </c>
      <c r="C69" s="674">
        <f>SUM('WP-AB'!D50:V50)</f>
        <v>0</v>
      </c>
      <c r="D69" s="674">
        <f>SUM('WP-AB'!W50:AF50)</f>
        <v>148219.53999999998</v>
      </c>
      <c r="E69" s="674">
        <f>SUM('WP-AB'!AG50,'WP-AB'!AH50,'WP-AB'!AI50,'WP-AB'!AJ50,'WP-AB'!AK50,'WP-AB'!AL50)</f>
        <v>0</v>
      </c>
      <c r="F69" s="329">
        <f t="shared" si="1"/>
        <v>148219.53999999998</v>
      </c>
      <c r="G69" s="1447" t="s">
        <v>630</v>
      </c>
      <c r="H69"/>
      <c r="I69" s="1745"/>
      <c r="J69" s="313"/>
    </row>
    <row r="70" spans="1:10" s="13" customFormat="1" ht="15.75" thickBot="1">
      <c r="A70" s="1380" t="s">
        <v>541</v>
      </c>
      <c r="B70" s="1376" t="s">
        <v>1166</v>
      </c>
      <c r="C70" s="1378" t="s">
        <v>1166</v>
      </c>
      <c r="D70" s="1378" t="s">
        <v>1166</v>
      </c>
      <c r="E70" s="1378" t="s">
        <v>1166</v>
      </c>
      <c r="F70" s="1377" t="s">
        <v>1166</v>
      </c>
      <c r="G70" s="1436">
        <f>SUM(F53:F70)</f>
        <v>144255169.54999998</v>
      </c>
      <c r="H70"/>
      <c r="I70" s="1745"/>
      <c r="J70"/>
    </row>
    <row r="71" spans="1:10" s="13" customFormat="1" ht="17.25">
      <c r="A71" s="1404" t="s">
        <v>1575</v>
      </c>
      <c r="B71" s="328" t="s">
        <v>721</v>
      </c>
      <c r="C71" s="674">
        <f>SUM('WP-AB'!D18:V18)</f>
        <v>169565779.83000001</v>
      </c>
      <c r="D71" s="674">
        <f>SUM('WP-AB'!W18:AF18)</f>
        <v>42066878.57</v>
      </c>
      <c r="E71" s="674">
        <f>SUM('WP-AB'!AG18,'WP-AB'!AH18,'WP-AB'!AI18,'WP-AB'!AJ18,'WP-AB'!AK18,'WP-AB'!AL18,'WP-AB'!AM18)</f>
        <v>653453.17000000004</v>
      </c>
      <c r="F71" s="329">
        <f t="shared" si="1"/>
        <v>212286111.56999999</v>
      </c>
      <c r="G71" s="1406"/>
      <c r="H71"/>
      <c r="I71" s="1745"/>
      <c r="J71"/>
    </row>
    <row r="72" spans="1:10" s="1702" customFormat="1" ht="17.25">
      <c r="A72" s="1698" t="s">
        <v>1576</v>
      </c>
      <c r="B72" s="328" t="s">
        <v>2035</v>
      </c>
      <c r="C72" s="1699"/>
      <c r="D72" s="1699"/>
      <c r="E72" s="1699">
        <f>SUM('WP-AB'!D71:AP71)</f>
        <v>22954010.940000001</v>
      </c>
      <c r="F72" s="1700">
        <f t="shared" si="1"/>
        <v>22954010.940000001</v>
      </c>
      <c r="G72" s="1704"/>
      <c r="H72"/>
      <c r="I72" s="1745"/>
      <c r="J72"/>
    </row>
    <row r="73" spans="1:10" s="13" customFormat="1" ht="15.75" thickBot="1">
      <c r="A73" s="1376" t="s">
        <v>541</v>
      </c>
      <c r="B73" s="1376" t="s">
        <v>1166</v>
      </c>
      <c r="C73" s="1378" t="s">
        <v>1166</v>
      </c>
      <c r="D73" s="1378" t="s">
        <v>1166</v>
      </c>
      <c r="E73" s="1378" t="s">
        <v>1166</v>
      </c>
      <c r="F73" s="1436" t="s">
        <v>1166</v>
      </c>
      <c r="G73" s="1436">
        <f>SUM(F71:F73)</f>
        <v>235240122.50999999</v>
      </c>
      <c r="H73"/>
      <c r="I73" s="1745"/>
      <c r="J73"/>
    </row>
    <row r="74" spans="1:10" s="13" customFormat="1" ht="15">
      <c r="A74" s="1379"/>
      <c r="B74" s="328"/>
      <c r="C74" s="674"/>
      <c r="D74" s="674"/>
      <c r="E74" s="674"/>
      <c r="F74" s="329"/>
      <c r="G74" s="329"/>
      <c r="H74"/>
      <c r="I74" s="1745"/>
      <c r="J74"/>
    </row>
    <row r="75" spans="1:10" s="13" customFormat="1" ht="15">
      <c r="A75" s="1379">
        <v>5</v>
      </c>
      <c r="B75" s="331" t="s">
        <v>714</v>
      </c>
      <c r="C75" s="405">
        <f>SUM(C15:C71)</f>
        <v>711652524.94000006</v>
      </c>
      <c r="D75" s="405">
        <f>SUM(D15:D71)</f>
        <v>211375600.88</v>
      </c>
      <c r="E75" s="405">
        <f>SUM(E15:E71)</f>
        <v>1520520417.7500002</v>
      </c>
      <c r="F75" s="332">
        <f>SUM(F15:F71)</f>
        <v>2443548543.5700002</v>
      </c>
      <c r="G75" s="332">
        <f>SUM(G15:G73)</f>
        <v>2466502554.5100002</v>
      </c>
      <c r="H75"/>
      <c r="I75" s="1745"/>
      <c r="J75"/>
    </row>
    <row r="76" spans="1:10" s="13" customFormat="1" ht="15">
      <c r="A76" s="1373"/>
      <c r="C76" s="313"/>
      <c r="D76" s="313"/>
      <c r="E76" s="740"/>
      <c r="F76" s="333"/>
      <c r="G76" s="739"/>
      <c r="H76"/>
      <c r="I76" s="1745"/>
      <c r="J76"/>
    </row>
    <row r="77" spans="1:10" s="13" customFormat="1" ht="15">
      <c r="A77" s="1374"/>
      <c r="C77" s="313"/>
      <c r="D77" s="313"/>
      <c r="E77" s="313"/>
      <c r="F77" s="333"/>
      <c r="G77" s="334"/>
      <c r="H77"/>
      <c r="I77" s="1745"/>
      <c r="J77"/>
    </row>
    <row r="78" spans="1:10" s="313" customFormat="1">
      <c r="A78" s="1375"/>
      <c r="F78" s="321"/>
      <c r="G78" s="321"/>
      <c r="H78"/>
      <c r="I78" s="1745"/>
      <c r="J78"/>
    </row>
    <row r="79" spans="1:10" s="313" customFormat="1">
      <c r="A79" s="1375"/>
      <c r="F79" s="321"/>
      <c r="G79" s="321"/>
      <c r="H79"/>
      <c r="I79" s="1745"/>
      <c r="J79"/>
    </row>
    <row r="80" spans="1:10" s="313" customFormat="1">
      <c r="H80"/>
      <c r="I80" s="1745"/>
      <c r="J80"/>
    </row>
  </sheetData>
  <sortState ref="B8:H40">
    <sortCondition ref="H8:H40"/>
    <sortCondition ref="B8:B40"/>
  </sortState>
  <customSheetViews>
    <customSheetView guid="{B321D76C-CDE5-48BB-9CDE-80FF97D58FCF}" showPageBreaks="1" fitToPage="1" printArea="1" view="pageBreakPreview">
      <selection activeCell="D33" sqref="D33"/>
      <pageMargins left="0.25" right="0.25" top="0.25" bottom="0.25" header="0.3" footer="0.3"/>
      <printOptions horizontalCentered="1"/>
      <pageSetup scale="70" orientation="portrait" r:id="rId1"/>
    </customSheetView>
  </customSheetViews>
  <mergeCells count="6">
    <mergeCell ref="A10:G10"/>
    <mergeCell ref="A4:G4"/>
    <mergeCell ref="A5:G5"/>
    <mergeCell ref="A6:G6"/>
    <mergeCell ref="A8:G8"/>
    <mergeCell ref="A9:G9"/>
  </mergeCells>
  <printOptions horizontalCentered="1"/>
  <pageMargins left="0.25" right="0.25" top="0.25" bottom="0.25" header="0.3" footer="0.3"/>
  <pageSetup scale="63"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2:AR105"/>
  <sheetViews>
    <sheetView tabSelected="1" view="pageBreakPreview" zoomScale="80" zoomScaleNormal="118" zoomScaleSheetLayoutView="80" workbookViewId="0">
      <pane xSplit="3" ySplit="16" topLeftCell="M49" activePane="bottomRight" state="frozen"/>
      <selection activeCell="C30" sqref="C30"/>
      <selection pane="topRight" activeCell="C30" sqref="C30"/>
      <selection pane="bottomLeft" activeCell="C30" sqref="C30"/>
      <selection pane="bottomRight" activeCell="C30" sqref="C30"/>
    </sheetView>
  </sheetViews>
  <sheetFormatPr defaultColWidth="9" defaultRowHeight="15"/>
  <cols>
    <col min="1" max="1" width="9" style="294"/>
    <col min="2" max="2" width="15.5" style="294" customWidth="1"/>
    <col min="3" max="3" width="42" style="294" customWidth="1"/>
    <col min="4" max="4" width="15.5" style="295" bestFit="1" customWidth="1"/>
    <col min="5" max="5" width="15.375" style="295" bestFit="1" customWidth="1"/>
    <col min="6" max="6" width="16" style="295" customWidth="1"/>
    <col min="7" max="7" width="23.5" style="406" customWidth="1"/>
    <col min="8" max="8" width="16.25" style="406" bestFit="1" customWidth="1"/>
    <col min="9" max="9" width="15.5" style="407" customWidth="1"/>
    <col min="10" max="10" width="13.125" style="406" customWidth="1"/>
    <col min="11" max="11" width="29.125" style="406" customWidth="1"/>
    <col min="12" max="12" width="15.25" style="406" bestFit="1" customWidth="1"/>
    <col min="13" max="13" width="13.25" style="406" bestFit="1" customWidth="1"/>
    <col min="14" max="14" width="12.5" style="406" bestFit="1" customWidth="1"/>
    <col min="15" max="15" width="15.375" style="406" customWidth="1"/>
    <col min="16" max="16" width="15.25" style="406" customWidth="1"/>
    <col min="17" max="17" width="13.125" style="406" customWidth="1"/>
    <col min="18" max="18" width="18" style="406" customWidth="1"/>
    <col min="19" max="19" width="17" style="406" customWidth="1"/>
    <col min="20" max="20" width="17.25" style="406" bestFit="1" customWidth="1"/>
    <col min="21" max="21" width="14.5" style="406" bestFit="1" customWidth="1"/>
    <col min="22" max="22" width="21.125" style="406" bestFit="1" customWidth="1"/>
    <col min="23" max="23" width="15" style="406" customWidth="1"/>
    <col min="24" max="24" width="14.375" style="406" customWidth="1"/>
    <col min="25" max="25" width="16.25" style="406" bestFit="1" customWidth="1"/>
    <col min="26" max="26" width="15.75" style="406" bestFit="1" customWidth="1"/>
    <col min="27" max="27" width="16.25" style="406" bestFit="1" customWidth="1"/>
    <col min="28" max="28" width="16.375" style="406" bestFit="1" customWidth="1"/>
    <col min="29" max="29" width="15.5" style="406" bestFit="1" customWidth="1"/>
    <col min="30" max="31" width="16" style="406" bestFit="1" customWidth="1"/>
    <col min="32" max="32" width="15.375" style="406" bestFit="1" customWidth="1"/>
    <col min="33" max="33" width="12.5" style="406" bestFit="1" customWidth="1"/>
    <col min="34" max="34" width="17" style="406" bestFit="1" customWidth="1"/>
    <col min="35" max="35" width="17.5" style="406" bestFit="1" customWidth="1"/>
    <col min="36" max="36" width="16.5" style="406" bestFit="1" customWidth="1"/>
    <col min="37" max="37" width="15.375" style="406" bestFit="1" customWidth="1"/>
    <col min="38" max="38" width="14.25" style="406" bestFit="1" customWidth="1"/>
    <col min="39" max="40" width="14.25" style="406" customWidth="1"/>
    <col min="41" max="41" width="14.25" style="407" customWidth="1"/>
    <col min="42" max="42" width="14.25" style="406" customWidth="1"/>
    <col min="43" max="43" width="18" style="406" bestFit="1" customWidth="1"/>
    <col min="44" max="44" width="14.25" style="409" bestFit="1" customWidth="1"/>
    <col min="45" max="16384" width="9" style="294"/>
  </cols>
  <sheetData>
    <row r="2" spans="1:44" ht="18.75">
      <c r="B2" s="322" t="s">
        <v>1151</v>
      </c>
      <c r="V2" s="408" t="s">
        <v>602</v>
      </c>
      <c r="AQ2" s="408" t="s">
        <v>603</v>
      </c>
    </row>
    <row r="3" spans="1:44">
      <c r="B3" s="13"/>
      <c r="V3" s="409"/>
      <c r="AQ3" s="409"/>
    </row>
    <row r="4" spans="1:44" s="13" customFormat="1" ht="18">
      <c r="B4" s="71"/>
      <c r="C4" s="71"/>
      <c r="D4" s="1788" t="s">
        <v>200</v>
      </c>
      <c r="E4" s="1788"/>
      <c r="F4" s="1788"/>
      <c r="G4" s="1788"/>
      <c r="H4" s="395"/>
      <c r="I4" s="395"/>
      <c r="J4" s="395"/>
      <c r="K4" s="395"/>
      <c r="L4" s="395"/>
      <c r="M4" s="395"/>
      <c r="N4" s="395"/>
      <c r="O4" s="395"/>
      <c r="P4" s="395"/>
      <c r="Q4" s="395"/>
      <c r="R4" s="313"/>
      <c r="S4" s="313"/>
      <c r="T4" s="313"/>
      <c r="U4" s="313"/>
      <c r="V4" s="313"/>
      <c r="W4" s="313"/>
      <c r="X4" s="313"/>
      <c r="Y4" s="313"/>
      <c r="Z4" s="313"/>
      <c r="AA4" s="313"/>
      <c r="AB4" s="313"/>
      <c r="AC4" s="313"/>
      <c r="AD4" s="313"/>
      <c r="AE4" s="313"/>
      <c r="AF4" s="313"/>
      <c r="AG4" s="313"/>
      <c r="AH4" s="313"/>
      <c r="AI4" s="313"/>
      <c r="AJ4" s="313"/>
      <c r="AK4" s="313"/>
      <c r="AL4" s="313"/>
      <c r="AM4" s="313"/>
      <c r="AN4" s="313"/>
      <c r="AO4" s="1710"/>
      <c r="AP4" s="313"/>
      <c r="AQ4" s="313"/>
      <c r="AR4" s="313"/>
    </row>
    <row r="5" spans="1:44" s="13" customFormat="1" ht="18">
      <c r="B5" s="71"/>
      <c r="C5" s="71"/>
      <c r="D5" s="1788" t="s">
        <v>103</v>
      </c>
      <c r="E5" s="1788"/>
      <c r="F5" s="1788"/>
      <c r="G5" s="1788"/>
      <c r="H5" s="395"/>
      <c r="I5" s="395"/>
      <c r="J5" s="395"/>
      <c r="K5" s="395"/>
      <c r="L5" s="395"/>
      <c r="M5" s="395"/>
      <c r="N5" s="395"/>
      <c r="O5" s="395"/>
      <c r="P5" s="395"/>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1710"/>
      <c r="AP5" s="313"/>
      <c r="AQ5" s="313"/>
      <c r="AR5" s="313"/>
    </row>
    <row r="6" spans="1:44" s="13" customFormat="1" ht="18">
      <c r="B6" s="71"/>
      <c r="C6" s="71"/>
      <c r="D6" s="1789" t="str">
        <f>SUMMARY!A7</f>
        <v>YEAR ENDING DECEMBER 31, 2018</v>
      </c>
      <c r="E6" s="1789"/>
      <c r="F6" s="1789"/>
      <c r="G6" s="1789"/>
      <c r="H6" s="395"/>
      <c r="I6" s="395"/>
      <c r="J6" s="395"/>
      <c r="K6" s="395"/>
      <c r="L6" s="395"/>
      <c r="M6" s="395"/>
      <c r="N6" s="395"/>
      <c r="O6" s="395"/>
      <c r="P6" s="395"/>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1710"/>
      <c r="AP6" s="313"/>
      <c r="AQ6" s="313"/>
      <c r="AR6" s="313"/>
    </row>
    <row r="7" spans="1:44" s="13" customFormat="1" ht="18">
      <c r="B7" s="11"/>
      <c r="C7" s="63"/>
      <c r="D7" s="11"/>
      <c r="E7" s="41"/>
      <c r="F7" s="11"/>
      <c r="G7" s="370"/>
      <c r="H7" s="370"/>
      <c r="I7" s="370"/>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1710"/>
      <c r="AP7" s="313"/>
      <c r="AQ7" s="313"/>
      <c r="AR7" s="313"/>
    </row>
    <row r="8" spans="1:44" s="13" customFormat="1" ht="18">
      <c r="B8" s="29"/>
      <c r="C8" s="29"/>
      <c r="D8" s="1790" t="s">
        <v>945</v>
      </c>
      <c r="E8" s="1790"/>
      <c r="F8" s="1790"/>
      <c r="G8" s="1790"/>
      <c r="H8" s="396"/>
      <c r="I8" s="396"/>
      <c r="J8" s="396"/>
      <c r="K8" s="396"/>
      <c r="L8" s="396"/>
      <c r="M8" s="396"/>
      <c r="N8" s="396"/>
      <c r="O8" s="396"/>
      <c r="P8" s="396"/>
      <c r="Q8" s="396"/>
      <c r="R8" s="313"/>
      <c r="S8" s="313"/>
      <c r="T8" s="313"/>
      <c r="U8" s="313"/>
      <c r="V8" s="313"/>
      <c r="W8" s="313"/>
      <c r="X8" s="313"/>
      <c r="Y8" s="313"/>
      <c r="Z8" s="313"/>
      <c r="AA8" s="313"/>
      <c r="AB8" s="313"/>
      <c r="AC8" s="313"/>
      <c r="AD8" s="313"/>
      <c r="AE8" s="313"/>
      <c r="AF8" s="313"/>
      <c r="AG8" s="313"/>
      <c r="AH8" s="313"/>
      <c r="AI8" s="313"/>
      <c r="AJ8" s="313"/>
      <c r="AK8" s="313"/>
      <c r="AL8" s="313"/>
      <c r="AM8" s="313"/>
      <c r="AN8" s="313"/>
      <c r="AO8" s="1710"/>
      <c r="AP8" s="313"/>
      <c r="AQ8" s="313"/>
      <c r="AR8" s="313"/>
    </row>
    <row r="9" spans="1:44" s="13" customFormat="1" ht="18">
      <c r="B9" s="352"/>
      <c r="C9" s="352"/>
      <c r="D9" s="1834" t="s">
        <v>763</v>
      </c>
      <c r="E9" s="1834"/>
      <c r="F9" s="1834"/>
      <c r="G9" s="1834"/>
      <c r="H9" s="410"/>
      <c r="I9" s="395"/>
      <c r="J9" s="395"/>
      <c r="K9" s="395"/>
      <c r="L9" s="395"/>
      <c r="M9" s="395"/>
      <c r="N9" s="395"/>
      <c r="O9" s="395"/>
      <c r="P9" s="395"/>
      <c r="Q9" s="395"/>
      <c r="R9" s="313"/>
      <c r="S9" s="313"/>
      <c r="T9" s="313"/>
      <c r="U9" s="313"/>
      <c r="V9" s="313"/>
      <c r="W9" s="313"/>
      <c r="X9" s="313"/>
      <c r="Y9" s="313"/>
      <c r="Z9" s="313"/>
      <c r="AA9" s="313"/>
      <c r="AB9" s="313"/>
      <c r="AC9" s="313"/>
      <c r="AD9" s="313"/>
      <c r="AE9" s="313"/>
      <c r="AF9" s="313"/>
      <c r="AG9" s="313"/>
      <c r="AH9" s="313"/>
      <c r="AI9" s="313"/>
      <c r="AJ9" s="313"/>
      <c r="AK9" s="313"/>
      <c r="AL9" s="313"/>
      <c r="AM9" s="313"/>
      <c r="AN9" s="313"/>
      <c r="AO9" s="1710"/>
      <c r="AP9" s="313"/>
      <c r="AQ9" s="313"/>
      <c r="AR9" s="313"/>
    </row>
    <row r="10" spans="1:44" s="13" customFormat="1" ht="15.75" customHeight="1">
      <c r="B10" s="1834"/>
      <c r="C10" s="1834"/>
      <c r="D10" s="1834"/>
      <c r="E10" s="1834"/>
      <c r="F10" s="1834"/>
      <c r="G10" s="1834"/>
      <c r="H10" s="1834"/>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710"/>
      <c r="AP10" s="313"/>
      <c r="AQ10" s="313"/>
      <c r="AR10" s="313"/>
    </row>
    <row r="11" spans="1:44" ht="20.25">
      <c r="B11" s="296" t="s">
        <v>717</v>
      </c>
      <c r="C11" s="297"/>
      <c r="D11" s="298"/>
      <c r="E11" s="298"/>
      <c r="F11" s="298"/>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P11" s="411"/>
      <c r="AQ11" s="411"/>
    </row>
    <row r="12" spans="1:44" s="300" customFormat="1">
      <c r="B12" s="300" t="s">
        <v>192</v>
      </c>
      <c r="C12" s="300" t="s">
        <v>193</v>
      </c>
      <c r="D12" s="1441" t="s">
        <v>194</v>
      </c>
      <c r="E12" s="1441" t="s">
        <v>195</v>
      </c>
      <c r="F12" s="1441" t="s">
        <v>196</v>
      </c>
      <c r="G12" s="1442" t="s">
        <v>371</v>
      </c>
      <c r="H12" s="1442" t="s">
        <v>372</v>
      </c>
      <c r="I12" s="1443" t="s">
        <v>901</v>
      </c>
      <c r="J12" s="1442" t="s">
        <v>902</v>
      </c>
      <c r="K12" s="1442" t="s">
        <v>903</v>
      </c>
      <c r="L12" s="1442" t="s">
        <v>904</v>
      </c>
      <c r="M12" s="1442" t="s">
        <v>1226</v>
      </c>
      <c r="N12" s="1442" t="s">
        <v>1244</v>
      </c>
      <c r="O12" s="1442" t="s">
        <v>485</v>
      </c>
      <c r="P12" s="1442" t="s">
        <v>486</v>
      </c>
      <c r="Q12" s="1442" t="s">
        <v>487</v>
      </c>
      <c r="R12" s="1442" t="s">
        <v>1245</v>
      </c>
      <c r="S12" s="1442" t="s">
        <v>1246</v>
      </c>
      <c r="T12" s="1442" t="s">
        <v>1247</v>
      </c>
      <c r="U12" s="1442" t="s">
        <v>1226</v>
      </c>
      <c r="V12" s="1442" t="s">
        <v>1248</v>
      </c>
      <c r="W12" s="1442" t="s">
        <v>1249</v>
      </c>
      <c r="X12" s="1442" t="s">
        <v>1250</v>
      </c>
      <c r="Y12" s="1442" t="s">
        <v>1251</v>
      </c>
      <c r="Z12" s="1442" t="s">
        <v>1252</v>
      </c>
      <c r="AA12" s="1442" t="s">
        <v>1253</v>
      </c>
      <c r="AB12" s="1442" t="s">
        <v>1254</v>
      </c>
      <c r="AC12" s="1442" t="s">
        <v>1255</v>
      </c>
      <c r="AD12" s="1442" t="s">
        <v>1256</v>
      </c>
      <c r="AE12" s="1442" t="s">
        <v>1257</v>
      </c>
      <c r="AF12" s="1442" t="s">
        <v>1258</v>
      </c>
      <c r="AG12" s="1442" t="s">
        <v>1259</v>
      </c>
      <c r="AH12" s="1442" t="s">
        <v>1260</v>
      </c>
      <c r="AI12" s="1442" t="s">
        <v>1261</v>
      </c>
      <c r="AJ12" s="1442" t="s">
        <v>1262</v>
      </c>
      <c r="AK12" s="1442" t="s">
        <v>1263</v>
      </c>
      <c r="AL12" s="1442" t="s">
        <v>1264</v>
      </c>
      <c r="AM12" s="1442" t="s">
        <v>1265</v>
      </c>
      <c r="AN12" s="1442">
        <v>-38</v>
      </c>
      <c r="AO12" s="1443"/>
      <c r="AP12" s="1442">
        <v>-39</v>
      </c>
      <c r="AQ12" s="1442" t="s">
        <v>1585</v>
      </c>
      <c r="AR12" s="412"/>
    </row>
    <row r="13" spans="1:44" s="300" customFormat="1">
      <c r="B13" s="299"/>
      <c r="C13" s="299"/>
      <c r="D13" s="298"/>
      <c r="E13" s="298"/>
      <c r="F13" s="298"/>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07"/>
      <c r="AP13" s="411"/>
      <c r="AQ13" s="411"/>
      <c r="AR13" s="412"/>
    </row>
    <row r="14" spans="1:44">
      <c r="B14" s="286" t="s">
        <v>31</v>
      </c>
      <c r="C14" s="286"/>
      <c r="D14" s="301" t="s">
        <v>338</v>
      </c>
      <c r="E14" s="301" t="s">
        <v>31</v>
      </c>
      <c r="F14" s="302" t="s">
        <v>31</v>
      </c>
      <c r="G14" s="413" t="s">
        <v>31</v>
      </c>
      <c r="H14" s="414" t="s">
        <v>31</v>
      </c>
      <c r="I14" s="414" t="s">
        <v>31</v>
      </c>
      <c r="J14" s="414" t="s">
        <v>31</v>
      </c>
      <c r="K14" s="414" t="s">
        <v>31</v>
      </c>
      <c r="L14" s="414" t="s">
        <v>31</v>
      </c>
      <c r="M14" s="414" t="s">
        <v>31</v>
      </c>
      <c r="N14" s="414" t="s">
        <v>31</v>
      </c>
      <c r="O14" s="414" t="s">
        <v>31</v>
      </c>
      <c r="P14" s="414" t="s">
        <v>31</v>
      </c>
      <c r="Q14" s="414" t="s">
        <v>31</v>
      </c>
      <c r="R14" s="414" t="s">
        <v>31</v>
      </c>
      <c r="S14" s="414" t="s">
        <v>31</v>
      </c>
      <c r="T14" s="414" t="s">
        <v>31</v>
      </c>
      <c r="U14" s="414" t="s">
        <v>31</v>
      </c>
      <c r="V14" s="414" t="s">
        <v>31</v>
      </c>
      <c r="W14" s="414" t="s">
        <v>31</v>
      </c>
      <c r="X14" s="414" t="s">
        <v>31</v>
      </c>
      <c r="Y14" s="414" t="s">
        <v>31</v>
      </c>
      <c r="Z14" s="414" t="s">
        <v>31</v>
      </c>
      <c r="AA14" s="414" t="s">
        <v>31</v>
      </c>
      <c r="AB14" s="414" t="s">
        <v>31</v>
      </c>
      <c r="AC14" s="414" t="s">
        <v>31</v>
      </c>
      <c r="AD14" s="414" t="s">
        <v>31</v>
      </c>
      <c r="AE14" s="414" t="s">
        <v>31</v>
      </c>
      <c r="AF14" s="414" t="s">
        <v>31</v>
      </c>
      <c r="AG14" s="414" t="s">
        <v>31</v>
      </c>
      <c r="AH14" s="414" t="s">
        <v>31</v>
      </c>
      <c r="AI14" s="414" t="s">
        <v>31</v>
      </c>
      <c r="AJ14" s="414" t="s">
        <v>31</v>
      </c>
      <c r="AK14" s="414" t="s">
        <v>31</v>
      </c>
      <c r="AL14" s="414" t="s">
        <v>31</v>
      </c>
      <c r="AM14" s="1654"/>
      <c r="AN14" s="1654"/>
      <c r="AO14" s="1654"/>
      <c r="AP14" s="1403"/>
      <c r="AQ14" s="414" t="s">
        <v>31</v>
      </c>
    </row>
    <row r="15" spans="1:44">
      <c r="B15" s="286"/>
      <c r="C15" s="286"/>
      <c r="D15" s="413" t="s">
        <v>389</v>
      </c>
      <c r="E15" s="413" t="s">
        <v>390</v>
      </c>
      <c r="F15" s="413" t="s">
        <v>391</v>
      </c>
      <c r="G15" s="413" t="s">
        <v>392</v>
      </c>
      <c r="H15" s="415" t="s">
        <v>393</v>
      </c>
      <c r="I15" s="415" t="s">
        <v>394</v>
      </c>
      <c r="J15" s="415" t="s">
        <v>395</v>
      </c>
      <c r="K15" s="415" t="s">
        <v>396</v>
      </c>
      <c r="L15" s="415" t="s">
        <v>397</v>
      </c>
      <c r="M15" s="415" t="s">
        <v>398</v>
      </c>
      <c r="N15" s="415" t="s">
        <v>399</v>
      </c>
      <c r="O15" s="415" t="s">
        <v>400</v>
      </c>
      <c r="P15" s="415" t="s">
        <v>401</v>
      </c>
      <c r="Q15" s="415" t="s">
        <v>402</v>
      </c>
      <c r="R15" s="415" t="s">
        <v>403</v>
      </c>
      <c r="S15" s="415" t="s">
        <v>404</v>
      </c>
      <c r="T15" s="415" t="s">
        <v>405</v>
      </c>
      <c r="U15" s="415" t="s">
        <v>406</v>
      </c>
      <c r="V15" s="415" t="s">
        <v>407</v>
      </c>
      <c r="W15" s="415" t="s">
        <v>408</v>
      </c>
      <c r="X15" s="415" t="s">
        <v>409</v>
      </c>
      <c r="Y15" s="415" t="s">
        <v>410</v>
      </c>
      <c r="Z15" s="415" t="s">
        <v>411</v>
      </c>
      <c r="AA15" s="415" t="s">
        <v>412</v>
      </c>
      <c r="AB15" s="415" t="s">
        <v>413</v>
      </c>
      <c r="AC15" s="415" t="s">
        <v>414</v>
      </c>
      <c r="AD15" s="415" t="s">
        <v>415</v>
      </c>
      <c r="AE15" s="415" t="s">
        <v>416</v>
      </c>
      <c r="AF15" s="415" t="s">
        <v>442</v>
      </c>
      <c r="AG15" s="415" t="s">
        <v>417</v>
      </c>
      <c r="AH15" s="415" t="s">
        <v>418</v>
      </c>
      <c r="AI15" s="415" t="s">
        <v>419</v>
      </c>
      <c r="AJ15" s="415" t="s">
        <v>420</v>
      </c>
      <c r="AK15" s="415" t="s">
        <v>421</v>
      </c>
      <c r="AL15" s="415" t="s">
        <v>422</v>
      </c>
      <c r="AM15" s="1656" t="s">
        <v>2000</v>
      </c>
      <c r="AN15" s="1656" t="s">
        <v>2001</v>
      </c>
      <c r="AO15" s="1656" t="s">
        <v>2041</v>
      </c>
      <c r="AP15" s="421" t="s">
        <v>541</v>
      </c>
      <c r="AQ15" s="416" t="s">
        <v>218</v>
      </c>
    </row>
    <row r="16" spans="1:44">
      <c r="A16" s="294" t="s">
        <v>1</v>
      </c>
      <c r="B16" s="286" t="s">
        <v>443</v>
      </c>
      <c r="C16" s="287"/>
      <c r="D16" s="417" t="s">
        <v>65</v>
      </c>
      <c r="E16" s="417" t="s">
        <v>63</v>
      </c>
      <c r="F16" s="417" t="s">
        <v>64</v>
      </c>
      <c r="G16" s="417" t="s">
        <v>86</v>
      </c>
      <c r="H16" s="418" t="s">
        <v>423</v>
      </c>
      <c r="I16" s="418" t="s">
        <v>220</v>
      </c>
      <c r="J16" s="418" t="s">
        <v>162</v>
      </c>
      <c r="K16" s="418" t="s">
        <v>154</v>
      </c>
      <c r="L16" s="418" t="s">
        <v>164</v>
      </c>
      <c r="M16" s="418" t="s">
        <v>182</v>
      </c>
      <c r="N16" s="418" t="s">
        <v>163</v>
      </c>
      <c r="O16" s="418" t="s">
        <v>311</v>
      </c>
      <c r="P16" s="418" t="s">
        <v>312</v>
      </c>
      <c r="Q16" s="418" t="s">
        <v>313</v>
      </c>
      <c r="R16" s="418" t="s">
        <v>314</v>
      </c>
      <c r="S16" s="418" t="s">
        <v>315</v>
      </c>
      <c r="T16" s="418" t="s">
        <v>316</v>
      </c>
      <c r="U16" s="418" t="s">
        <v>317</v>
      </c>
      <c r="V16" s="418" t="s">
        <v>355</v>
      </c>
      <c r="W16" s="418" t="s">
        <v>206</v>
      </c>
      <c r="X16" s="418" t="s">
        <v>207</v>
      </c>
      <c r="Y16" s="418" t="s">
        <v>208</v>
      </c>
      <c r="Z16" s="418" t="s">
        <v>209</v>
      </c>
      <c r="AA16" s="418" t="s">
        <v>210</v>
      </c>
      <c r="AB16" s="418" t="s">
        <v>211</v>
      </c>
      <c r="AC16" s="418" t="s">
        <v>212</v>
      </c>
      <c r="AD16" s="418" t="s">
        <v>213</v>
      </c>
      <c r="AE16" s="418" t="s">
        <v>214</v>
      </c>
      <c r="AF16" s="418" t="s">
        <v>444</v>
      </c>
      <c r="AG16" s="418" t="s">
        <v>424</v>
      </c>
      <c r="AH16" s="418" t="s">
        <v>85</v>
      </c>
      <c r="AI16" s="418" t="s">
        <v>318</v>
      </c>
      <c r="AJ16" s="418" t="s">
        <v>319</v>
      </c>
      <c r="AK16" s="418" t="s">
        <v>221</v>
      </c>
      <c r="AL16" s="418" t="s">
        <v>219</v>
      </c>
      <c r="AM16" s="1657" t="s">
        <v>2002</v>
      </c>
      <c r="AN16" s="1657" t="s">
        <v>2003</v>
      </c>
      <c r="AO16" s="1657" t="s">
        <v>2042</v>
      </c>
      <c r="AP16" s="421" t="s">
        <v>1166</v>
      </c>
      <c r="AQ16" s="419"/>
    </row>
    <row r="17" spans="1:44">
      <c r="B17" s="286"/>
      <c r="C17" s="287"/>
      <c r="D17" s="288"/>
      <c r="E17" s="288"/>
      <c r="F17" s="288"/>
      <c r="G17" s="420"/>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1655"/>
      <c r="AN17" s="1655"/>
      <c r="AO17" s="1655"/>
      <c r="AP17" s="421"/>
      <c r="AQ17" s="422"/>
    </row>
    <row r="18" spans="1:44">
      <c r="A18" s="300" t="s">
        <v>471</v>
      </c>
      <c r="B18" s="1651" t="s">
        <v>1959</v>
      </c>
      <c r="C18" s="303" t="s">
        <v>721</v>
      </c>
      <c r="D18" s="1658">
        <v>8987460.2300000004</v>
      </c>
      <c r="E18" s="1658">
        <v>22633681.68</v>
      </c>
      <c r="F18" s="1658">
        <v>36966452.850000001</v>
      </c>
      <c r="G18" s="1658">
        <v>29744</v>
      </c>
      <c r="H18" s="1658">
        <v>62016261</v>
      </c>
      <c r="I18" s="1658">
        <v>5092472.17</v>
      </c>
      <c r="J18" s="1658">
        <v>662676.4</v>
      </c>
      <c r="K18" s="1658">
        <v>893353.4</v>
      </c>
      <c r="L18" s="1658">
        <v>1033634.85</v>
      </c>
      <c r="M18" s="1658">
        <v>263516.81</v>
      </c>
      <c r="N18" s="1658">
        <v>35123</v>
      </c>
      <c r="O18" s="1658">
        <v>783593.01</v>
      </c>
      <c r="P18" s="1658">
        <v>580410.1</v>
      </c>
      <c r="Q18" s="1658">
        <v>13097.03</v>
      </c>
      <c r="R18" s="1658">
        <v>40769.21</v>
      </c>
      <c r="S18" s="1658">
        <v>5410.37</v>
      </c>
      <c r="T18" s="1658">
        <v>14051.9</v>
      </c>
      <c r="U18" s="1658">
        <v>172652.94</v>
      </c>
      <c r="V18" s="1658">
        <v>29341418.879999999</v>
      </c>
      <c r="W18" s="1658">
        <v>1392598.19</v>
      </c>
      <c r="X18" s="1658">
        <v>0</v>
      </c>
      <c r="Y18" s="1658">
        <v>450390</v>
      </c>
      <c r="Z18" s="1658">
        <v>12551544.210000001</v>
      </c>
      <c r="AA18" s="1658">
        <v>8995197.8800000008</v>
      </c>
      <c r="AB18" s="1658">
        <v>3318018.8</v>
      </c>
      <c r="AC18" s="1658">
        <v>9644829</v>
      </c>
      <c r="AD18" s="1658">
        <v>5713137.4900000002</v>
      </c>
      <c r="AE18" s="1658">
        <v>1163</v>
      </c>
      <c r="AF18" s="1658">
        <v>0</v>
      </c>
      <c r="AG18" s="1658">
        <v>0</v>
      </c>
      <c r="AH18" s="1658">
        <v>0</v>
      </c>
      <c r="AI18" s="1658">
        <v>0</v>
      </c>
      <c r="AJ18" s="1658">
        <v>158598</v>
      </c>
      <c r="AK18" s="1658">
        <v>141984.1</v>
      </c>
      <c r="AL18" s="1658">
        <v>304890.02</v>
      </c>
      <c r="AM18" s="1658">
        <v>47981.05</v>
      </c>
      <c r="AN18" s="1658">
        <v>0</v>
      </c>
      <c r="AO18" s="1711">
        <v>0</v>
      </c>
      <c r="AP18" s="1660"/>
      <c r="AQ18" s="432">
        <f>SUM(D18:AP18)</f>
        <v>212286111.57000005</v>
      </c>
    </row>
    <row r="19" spans="1:44">
      <c r="A19" s="300" t="s">
        <v>473</v>
      </c>
      <c r="B19" s="1652" t="s">
        <v>1960</v>
      </c>
      <c r="C19" s="304" t="s">
        <v>108</v>
      </c>
      <c r="D19" s="1658">
        <v>0</v>
      </c>
      <c r="E19" s="1658">
        <v>0</v>
      </c>
      <c r="F19" s="1658">
        <v>0</v>
      </c>
      <c r="G19" s="1658">
        <v>0</v>
      </c>
      <c r="H19" s="1658">
        <v>79678676.090000004</v>
      </c>
      <c r="I19" s="1658">
        <v>13637784.98</v>
      </c>
      <c r="J19" s="1658">
        <v>0</v>
      </c>
      <c r="K19" s="1658">
        <v>0</v>
      </c>
      <c r="L19" s="1658">
        <v>0</v>
      </c>
      <c r="M19" s="1658">
        <v>0</v>
      </c>
      <c r="N19" s="1658">
        <v>0</v>
      </c>
      <c r="O19" s="1658">
        <v>1486600.14</v>
      </c>
      <c r="P19" s="1658">
        <v>1531265.84</v>
      </c>
      <c r="Q19" s="1658">
        <v>2407129.2799999998</v>
      </c>
      <c r="R19" s="1658">
        <v>6058418.9900000002</v>
      </c>
      <c r="S19" s="1658">
        <v>2798692.52</v>
      </c>
      <c r="T19" s="1658">
        <v>2693794.63</v>
      </c>
      <c r="U19" s="1658">
        <v>3519672.99</v>
      </c>
      <c r="V19" s="1658">
        <v>74812036.489999995</v>
      </c>
      <c r="W19" s="1658">
        <v>0</v>
      </c>
      <c r="X19" s="1658">
        <v>0</v>
      </c>
      <c r="Y19" s="1658">
        <v>0</v>
      </c>
      <c r="Z19" s="1658">
        <v>0</v>
      </c>
      <c r="AA19" s="1658">
        <v>0</v>
      </c>
      <c r="AB19" s="1658">
        <v>0</v>
      </c>
      <c r="AC19" s="1658">
        <v>0</v>
      </c>
      <c r="AD19" s="1658">
        <v>0</v>
      </c>
      <c r="AE19" s="1658">
        <v>0</v>
      </c>
      <c r="AF19" s="1658">
        <v>0</v>
      </c>
      <c r="AG19" s="1658">
        <v>0</v>
      </c>
      <c r="AH19" s="1658">
        <v>-1527.46</v>
      </c>
      <c r="AI19" s="1658">
        <v>0</v>
      </c>
      <c r="AJ19" s="1658">
        <v>0</v>
      </c>
      <c r="AK19" s="1658">
        <v>0</v>
      </c>
      <c r="AL19" s="1658">
        <v>0</v>
      </c>
      <c r="AM19" s="1658">
        <v>0</v>
      </c>
      <c r="AN19" s="1658">
        <v>0</v>
      </c>
      <c r="AO19" s="1711">
        <v>0</v>
      </c>
      <c r="AP19" s="1660"/>
      <c r="AQ19" s="432">
        <f t="shared" ref="AQ19:AQ69" si="0">SUM(D19:AP19)</f>
        <v>188622544.48999998</v>
      </c>
      <c r="AR19" s="423"/>
    </row>
    <row r="20" spans="1:44">
      <c r="A20" s="300" t="s">
        <v>494</v>
      </c>
      <c r="B20" s="1652" t="s">
        <v>1961</v>
      </c>
      <c r="C20" s="304" t="s">
        <v>425</v>
      </c>
      <c r="D20" s="1658">
        <v>0</v>
      </c>
      <c r="E20" s="1658">
        <v>0</v>
      </c>
      <c r="F20" s="1658">
        <v>0</v>
      </c>
      <c r="G20" s="1659">
        <v>0</v>
      </c>
      <c r="H20" s="1660">
        <v>0</v>
      </c>
      <c r="I20" s="1660">
        <v>0</v>
      </c>
      <c r="J20" s="1660">
        <v>0</v>
      </c>
      <c r="K20" s="1660">
        <v>0</v>
      </c>
      <c r="L20" s="1660">
        <v>0</v>
      </c>
      <c r="M20" s="1660">
        <v>0</v>
      </c>
      <c r="N20" s="1660">
        <v>0</v>
      </c>
      <c r="O20" s="1660">
        <v>0</v>
      </c>
      <c r="P20" s="1660">
        <v>0</v>
      </c>
      <c r="Q20" s="1660">
        <v>0</v>
      </c>
      <c r="R20" s="1660">
        <v>0</v>
      </c>
      <c r="S20" s="1660">
        <v>0</v>
      </c>
      <c r="T20" s="1660">
        <v>0</v>
      </c>
      <c r="U20" s="1660">
        <v>0</v>
      </c>
      <c r="V20" s="1660">
        <v>0</v>
      </c>
      <c r="W20" s="1660">
        <v>0</v>
      </c>
      <c r="X20" s="1660">
        <v>0</v>
      </c>
      <c r="Y20" s="1660">
        <v>0</v>
      </c>
      <c r="Z20" s="1660">
        <v>0</v>
      </c>
      <c r="AA20" s="1660">
        <v>0</v>
      </c>
      <c r="AB20" s="1660">
        <v>0</v>
      </c>
      <c r="AC20" s="1660">
        <v>0</v>
      </c>
      <c r="AD20" s="1660">
        <v>0</v>
      </c>
      <c r="AE20" s="1660">
        <v>0</v>
      </c>
      <c r="AF20" s="1660">
        <v>0</v>
      </c>
      <c r="AG20" s="1660">
        <v>0</v>
      </c>
      <c r="AH20" s="1660">
        <v>0</v>
      </c>
      <c r="AI20" s="1660">
        <v>0</v>
      </c>
      <c r="AJ20" s="1660">
        <v>0</v>
      </c>
      <c r="AK20" s="1660">
        <v>0</v>
      </c>
      <c r="AL20" s="1660">
        <v>0</v>
      </c>
      <c r="AM20" s="1660">
        <v>0</v>
      </c>
      <c r="AN20" s="1660">
        <v>0</v>
      </c>
      <c r="AO20" s="1712">
        <v>0</v>
      </c>
      <c r="AP20" s="1660"/>
      <c r="AQ20" s="432">
        <f t="shared" si="0"/>
        <v>0</v>
      </c>
    </row>
    <row r="21" spans="1:44">
      <c r="A21" s="300" t="s">
        <v>495</v>
      </c>
      <c r="B21" s="1652" t="s">
        <v>1962</v>
      </c>
      <c r="C21" s="304" t="s">
        <v>426</v>
      </c>
      <c r="D21" s="1658">
        <v>0</v>
      </c>
      <c r="E21" s="1658">
        <v>0</v>
      </c>
      <c r="F21" s="1658">
        <v>0</v>
      </c>
      <c r="G21" s="1658">
        <v>0</v>
      </c>
      <c r="H21" s="1658">
        <v>0</v>
      </c>
      <c r="I21" s="1658">
        <v>515388.15999999997</v>
      </c>
      <c r="J21" s="1658">
        <v>0</v>
      </c>
      <c r="K21" s="1658">
        <v>0</v>
      </c>
      <c r="L21" s="1658">
        <v>0</v>
      </c>
      <c r="M21" s="1658">
        <v>0</v>
      </c>
      <c r="N21" s="1658">
        <v>0</v>
      </c>
      <c r="O21" s="1658">
        <v>0</v>
      </c>
      <c r="P21" s="1658">
        <v>0</v>
      </c>
      <c r="Q21" s="1658">
        <v>0</v>
      </c>
      <c r="R21" s="1658">
        <v>0</v>
      </c>
      <c r="S21" s="1658">
        <v>0</v>
      </c>
      <c r="T21" s="1658">
        <v>0</v>
      </c>
      <c r="U21" s="1658">
        <v>0</v>
      </c>
      <c r="V21" s="1658">
        <v>581311.18999999994</v>
      </c>
      <c r="W21" s="1658">
        <v>0</v>
      </c>
      <c r="X21" s="1658">
        <v>0</v>
      </c>
      <c r="Y21" s="1658">
        <v>0</v>
      </c>
      <c r="Z21" s="1658">
        <v>0</v>
      </c>
      <c r="AA21" s="1658">
        <v>0</v>
      </c>
      <c r="AB21" s="1658">
        <v>0</v>
      </c>
      <c r="AC21" s="1658">
        <v>0</v>
      </c>
      <c r="AD21" s="1658">
        <v>0</v>
      </c>
      <c r="AE21" s="1658">
        <v>0</v>
      </c>
      <c r="AF21" s="1658">
        <v>0</v>
      </c>
      <c r="AG21" s="1658">
        <v>0</v>
      </c>
      <c r="AH21" s="1658">
        <v>0</v>
      </c>
      <c r="AI21" s="1658">
        <v>0</v>
      </c>
      <c r="AJ21" s="1658">
        <v>0</v>
      </c>
      <c r="AK21" s="1658">
        <v>0</v>
      </c>
      <c r="AL21" s="1658">
        <v>0</v>
      </c>
      <c r="AM21" s="1658">
        <v>0</v>
      </c>
      <c r="AN21" s="1658">
        <v>0</v>
      </c>
      <c r="AO21" s="1711">
        <v>0</v>
      </c>
      <c r="AP21" s="1660"/>
      <c r="AQ21" s="432">
        <f t="shared" si="0"/>
        <v>1096699.3499999999</v>
      </c>
    </row>
    <row r="22" spans="1:44">
      <c r="A22" s="300" t="s">
        <v>496</v>
      </c>
      <c r="B22" s="1652" t="s">
        <v>1963</v>
      </c>
      <c r="C22" s="304" t="s">
        <v>109</v>
      </c>
      <c r="D22" s="1658">
        <v>0</v>
      </c>
      <c r="E22" s="1658">
        <v>0</v>
      </c>
      <c r="F22" s="1658">
        <v>0</v>
      </c>
      <c r="G22" s="1659">
        <v>0</v>
      </c>
      <c r="H22" s="1660">
        <v>0</v>
      </c>
      <c r="I22" s="1660">
        <v>0</v>
      </c>
      <c r="J22" s="1660">
        <v>0</v>
      </c>
      <c r="K22" s="1660">
        <v>0</v>
      </c>
      <c r="L22" s="1660">
        <v>0</v>
      </c>
      <c r="M22" s="1660">
        <v>0</v>
      </c>
      <c r="N22" s="1660">
        <v>0</v>
      </c>
      <c r="O22" s="1660">
        <v>0</v>
      </c>
      <c r="P22" s="1660">
        <v>0</v>
      </c>
      <c r="Q22" s="1660">
        <v>0</v>
      </c>
      <c r="R22" s="1660">
        <v>0</v>
      </c>
      <c r="S22" s="1660">
        <v>0</v>
      </c>
      <c r="T22" s="1660">
        <v>0</v>
      </c>
      <c r="U22" s="1660">
        <v>0</v>
      </c>
      <c r="V22" s="1660">
        <v>28696.09</v>
      </c>
      <c r="W22" s="1660">
        <v>0</v>
      </c>
      <c r="X22" s="1660">
        <v>0</v>
      </c>
      <c r="Y22" s="1660">
        <v>0</v>
      </c>
      <c r="Z22" s="1660">
        <v>0</v>
      </c>
      <c r="AA22" s="1660">
        <v>0</v>
      </c>
      <c r="AB22" s="1660">
        <v>0</v>
      </c>
      <c r="AC22" s="1660">
        <v>0</v>
      </c>
      <c r="AD22" s="1660">
        <v>0</v>
      </c>
      <c r="AE22" s="1660">
        <v>0</v>
      </c>
      <c r="AF22" s="1660">
        <v>0</v>
      </c>
      <c r="AG22" s="1660">
        <v>0</v>
      </c>
      <c r="AH22" s="1660">
        <v>0</v>
      </c>
      <c r="AI22" s="1660">
        <v>0</v>
      </c>
      <c r="AJ22" s="1660">
        <v>0</v>
      </c>
      <c r="AK22" s="1660">
        <v>0</v>
      </c>
      <c r="AL22" s="1658">
        <v>0</v>
      </c>
      <c r="AM22" s="1658">
        <v>0</v>
      </c>
      <c r="AN22" s="1658">
        <v>0</v>
      </c>
      <c r="AO22" s="1711">
        <v>0</v>
      </c>
      <c r="AP22" s="1660"/>
      <c r="AQ22" s="432">
        <f t="shared" si="0"/>
        <v>28696.09</v>
      </c>
    </row>
    <row r="23" spans="1:44">
      <c r="A23" s="300" t="s">
        <v>497</v>
      </c>
      <c r="B23" s="1652" t="s">
        <v>1964</v>
      </c>
      <c r="C23" s="304" t="s">
        <v>110</v>
      </c>
      <c r="D23" s="1658">
        <v>4103441.61</v>
      </c>
      <c r="E23" s="1658">
        <v>2818661.65</v>
      </c>
      <c r="F23" s="1658">
        <v>5437207.8700000001</v>
      </c>
      <c r="G23" s="1659">
        <v>0</v>
      </c>
      <c r="H23" s="1660">
        <v>0</v>
      </c>
      <c r="I23" s="1660">
        <v>0</v>
      </c>
      <c r="J23" s="1660">
        <v>120283</v>
      </c>
      <c r="K23" s="1660">
        <v>190422.95</v>
      </c>
      <c r="L23" s="1660">
        <v>212549.09</v>
      </c>
      <c r="M23" s="1660">
        <v>51920.160000000003</v>
      </c>
      <c r="N23" s="1660">
        <v>0</v>
      </c>
      <c r="O23" s="1660">
        <v>0</v>
      </c>
      <c r="P23" s="1660">
        <v>0</v>
      </c>
      <c r="Q23" s="1660">
        <v>0</v>
      </c>
      <c r="R23" s="1660">
        <v>0</v>
      </c>
      <c r="S23" s="1660">
        <v>0</v>
      </c>
      <c r="T23" s="1660">
        <v>0</v>
      </c>
      <c r="U23" s="1660">
        <v>0</v>
      </c>
      <c r="V23" s="1660">
        <v>0</v>
      </c>
      <c r="W23" s="1660">
        <v>0</v>
      </c>
      <c r="X23" s="1660">
        <v>0</v>
      </c>
      <c r="Y23" s="1660">
        <v>0</v>
      </c>
      <c r="Z23" s="1660">
        <v>0</v>
      </c>
      <c r="AA23" s="1660">
        <v>0</v>
      </c>
      <c r="AB23" s="1660">
        <v>0</v>
      </c>
      <c r="AC23" s="1660">
        <v>0</v>
      </c>
      <c r="AD23" s="1660">
        <v>0</v>
      </c>
      <c r="AE23" s="1660">
        <v>0</v>
      </c>
      <c r="AF23" s="1660">
        <v>0</v>
      </c>
      <c r="AG23" s="1660">
        <v>0</v>
      </c>
      <c r="AH23" s="1660">
        <v>0</v>
      </c>
      <c r="AI23" s="1660">
        <v>0</v>
      </c>
      <c r="AJ23" s="1660">
        <v>0</v>
      </c>
      <c r="AK23" s="1660">
        <v>0</v>
      </c>
      <c r="AL23" s="1658">
        <v>0</v>
      </c>
      <c r="AM23" s="1658">
        <v>0</v>
      </c>
      <c r="AN23" s="1658">
        <v>0</v>
      </c>
      <c r="AO23" s="1711">
        <v>0</v>
      </c>
      <c r="AP23" s="1660"/>
      <c r="AQ23" s="432">
        <f t="shared" si="0"/>
        <v>12934486.329999998</v>
      </c>
    </row>
    <row r="24" spans="1:44">
      <c r="A24" s="300" t="s">
        <v>498</v>
      </c>
      <c r="B24" s="1652" t="s">
        <v>1965</v>
      </c>
      <c r="C24" s="304" t="s">
        <v>111</v>
      </c>
      <c r="D24" s="1658">
        <v>4088.49</v>
      </c>
      <c r="E24" s="1658">
        <v>375483.26</v>
      </c>
      <c r="F24" s="1658">
        <v>402654.41</v>
      </c>
      <c r="G24" s="1659">
        <v>0</v>
      </c>
      <c r="H24" s="1660">
        <v>0</v>
      </c>
      <c r="I24" s="1660">
        <v>0</v>
      </c>
      <c r="J24" s="1660">
        <v>0</v>
      </c>
      <c r="K24" s="1660">
        <v>15672.44</v>
      </c>
      <c r="L24" s="1660">
        <v>32959.17</v>
      </c>
      <c r="M24" s="1660">
        <v>0</v>
      </c>
      <c r="N24" s="1660">
        <v>0</v>
      </c>
      <c r="O24" s="1660">
        <v>0</v>
      </c>
      <c r="P24" s="1660">
        <v>0</v>
      </c>
      <c r="Q24" s="1660">
        <v>0</v>
      </c>
      <c r="R24" s="1660">
        <v>0</v>
      </c>
      <c r="S24" s="1660">
        <v>0</v>
      </c>
      <c r="T24" s="1660">
        <v>0</v>
      </c>
      <c r="U24" s="1660">
        <v>0</v>
      </c>
      <c r="V24" s="1660">
        <v>0</v>
      </c>
      <c r="W24" s="1660">
        <v>0</v>
      </c>
      <c r="X24" s="1660">
        <v>0</v>
      </c>
      <c r="Y24" s="1660">
        <v>0</v>
      </c>
      <c r="Z24" s="1660">
        <v>0</v>
      </c>
      <c r="AA24" s="1660">
        <v>0</v>
      </c>
      <c r="AB24" s="1660">
        <v>0</v>
      </c>
      <c r="AC24" s="1660">
        <v>0</v>
      </c>
      <c r="AD24" s="1660">
        <v>0</v>
      </c>
      <c r="AE24" s="1660">
        <v>0</v>
      </c>
      <c r="AF24" s="1660">
        <v>0</v>
      </c>
      <c r="AG24" s="1660">
        <v>0</v>
      </c>
      <c r="AH24" s="1660">
        <v>0</v>
      </c>
      <c r="AI24" s="1660">
        <v>0</v>
      </c>
      <c r="AJ24" s="1660">
        <v>0</v>
      </c>
      <c r="AK24" s="1660">
        <v>0</v>
      </c>
      <c r="AL24" s="1658">
        <v>0</v>
      </c>
      <c r="AM24" s="1658">
        <v>0</v>
      </c>
      <c r="AN24" s="1658">
        <v>0</v>
      </c>
      <c r="AO24" s="1711">
        <v>0</v>
      </c>
      <c r="AP24" s="1660"/>
      <c r="AQ24" s="432">
        <f t="shared" si="0"/>
        <v>830857.7699999999</v>
      </c>
    </row>
    <row r="25" spans="1:44">
      <c r="A25" s="300" t="s">
        <v>499</v>
      </c>
      <c r="B25" s="1652" t="s">
        <v>1966</v>
      </c>
      <c r="C25" s="304" t="s">
        <v>427</v>
      </c>
      <c r="D25" s="1658">
        <v>1123.1500000000001</v>
      </c>
      <c r="E25" s="1658">
        <v>3092935.54</v>
      </c>
      <c r="F25" s="1658">
        <v>6168618.7699999996</v>
      </c>
      <c r="G25" s="1659">
        <v>0</v>
      </c>
      <c r="H25" s="1660">
        <v>0</v>
      </c>
      <c r="I25" s="1660">
        <v>0</v>
      </c>
      <c r="J25" s="1660">
        <v>0</v>
      </c>
      <c r="K25" s="1660">
        <v>0</v>
      </c>
      <c r="L25" s="1660">
        <v>0</v>
      </c>
      <c r="M25" s="1660">
        <v>0</v>
      </c>
      <c r="N25" s="1660">
        <v>0</v>
      </c>
      <c r="O25" s="1660">
        <v>0</v>
      </c>
      <c r="P25" s="1660">
        <v>0</v>
      </c>
      <c r="Q25" s="1660">
        <v>0</v>
      </c>
      <c r="R25" s="1660">
        <v>0</v>
      </c>
      <c r="S25" s="1660">
        <v>0</v>
      </c>
      <c r="T25" s="1660">
        <v>0</v>
      </c>
      <c r="U25" s="1660">
        <v>0</v>
      </c>
      <c r="V25" s="1660">
        <v>0</v>
      </c>
      <c r="W25" s="1660">
        <v>0</v>
      </c>
      <c r="X25" s="1660">
        <v>0</v>
      </c>
      <c r="Y25" s="1660">
        <v>0</v>
      </c>
      <c r="Z25" s="1660">
        <v>0</v>
      </c>
      <c r="AA25" s="1660">
        <v>0</v>
      </c>
      <c r="AB25" s="1660">
        <v>0</v>
      </c>
      <c r="AC25" s="1660">
        <v>0</v>
      </c>
      <c r="AD25" s="1660">
        <v>0</v>
      </c>
      <c r="AE25" s="1660">
        <v>0</v>
      </c>
      <c r="AF25" s="1660">
        <v>0</v>
      </c>
      <c r="AG25" s="1660">
        <v>0</v>
      </c>
      <c r="AH25" s="1660">
        <v>0</v>
      </c>
      <c r="AI25" s="1660">
        <v>0</v>
      </c>
      <c r="AJ25" s="1660">
        <v>0</v>
      </c>
      <c r="AK25" s="1660">
        <v>0</v>
      </c>
      <c r="AL25" s="1658">
        <v>0</v>
      </c>
      <c r="AM25" s="1658">
        <v>0</v>
      </c>
      <c r="AN25" s="1658">
        <v>0</v>
      </c>
      <c r="AO25" s="1711">
        <v>0</v>
      </c>
      <c r="AP25" s="1660"/>
      <c r="AQ25" s="432">
        <f t="shared" si="0"/>
        <v>9262677.459999999</v>
      </c>
    </row>
    <row r="26" spans="1:44">
      <c r="A26" s="300" t="s">
        <v>500</v>
      </c>
      <c r="B26" s="1652" t="s">
        <v>1967</v>
      </c>
      <c r="C26" s="304" t="s">
        <v>112</v>
      </c>
      <c r="D26" s="1658">
        <v>5935376.1399999997</v>
      </c>
      <c r="E26" s="1658">
        <v>8155789.0700000003</v>
      </c>
      <c r="F26" s="1658">
        <v>9382098.1699999999</v>
      </c>
      <c r="G26" s="1659">
        <v>0</v>
      </c>
      <c r="H26" s="1660">
        <v>0</v>
      </c>
      <c r="I26" s="1660">
        <v>0</v>
      </c>
      <c r="J26" s="1660">
        <v>357210.17</v>
      </c>
      <c r="K26" s="1660">
        <v>376710.55</v>
      </c>
      <c r="L26" s="1660">
        <v>307782.44</v>
      </c>
      <c r="M26" s="1660">
        <v>229424.26</v>
      </c>
      <c r="N26" s="1660">
        <v>0</v>
      </c>
      <c r="O26" s="1660">
        <v>0</v>
      </c>
      <c r="P26" s="1660">
        <v>0</v>
      </c>
      <c r="Q26" s="1660">
        <v>0</v>
      </c>
      <c r="R26" s="1660">
        <v>0</v>
      </c>
      <c r="S26" s="1660">
        <v>0</v>
      </c>
      <c r="T26" s="1660">
        <v>0</v>
      </c>
      <c r="U26" s="1660">
        <v>0</v>
      </c>
      <c r="V26" s="1660">
        <v>11962.95</v>
      </c>
      <c r="W26" s="1660">
        <v>0</v>
      </c>
      <c r="X26" s="1660">
        <v>0</v>
      </c>
      <c r="Y26" s="1660">
        <v>0</v>
      </c>
      <c r="Z26" s="1660">
        <v>0</v>
      </c>
      <c r="AA26" s="1660">
        <v>0</v>
      </c>
      <c r="AB26" s="1660">
        <v>0</v>
      </c>
      <c r="AC26" s="1660">
        <v>0</v>
      </c>
      <c r="AD26" s="1660">
        <v>0</v>
      </c>
      <c r="AE26" s="1660">
        <v>0</v>
      </c>
      <c r="AF26" s="1660">
        <v>0</v>
      </c>
      <c r="AG26" s="1660">
        <v>0</v>
      </c>
      <c r="AH26" s="1660">
        <v>0</v>
      </c>
      <c r="AI26" s="1660">
        <v>0</v>
      </c>
      <c r="AJ26" s="1660">
        <v>0</v>
      </c>
      <c r="AK26" s="1660">
        <v>0</v>
      </c>
      <c r="AL26" s="1658">
        <v>0</v>
      </c>
      <c r="AM26" s="1658">
        <v>0</v>
      </c>
      <c r="AN26" s="1658">
        <v>0</v>
      </c>
      <c r="AO26" s="1711">
        <v>0</v>
      </c>
      <c r="AP26" s="1660"/>
      <c r="AQ26" s="432">
        <f t="shared" si="0"/>
        <v>24756353.750000007</v>
      </c>
    </row>
    <row r="27" spans="1:44">
      <c r="A27" s="300" t="s">
        <v>501</v>
      </c>
      <c r="B27" s="1652" t="s">
        <v>1968</v>
      </c>
      <c r="C27" s="304" t="s">
        <v>113</v>
      </c>
      <c r="D27" s="1658">
        <v>301652.56</v>
      </c>
      <c r="E27" s="1658">
        <v>50150.09</v>
      </c>
      <c r="F27" s="1658">
        <v>173361</v>
      </c>
      <c r="G27" s="1659">
        <v>0</v>
      </c>
      <c r="H27" s="1660">
        <v>0</v>
      </c>
      <c r="I27" s="1660">
        <v>0</v>
      </c>
      <c r="J27" s="1660">
        <v>0</v>
      </c>
      <c r="K27" s="1660">
        <v>122516.85</v>
      </c>
      <c r="L27" s="1660">
        <v>220587.42</v>
      </c>
      <c r="M27" s="1660">
        <v>123235.74</v>
      </c>
      <c r="N27" s="1660">
        <v>0</v>
      </c>
      <c r="O27" s="1660">
        <v>0</v>
      </c>
      <c r="P27" s="1660">
        <v>0</v>
      </c>
      <c r="Q27" s="1660">
        <v>0</v>
      </c>
      <c r="R27" s="1660">
        <v>0</v>
      </c>
      <c r="S27" s="1660">
        <v>0</v>
      </c>
      <c r="T27" s="1660">
        <v>0</v>
      </c>
      <c r="U27" s="1660">
        <v>0</v>
      </c>
      <c r="V27" s="1660">
        <v>0</v>
      </c>
      <c r="W27" s="1660">
        <v>0</v>
      </c>
      <c r="X27" s="1660">
        <v>0</v>
      </c>
      <c r="Y27" s="1660">
        <v>0</v>
      </c>
      <c r="Z27" s="1660">
        <v>0</v>
      </c>
      <c r="AA27" s="1660">
        <v>0</v>
      </c>
      <c r="AB27" s="1660">
        <v>0</v>
      </c>
      <c r="AC27" s="1660">
        <v>0</v>
      </c>
      <c r="AD27" s="1660">
        <v>0</v>
      </c>
      <c r="AE27" s="1660">
        <v>0</v>
      </c>
      <c r="AF27" s="1660">
        <v>0</v>
      </c>
      <c r="AG27" s="1660">
        <v>0</v>
      </c>
      <c r="AH27" s="1660">
        <v>0</v>
      </c>
      <c r="AI27" s="1660">
        <v>0</v>
      </c>
      <c r="AJ27" s="1660">
        <v>0</v>
      </c>
      <c r="AK27" s="1660">
        <v>0</v>
      </c>
      <c r="AL27" s="1658">
        <v>0</v>
      </c>
      <c r="AM27" s="1658">
        <v>0</v>
      </c>
      <c r="AN27" s="1658">
        <v>0</v>
      </c>
      <c r="AO27" s="1711">
        <v>0</v>
      </c>
      <c r="AP27" s="1660"/>
      <c r="AQ27" s="432">
        <f t="shared" si="0"/>
        <v>991503.66</v>
      </c>
    </row>
    <row r="28" spans="1:44">
      <c r="A28" s="300" t="s">
        <v>502</v>
      </c>
      <c r="B28" s="1652" t="s">
        <v>1969</v>
      </c>
      <c r="C28" s="304" t="s">
        <v>114</v>
      </c>
      <c r="D28" s="1658">
        <v>2204513.2400000002</v>
      </c>
      <c r="E28" s="1658">
        <v>5768251.9800000004</v>
      </c>
      <c r="F28" s="1658">
        <v>10806417.470000001</v>
      </c>
      <c r="G28" s="1659">
        <v>0</v>
      </c>
      <c r="H28" s="1660">
        <v>0</v>
      </c>
      <c r="I28" s="1660">
        <v>0</v>
      </c>
      <c r="J28" s="1660">
        <v>6424.36</v>
      </c>
      <c r="K28" s="1660">
        <v>321784.07</v>
      </c>
      <c r="L28" s="1660">
        <v>370996.69</v>
      </c>
      <c r="M28" s="1660">
        <v>15005.99</v>
      </c>
      <c r="N28" s="1660">
        <v>0</v>
      </c>
      <c r="O28" s="1660">
        <v>0</v>
      </c>
      <c r="P28" s="1660">
        <v>0</v>
      </c>
      <c r="Q28" s="1660">
        <v>0</v>
      </c>
      <c r="R28" s="1660">
        <v>0</v>
      </c>
      <c r="S28" s="1660">
        <v>0</v>
      </c>
      <c r="T28" s="1660">
        <v>0</v>
      </c>
      <c r="U28" s="1660">
        <v>0</v>
      </c>
      <c r="V28" s="1660">
        <v>0</v>
      </c>
      <c r="W28" s="1660">
        <v>0</v>
      </c>
      <c r="X28" s="1660">
        <v>0</v>
      </c>
      <c r="Y28" s="1660">
        <v>0</v>
      </c>
      <c r="Z28" s="1660">
        <v>0</v>
      </c>
      <c r="AA28" s="1660">
        <v>0</v>
      </c>
      <c r="AB28" s="1660">
        <v>0</v>
      </c>
      <c r="AC28" s="1660">
        <v>0</v>
      </c>
      <c r="AD28" s="1660">
        <v>0</v>
      </c>
      <c r="AE28" s="1660">
        <v>0</v>
      </c>
      <c r="AF28" s="1660">
        <v>0</v>
      </c>
      <c r="AG28" s="1660">
        <v>0</v>
      </c>
      <c r="AH28" s="1660">
        <v>0</v>
      </c>
      <c r="AI28" s="1660">
        <v>0</v>
      </c>
      <c r="AJ28" s="1660">
        <v>0</v>
      </c>
      <c r="AK28" s="1660">
        <v>0</v>
      </c>
      <c r="AL28" s="1658">
        <v>0</v>
      </c>
      <c r="AM28" s="1658">
        <v>0</v>
      </c>
      <c r="AN28" s="1658">
        <v>0</v>
      </c>
      <c r="AO28" s="1711">
        <v>0</v>
      </c>
      <c r="AP28" s="1660"/>
      <c r="AQ28" s="432">
        <f t="shared" si="0"/>
        <v>19493393.800000001</v>
      </c>
    </row>
    <row r="29" spans="1:44">
      <c r="A29" s="300" t="s">
        <v>503</v>
      </c>
      <c r="B29" s="1652" t="s">
        <v>1970</v>
      </c>
      <c r="C29" s="304" t="s">
        <v>115</v>
      </c>
      <c r="D29" s="1658">
        <v>2308997.8199999998</v>
      </c>
      <c r="E29" s="1658">
        <v>2822623.13</v>
      </c>
      <c r="F29" s="1658">
        <v>2627776.37</v>
      </c>
      <c r="G29" s="1659">
        <v>0</v>
      </c>
      <c r="H29" s="1660">
        <v>0</v>
      </c>
      <c r="I29" s="1660">
        <v>0</v>
      </c>
      <c r="J29" s="1660">
        <v>45631.91</v>
      </c>
      <c r="K29" s="1660">
        <v>524732.63</v>
      </c>
      <c r="L29" s="1660">
        <v>130343.01</v>
      </c>
      <c r="M29" s="1660">
        <v>19063.080000000002</v>
      </c>
      <c r="N29" s="1660">
        <v>0</v>
      </c>
      <c r="O29" s="1660">
        <v>0</v>
      </c>
      <c r="P29" s="1660">
        <v>0</v>
      </c>
      <c r="Q29" s="1660">
        <v>0</v>
      </c>
      <c r="R29" s="1660">
        <v>0</v>
      </c>
      <c r="S29" s="1660">
        <v>0</v>
      </c>
      <c r="T29" s="1660">
        <v>0</v>
      </c>
      <c r="U29" s="1660">
        <v>0</v>
      </c>
      <c r="V29" s="1660">
        <v>0</v>
      </c>
      <c r="W29" s="1660">
        <v>0</v>
      </c>
      <c r="X29" s="1660">
        <v>0</v>
      </c>
      <c r="Y29" s="1660">
        <v>0</v>
      </c>
      <c r="Z29" s="1660">
        <v>0</v>
      </c>
      <c r="AA29" s="1660">
        <v>0</v>
      </c>
      <c r="AB29" s="1660">
        <v>0</v>
      </c>
      <c r="AC29" s="1660">
        <v>0</v>
      </c>
      <c r="AD29" s="1660">
        <v>0</v>
      </c>
      <c r="AE29" s="1660">
        <v>0</v>
      </c>
      <c r="AF29" s="1660">
        <v>0</v>
      </c>
      <c r="AG29" s="1660">
        <v>0</v>
      </c>
      <c r="AH29" s="1660">
        <v>0</v>
      </c>
      <c r="AI29" s="1660">
        <v>0</v>
      </c>
      <c r="AJ29" s="1660">
        <v>0</v>
      </c>
      <c r="AK29" s="1660">
        <v>0</v>
      </c>
      <c r="AL29" s="1658">
        <v>0</v>
      </c>
      <c r="AM29" s="1658">
        <v>0</v>
      </c>
      <c r="AN29" s="1658">
        <v>0</v>
      </c>
      <c r="AO29" s="1711">
        <v>0</v>
      </c>
      <c r="AP29" s="1660"/>
      <c r="AQ29" s="432">
        <f t="shared" si="0"/>
        <v>8479167.9499999993</v>
      </c>
    </row>
    <row r="30" spans="1:44">
      <c r="A30" s="300" t="s">
        <v>505</v>
      </c>
      <c r="B30" s="1652" t="s">
        <v>1971</v>
      </c>
      <c r="C30" s="304" t="s">
        <v>116</v>
      </c>
      <c r="D30" s="1658">
        <v>2831428.13</v>
      </c>
      <c r="E30" s="1658">
        <v>2940109.32</v>
      </c>
      <c r="F30" s="1658">
        <v>10112042.93</v>
      </c>
      <c r="G30" s="1659">
        <v>0</v>
      </c>
      <c r="H30" s="1660">
        <v>0</v>
      </c>
      <c r="I30" s="1660">
        <v>0</v>
      </c>
      <c r="J30" s="1660">
        <v>886113.65</v>
      </c>
      <c r="K30" s="1660">
        <v>276843.14</v>
      </c>
      <c r="L30" s="1660">
        <v>229386.83</v>
      </c>
      <c r="M30" s="1660">
        <v>247204.62</v>
      </c>
      <c r="N30" s="1660">
        <v>0</v>
      </c>
      <c r="O30" s="1660">
        <v>0</v>
      </c>
      <c r="P30" s="1660">
        <v>0</v>
      </c>
      <c r="Q30" s="1660">
        <v>0</v>
      </c>
      <c r="R30" s="1660">
        <v>0</v>
      </c>
      <c r="S30" s="1660">
        <v>0</v>
      </c>
      <c r="T30" s="1660">
        <v>0</v>
      </c>
      <c r="U30" s="1660">
        <v>0</v>
      </c>
      <c r="V30" s="1660">
        <v>0</v>
      </c>
      <c r="W30" s="1660">
        <v>0</v>
      </c>
      <c r="X30" s="1660">
        <v>0</v>
      </c>
      <c r="Y30" s="1660">
        <v>0</v>
      </c>
      <c r="Z30" s="1660">
        <v>0</v>
      </c>
      <c r="AA30" s="1660">
        <v>0</v>
      </c>
      <c r="AB30" s="1660">
        <v>0</v>
      </c>
      <c r="AC30" s="1660">
        <v>0</v>
      </c>
      <c r="AD30" s="1660">
        <v>0</v>
      </c>
      <c r="AE30" s="1660">
        <v>0</v>
      </c>
      <c r="AF30" s="1660">
        <v>0</v>
      </c>
      <c r="AG30" s="1660">
        <v>0</v>
      </c>
      <c r="AH30" s="1660">
        <v>0</v>
      </c>
      <c r="AI30" s="1660">
        <v>0</v>
      </c>
      <c r="AJ30" s="1660">
        <v>0</v>
      </c>
      <c r="AK30" s="1660">
        <v>0</v>
      </c>
      <c r="AL30" s="1658">
        <v>0</v>
      </c>
      <c r="AM30" s="1658">
        <v>0</v>
      </c>
      <c r="AN30" s="1658">
        <v>0</v>
      </c>
      <c r="AO30" s="1711">
        <v>0</v>
      </c>
      <c r="AP30" s="1660"/>
      <c r="AQ30" s="432">
        <f t="shared" si="0"/>
        <v>17523128.619999997</v>
      </c>
    </row>
    <row r="31" spans="1:44">
      <c r="A31" s="300" t="s">
        <v>504</v>
      </c>
      <c r="B31" s="1652" t="s">
        <v>1972</v>
      </c>
      <c r="C31" s="304" t="s">
        <v>117</v>
      </c>
      <c r="D31" s="1658">
        <v>1319370.8700000001</v>
      </c>
      <c r="E31" s="1658">
        <v>6284095.4400000004</v>
      </c>
      <c r="F31" s="1658">
        <v>3843889.52</v>
      </c>
      <c r="G31" s="1659">
        <v>0</v>
      </c>
      <c r="H31" s="1660">
        <v>0</v>
      </c>
      <c r="I31" s="1660">
        <v>0</v>
      </c>
      <c r="J31" s="1660">
        <v>91605.17</v>
      </c>
      <c r="K31" s="1660">
        <v>23981.27</v>
      </c>
      <c r="L31" s="1660">
        <v>53700.12</v>
      </c>
      <c r="M31" s="1660">
        <v>28288.93</v>
      </c>
      <c r="N31" s="1660">
        <v>0</v>
      </c>
      <c r="O31" s="1660">
        <v>0</v>
      </c>
      <c r="P31" s="1660">
        <v>0</v>
      </c>
      <c r="Q31" s="1660">
        <v>0</v>
      </c>
      <c r="R31" s="1660">
        <v>0</v>
      </c>
      <c r="S31" s="1660">
        <v>0</v>
      </c>
      <c r="T31" s="1660">
        <v>0</v>
      </c>
      <c r="U31" s="1660">
        <v>0</v>
      </c>
      <c r="V31" s="1660">
        <v>0</v>
      </c>
      <c r="W31" s="1660">
        <v>0</v>
      </c>
      <c r="X31" s="1660">
        <v>0</v>
      </c>
      <c r="Y31" s="1660">
        <v>0</v>
      </c>
      <c r="Z31" s="1660">
        <v>0</v>
      </c>
      <c r="AA31" s="1660">
        <v>0</v>
      </c>
      <c r="AB31" s="1660">
        <v>0</v>
      </c>
      <c r="AC31" s="1660">
        <v>0</v>
      </c>
      <c r="AD31" s="1660">
        <v>0</v>
      </c>
      <c r="AE31" s="1660">
        <v>0</v>
      </c>
      <c r="AF31" s="1660">
        <v>0</v>
      </c>
      <c r="AG31" s="1660">
        <v>0</v>
      </c>
      <c r="AH31" s="1660">
        <v>0</v>
      </c>
      <c r="AI31" s="1660">
        <v>0</v>
      </c>
      <c r="AJ31" s="1660">
        <v>0</v>
      </c>
      <c r="AK31" s="1660">
        <v>0</v>
      </c>
      <c r="AL31" s="1658">
        <v>0</v>
      </c>
      <c r="AM31" s="1658">
        <v>0</v>
      </c>
      <c r="AN31" s="1658">
        <v>0</v>
      </c>
      <c r="AO31" s="1711">
        <v>0</v>
      </c>
      <c r="AP31" s="1660"/>
      <c r="AQ31" s="432">
        <f t="shared" si="0"/>
        <v>11644931.319999998</v>
      </c>
    </row>
    <row r="32" spans="1:44">
      <c r="A32" s="300" t="s">
        <v>506</v>
      </c>
      <c r="B32" s="1652" t="s">
        <v>1973</v>
      </c>
      <c r="C32" s="304" t="s">
        <v>118</v>
      </c>
      <c r="D32" s="1658">
        <v>0</v>
      </c>
      <c r="E32" s="1658">
        <v>0</v>
      </c>
      <c r="F32" s="1658">
        <v>0</v>
      </c>
      <c r="G32" s="1659">
        <v>0</v>
      </c>
      <c r="H32" s="1660">
        <v>0</v>
      </c>
      <c r="I32" s="1660">
        <v>249578.77</v>
      </c>
      <c r="J32" s="1660">
        <v>0</v>
      </c>
      <c r="K32" s="1660">
        <v>0</v>
      </c>
      <c r="L32" s="1660">
        <v>0</v>
      </c>
      <c r="M32" s="1660">
        <v>0</v>
      </c>
      <c r="N32" s="1660">
        <v>0</v>
      </c>
      <c r="O32" s="1660">
        <v>653727.38</v>
      </c>
      <c r="P32" s="1660">
        <v>337025.95</v>
      </c>
      <c r="Q32" s="1660">
        <v>338562.79</v>
      </c>
      <c r="R32" s="1660">
        <v>355144.39</v>
      </c>
      <c r="S32" s="1660">
        <v>216038.55</v>
      </c>
      <c r="T32" s="1660">
        <v>216291.54</v>
      </c>
      <c r="U32" s="1660">
        <v>135331</v>
      </c>
      <c r="V32" s="1660">
        <v>390963.04</v>
      </c>
      <c r="W32" s="1660">
        <v>0</v>
      </c>
      <c r="X32" s="1660">
        <v>0</v>
      </c>
      <c r="Y32" s="1660">
        <v>0</v>
      </c>
      <c r="Z32" s="1660">
        <v>0</v>
      </c>
      <c r="AA32" s="1660">
        <v>0</v>
      </c>
      <c r="AB32" s="1660">
        <v>0</v>
      </c>
      <c r="AC32" s="1660">
        <v>0</v>
      </c>
      <c r="AD32" s="1660">
        <v>0</v>
      </c>
      <c r="AE32" s="1660">
        <v>0</v>
      </c>
      <c r="AF32" s="1660">
        <v>0</v>
      </c>
      <c r="AG32" s="1660">
        <v>0</v>
      </c>
      <c r="AH32" s="1660">
        <v>0</v>
      </c>
      <c r="AI32" s="1660">
        <v>0</v>
      </c>
      <c r="AJ32" s="1660">
        <v>0</v>
      </c>
      <c r="AK32" s="1660">
        <v>0</v>
      </c>
      <c r="AL32" s="1658">
        <v>0</v>
      </c>
      <c r="AM32" s="1658">
        <v>0</v>
      </c>
      <c r="AN32" s="1658">
        <v>0</v>
      </c>
      <c r="AO32" s="1711">
        <v>0</v>
      </c>
      <c r="AP32" s="1660"/>
      <c r="AQ32" s="432">
        <f t="shared" si="0"/>
        <v>2892663.41</v>
      </c>
    </row>
    <row r="33" spans="1:43">
      <c r="A33" s="300" t="s">
        <v>1169</v>
      </c>
      <c r="B33" s="1652" t="s">
        <v>1974</v>
      </c>
      <c r="C33" s="304" t="s">
        <v>119</v>
      </c>
      <c r="D33" s="1658">
        <v>0</v>
      </c>
      <c r="E33" s="1658">
        <v>0</v>
      </c>
      <c r="F33" s="1658">
        <v>0</v>
      </c>
      <c r="G33" s="1659">
        <v>0</v>
      </c>
      <c r="H33" s="1660">
        <v>22722000</v>
      </c>
      <c r="I33" s="1660">
        <v>495372.51</v>
      </c>
      <c r="J33" s="1660">
        <v>0</v>
      </c>
      <c r="K33" s="1660">
        <v>0</v>
      </c>
      <c r="L33" s="1660">
        <v>0</v>
      </c>
      <c r="M33" s="1660">
        <v>0</v>
      </c>
      <c r="N33" s="1660">
        <v>0</v>
      </c>
      <c r="O33" s="1660">
        <v>0</v>
      </c>
      <c r="P33" s="1660">
        <v>0</v>
      </c>
      <c r="Q33" s="1660">
        <v>0</v>
      </c>
      <c r="R33" s="1660">
        <v>0</v>
      </c>
      <c r="S33" s="1660">
        <v>0</v>
      </c>
      <c r="T33" s="1660">
        <v>0</v>
      </c>
      <c r="U33" s="1660">
        <v>0</v>
      </c>
      <c r="V33" s="1660">
        <v>33479.97</v>
      </c>
      <c r="W33" s="1660">
        <v>0</v>
      </c>
      <c r="X33" s="1660">
        <v>0</v>
      </c>
      <c r="Y33" s="1660">
        <v>0</v>
      </c>
      <c r="Z33" s="1660">
        <v>0</v>
      </c>
      <c r="AA33" s="1660">
        <v>0</v>
      </c>
      <c r="AB33" s="1660">
        <v>0</v>
      </c>
      <c r="AC33" s="1660">
        <v>0</v>
      </c>
      <c r="AD33" s="1660">
        <v>0</v>
      </c>
      <c r="AE33" s="1660">
        <v>0</v>
      </c>
      <c r="AF33" s="1660">
        <v>0</v>
      </c>
      <c r="AG33" s="1660">
        <v>0</v>
      </c>
      <c r="AH33" s="1660">
        <v>0</v>
      </c>
      <c r="AI33" s="1660">
        <v>0</v>
      </c>
      <c r="AJ33" s="1660">
        <v>0</v>
      </c>
      <c r="AK33" s="1660">
        <v>0</v>
      </c>
      <c r="AL33" s="1658">
        <v>0</v>
      </c>
      <c r="AM33" s="1658">
        <v>0</v>
      </c>
      <c r="AN33" s="1658">
        <v>0</v>
      </c>
      <c r="AO33" s="1711">
        <v>0</v>
      </c>
      <c r="AP33" s="1660"/>
      <c r="AQ33" s="432">
        <f t="shared" si="0"/>
        <v>23250852.48</v>
      </c>
    </row>
    <row r="34" spans="1:43">
      <c r="A34" s="300" t="s">
        <v>1170</v>
      </c>
      <c r="B34" s="1652" t="s">
        <v>1975</v>
      </c>
      <c r="C34" s="304" t="s">
        <v>120</v>
      </c>
      <c r="D34" s="1658">
        <v>0</v>
      </c>
      <c r="E34" s="1658">
        <v>0</v>
      </c>
      <c r="F34" s="1658">
        <v>0</v>
      </c>
      <c r="G34" s="1659">
        <v>0</v>
      </c>
      <c r="H34" s="1660">
        <v>0</v>
      </c>
      <c r="I34" s="1660">
        <v>3222619.16</v>
      </c>
      <c r="J34" s="1660">
        <v>0</v>
      </c>
      <c r="K34" s="1660">
        <v>0</v>
      </c>
      <c r="L34" s="1660">
        <v>0</v>
      </c>
      <c r="M34" s="1660">
        <v>0</v>
      </c>
      <c r="N34" s="1660">
        <v>0</v>
      </c>
      <c r="O34" s="1660">
        <v>2324018.7999999998</v>
      </c>
      <c r="P34" s="1660">
        <v>1904624.36</v>
      </c>
      <c r="Q34" s="1660">
        <v>1833943.36</v>
      </c>
      <c r="R34" s="1660">
        <v>3723197.21</v>
      </c>
      <c r="S34" s="1660">
        <v>1427423.05</v>
      </c>
      <c r="T34" s="1660">
        <v>1711652.81</v>
      </c>
      <c r="U34" s="1660">
        <v>563757.75</v>
      </c>
      <c r="V34" s="1660">
        <v>11259124.65</v>
      </c>
      <c r="W34" s="1660">
        <v>0</v>
      </c>
      <c r="X34" s="1660">
        <v>0</v>
      </c>
      <c r="Y34" s="1660">
        <v>0</v>
      </c>
      <c r="Z34" s="1660">
        <v>0</v>
      </c>
      <c r="AA34" s="1660">
        <v>0</v>
      </c>
      <c r="AB34" s="1660">
        <v>0</v>
      </c>
      <c r="AC34" s="1660">
        <v>0</v>
      </c>
      <c r="AD34" s="1660">
        <v>0</v>
      </c>
      <c r="AE34" s="1660">
        <v>0</v>
      </c>
      <c r="AF34" s="1660">
        <v>0</v>
      </c>
      <c r="AG34" s="1660">
        <v>0</v>
      </c>
      <c r="AH34" s="1660">
        <v>0</v>
      </c>
      <c r="AI34" s="1660">
        <v>0</v>
      </c>
      <c r="AJ34" s="1660">
        <v>0</v>
      </c>
      <c r="AK34" s="1660">
        <v>0</v>
      </c>
      <c r="AL34" s="1658">
        <v>8596383.8299999982</v>
      </c>
      <c r="AM34" s="1658">
        <v>0</v>
      </c>
      <c r="AN34" s="1658">
        <v>0</v>
      </c>
      <c r="AO34" s="1711">
        <v>0</v>
      </c>
      <c r="AP34" s="1660"/>
      <c r="AQ34" s="432">
        <f t="shared" si="0"/>
        <v>36566744.980000004</v>
      </c>
    </row>
    <row r="35" spans="1:43">
      <c r="A35" s="300" t="s">
        <v>1171</v>
      </c>
      <c r="B35" s="1652" t="s">
        <v>1976</v>
      </c>
      <c r="C35" s="304" t="s">
        <v>121</v>
      </c>
      <c r="D35" s="1658">
        <v>0</v>
      </c>
      <c r="E35" s="1658">
        <v>0</v>
      </c>
      <c r="F35" s="1658">
        <v>0</v>
      </c>
      <c r="G35" s="1659">
        <v>0</v>
      </c>
      <c r="H35" s="1660">
        <v>0</v>
      </c>
      <c r="I35" s="1660">
        <v>692.36</v>
      </c>
      <c r="J35" s="1660">
        <v>0</v>
      </c>
      <c r="K35" s="1660">
        <v>0</v>
      </c>
      <c r="L35" s="1660">
        <v>0</v>
      </c>
      <c r="M35" s="1660">
        <v>0</v>
      </c>
      <c r="N35" s="1660">
        <v>0</v>
      </c>
      <c r="O35" s="1660">
        <v>0</v>
      </c>
      <c r="P35" s="1660">
        <v>0</v>
      </c>
      <c r="Q35" s="1660">
        <v>0</v>
      </c>
      <c r="R35" s="1660">
        <v>0</v>
      </c>
      <c r="S35" s="1660">
        <v>0</v>
      </c>
      <c r="T35" s="1660">
        <v>0</v>
      </c>
      <c r="U35" s="1660">
        <v>0</v>
      </c>
      <c r="V35" s="1660">
        <v>0</v>
      </c>
      <c r="W35" s="1660">
        <v>0</v>
      </c>
      <c r="X35" s="1660">
        <v>0</v>
      </c>
      <c r="Y35" s="1660">
        <v>0</v>
      </c>
      <c r="Z35" s="1660">
        <v>0</v>
      </c>
      <c r="AA35" s="1660">
        <v>0</v>
      </c>
      <c r="AB35" s="1660">
        <v>0</v>
      </c>
      <c r="AC35" s="1660">
        <v>0</v>
      </c>
      <c r="AD35" s="1660">
        <v>0</v>
      </c>
      <c r="AE35" s="1660">
        <v>0</v>
      </c>
      <c r="AF35" s="1660">
        <v>0</v>
      </c>
      <c r="AG35" s="1660">
        <v>0</v>
      </c>
      <c r="AH35" s="1660">
        <v>0</v>
      </c>
      <c r="AI35" s="1660">
        <v>0</v>
      </c>
      <c r="AJ35" s="1660">
        <v>0</v>
      </c>
      <c r="AK35" s="1660">
        <v>0</v>
      </c>
      <c r="AL35" s="1658">
        <v>0</v>
      </c>
      <c r="AM35" s="1658">
        <v>0</v>
      </c>
      <c r="AN35" s="1658">
        <v>0</v>
      </c>
      <c r="AO35" s="1711">
        <v>0</v>
      </c>
      <c r="AP35" s="1660"/>
      <c r="AQ35" s="432">
        <f t="shared" si="0"/>
        <v>692.36</v>
      </c>
    </row>
    <row r="36" spans="1:43">
      <c r="A36" s="300" t="s">
        <v>1172</v>
      </c>
      <c r="B36" s="1652" t="s">
        <v>1977</v>
      </c>
      <c r="C36" s="304" t="s">
        <v>122</v>
      </c>
      <c r="D36" s="1658">
        <v>0</v>
      </c>
      <c r="E36" s="1658">
        <v>0</v>
      </c>
      <c r="F36" s="1658">
        <v>0</v>
      </c>
      <c r="G36" s="1659">
        <v>0</v>
      </c>
      <c r="H36" s="1660">
        <v>0</v>
      </c>
      <c r="I36" s="1660">
        <v>158863.94</v>
      </c>
      <c r="J36" s="1660">
        <v>0</v>
      </c>
      <c r="K36" s="1660">
        <v>0</v>
      </c>
      <c r="L36" s="1660">
        <v>0</v>
      </c>
      <c r="M36" s="1660">
        <v>0</v>
      </c>
      <c r="N36" s="1660">
        <v>0</v>
      </c>
      <c r="O36" s="1660">
        <v>4885.32</v>
      </c>
      <c r="P36" s="1660">
        <v>4933.6400000000003</v>
      </c>
      <c r="Q36" s="1660">
        <v>0</v>
      </c>
      <c r="R36" s="1660">
        <v>283.33999999999997</v>
      </c>
      <c r="S36" s="1660">
        <v>0</v>
      </c>
      <c r="T36" s="1660">
        <v>678.62</v>
      </c>
      <c r="U36" s="1660">
        <v>96283.89</v>
      </c>
      <c r="V36" s="1660">
        <v>440845.29</v>
      </c>
      <c r="W36" s="1660">
        <v>0</v>
      </c>
      <c r="X36" s="1660">
        <v>0</v>
      </c>
      <c r="Y36" s="1660">
        <v>0</v>
      </c>
      <c r="Z36" s="1660">
        <v>0</v>
      </c>
      <c r="AA36" s="1660">
        <v>0</v>
      </c>
      <c r="AB36" s="1660">
        <v>0</v>
      </c>
      <c r="AC36" s="1660">
        <v>0</v>
      </c>
      <c r="AD36" s="1660">
        <v>0</v>
      </c>
      <c r="AE36" s="1660">
        <v>0</v>
      </c>
      <c r="AF36" s="1660">
        <v>0</v>
      </c>
      <c r="AG36" s="1660">
        <v>0</v>
      </c>
      <c r="AH36" s="1660">
        <v>0</v>
      </c>
      <c r="AI36" s="1660">
        <v>0</v>
      </c>
      <c r="AJ36" s="1660">
        <v>0</v>
      </c>
      <c r="AK36" s="1660">
        <v>0</v>
      </c>
      <c r="AL36" s="1658">
        <v>0</v>
      </c>
      <c r="AM36" s="1658">
        <v>0</v>
      </c>
      <c r="AN36" s="1658">
        <v>0</v>
      </c>
      <c r="AO36" s="1711">
        <v>0</v>
      </c>
      <c r="AP36" s="1660"/>
      <c r="AQ36" s="432">
        <f t="shared" si="0"/>
        <v>706774.04</v>
      </c>
    </row>
    <row r="37" spans="1:43">
      <c r="A37" s="300" t="s">
        <v>1173</v>
      </c>
      <c r="B37" s="1652" t="s">
        <v>1978</v>
      </c>
      <c r="C37" s="304" t="s">
        <v>123</v>
      </c>
      <c r="D37" s="1658">
        <v>0</v>
      </c>
      <c r="E37" s="1658">
        <v>0</v>
      </c>
      <c r="F37" s="1658">
        <v>0</v>
      </c>
      <c r="G37" s="1659">
        <v>0</v>
      </c>
      <c r="H37" s="1660">
        <v>1066685.3999999999</v>
      </c>
      <c r="I37" s="1660">
        <v>3520707.93</v>
      </c>
      <c r="J37" s="1660">
        <v>0</v>
      </c>
      <c r="K37" s="1660">
        <v>0</v>
      </c>
      <c r="L37" s="1660">
        <v>0</v>
      </c>
      <c r="M37" s="1660">
        <v>0</v>
      </c>
      <c r="N37" s="1660">
        <v>0</v>
      </c>
      <c r="O37" s="1660">
        <v>737230.12</v>
      </c>
      <c r="P37" s="1660">
        <v>782149.16</v>
      </c>
      <c r="Q37" s="1660">
        <v>931926.42</v>
      </c>
      <c r="R37" s="1660">
        <v>1263664.56</v>
      </c>
      <c r="S37" s="1660">
        <v>1646709.05</v>
      </c>
      <c r="T37" s="1660">
        <v>304834.39</v>
      </c>
      <c r="U37" s="1660">
        <v>3727860.52</v>
      </c>
      <c r="V37" s="1660">
        <v>25145139.66</v>
      </c>
      <c r="W37" s="1660">
        <v>0</v>
      </c>
      <c r="X37" s="1660">
        <v>0</v>
      </c>
      <c r="Y37" s="1660">
        <v>0</v>
      </c>
      <c r="Z37" s="1660">
        <v>0</v>
      </c>
      <c r="AA37" s="1660">
        <v>0</v>
      </c>
      <c r="AB37" s="1660">
        <v>0</v>
      </c>
      <c r="AC37" s="1660">
        <v>0</v>
      </c>
      <c r="AD37" s="1660">
        <v>0</v>
      </c>
      <c r="AE37" s="1660">
        <v>0</v>
      </c>
      <c r="AF37" s="1660">
        <v>0</v>
      </c>
      <c r="AG37" s="1660">
        <v>0</v>
      </c>
      <c r="AH37" s="1660">
        <v>0</v>
      </c>
      <c r="AI37" s="1660">
        <v>0</v>
      </c>
      <c r="AJ37" s="1660">
        <v>0</v>
      </c>
      <c r="AK37" s="1660">
        <v>0</v>
      </c>
      <c r="AL37" s="1658">
        <v>0</v>
      </c>
      <c r="AM37" s="1658">
        <v>0</v>
      </c>
      <c r="AN37" s="1658">
        <v>0</v>
      </c>
      <c r="AO37" s="1711">
        <v>0</v>
      </c>
      <c r="AP37" s="1660"/>
      <c r="AQ37" s="432">
        <f t="shared" si="0"/>
        <v>39126907.210000001</v>
      </c>
    </row>
    <row r="38" spans="1:43">
      <c r="A38" s="300" t="s">
        <v>1174</v>
      </c>
      <c r="B38" s="1652" t="s">
        <v>1979</v>
      </c>
      <c r="C38" s="304" t="s">
        <v>124</v>
      </c>
      <c r="D38" s="1658">
        <v>0</v>
      </c>
      <c r="E38" s="1658">
        <v>0</v>
      </c>
      <c r="F38" s="1658">
        <v>0</v>
      </c>
      <c r="G38" s="1659">
        <v>0</v>
      </c>
      <c r="H38" s="1660">
        <v>0</v>
      </c>
      <c r="I38" s="1660">
        <v>214150.51</v>
      </c>
      <c r="J38" s="1660">
        <v>0</v>
      </c>
      <c r="K38" s="1660">
        <v>0</v>
      </c>
      <c r="L38" s="1660">
        <v>0</v>
      </c>
      <c r="M38" s="1660">
        <v>0</v>
      </c>
      <c r="N38" s="1660">
        <v>0</v>
      </c>
      <c r="O38" s="1660">
        <v>0</v>
      </c>
      <c r="P38" s="1660">
        <v>0</v>
      </c>
      <c r="Q38" s="1660">
        <v>0</v>
      </c>
      <c r="R38" s="1660">
        <v>0</v>
      </c>
      <c r="S38" s="1660">
        <v>0</v>
      </c>
      <c r="T38" s="1660">
        <v>0</v>
      </c>
      <c r="U38" s="1660">
        <v>0</v>
      </c>
      <c r="V38" s="1660">
        <v>3106002.04</v>
      </c>
      <c r="W38" s="1660">
        <v>0</v>
      </c>
      <c r="X38" s="1660">
        <v>0</v>
      </c>
      <c r="Y38" s="1660">
        <v>0</v>
      </c>
      <c r="Z38" s="1660">
        <v>0</v>
      </c>
      <c r="AA38" s="1660">
        <v>0</v>
      </c>
      <c r="AB38" s="1660">
        <v>0</v>
      </c>
      <c r="AC38" s="1660">
        <v>0</v>
      </c>
      <c r="AD38" s="1660">
        <v>0</v>
      </c>
      <c r="AE38" s="1660">
        <v>0</v>
      </c>
      <c r="AF38" s="1660">
        <v>0</v>
      </c>
      <c r="AG38" s="1660">
        <v>0</v>
      </c>
      <c r="AH38" s="1660">
        <v>0</v>
      </c>
      <c r="AI38" s="1660">
        <v>0</v>
      </c>
      <c r="AJ38" s="1660">
        <v>0</v>
      </c>
      <c r="AK38" s="1660">
        <v>0</v>
      </c>
      <c r="AL38" s="1658">
        <v>0</v>
      </c>
      <c r="AM38" s="1658">
        <v>0</v>
      </c>
      <c r="AN38" s="1658">
        <v>0</v>
      </c>
      <c r="AO38" s="1711">
        <v>0</v>
      </c>
      <c r="AP38" s="1660"/>
      <c r="AQ38" s="432">
        <f t="shared" si="0"/>
        <v>3320152.55</v>
      </c>
    </row>
    <row r="39" spans="1:43">
      <c r="A39" s="300" t="s">
        <v>1175</v>
      </c>
      <c r="B39" s="1652" t="s">
        <v>1980</v>
      </c>
      <c r="C39" s="304" t="s">
        <v>125</v>
      </c>
      <c r="D39" s="1658">
        <v>20416274.379999999</v>
      </c>
      <c r="E39" s="1658">
        <v>18421053.649999999</v>
      </c>
      <c r="F39" s="1658">
        <v>46436069.579999998</v>
      </c>
      <c r="G39" s="1659">
        <v>6818786.2699999996</v>
      </c>
      <c r="H39" s="1660">
        <v>17752185.039999999</v>
      </c>
      <c r="I39" s="1660">
        <v>2379409.5099999998</v>
      </c>
      <c r="J39" s="1660">
        <v>42066.879999999997</v>
      </c>
      <c r="K39" s="1660">
        <v>38058.53</v>
      </c>
      <c r="L39" s="1660">
        <v>147637.88</v>
      </c>
      <c r="M39" s="1660">
        <v>-231831.91</v>
      </c>
      <c r="N39" s="1660">
        <v>0</v>
      </c>
      <c r="O39" s="1660">
        <v>98751.62</v>
      </c>
      <c r="P39" s="1660">
        <v>107985.05</v>
      </c>
      <c r="Q39" s="1660">
        <v>107536.94</v>
      </c>
      <c r="R39" s="1660">
        <v>417362.59</v>
      </c>
      <c r="S39" s="1660">
        <v>150324.10999999999</v>
      </c>
      <c r="T39" s="1660">
        <v>307297.37</v>
      </c>
      <c r="U39" s="1660">
        <v>1798039.32</v>
      </c>
      <c r="V39" s="1660">
        <v>5830125.1500000004</v>
      </c>
      <c r="W39" s="1660">
        <v>0</v>
      </c>
      <c r="X39" s="1660">
        <v>0</v>
      </c>
      <c r="Y39" s="1660">
        <v>0</v>
      </c>
      <c r="Z39" s="1660">
        <v>0</v>
      </c>
      <c r="AA39" s="1660">
        <v>0</v>
      </c>
      <c r="AB39" s="1660">
        <v>0</v>
      </c>
      <c r="AC39" s="1660">
        <v>0</v>
      </c>
      <c r="AD39" s="1660">
        <v>0</v>
      </c>
      <c r="AE39" s="1660">
        <v>0</v>
      </c>
      <c r="AF39" s="1660">
        <v>77387463.379999995</v>
      </c>
      <c r="AG39" s="1660">
        <v>0</v>
      </c>
      <c r="AH39" s="1660">
        <v>-192665871.88</v>
      </c>
      <c r="AI39" s="1660">
        <v>0</v>
      </c>
      <c r="AJ39" s="1660">
        <v>119804648.89</v>
      </c>
      <c r="AK39" s="1660">
        <v>16023514.42</v>
      </c>
      <c r="AL39" s="1658">
        <v>568656534.12</v>
      </c>
      <c r="AM39" s="1658">
        <v>0</v>
      </c>
      <c r="AN39" s="1658">
        <v>0</v>
      </c>
      <c r="AO39" s="1711">
        <v>0</v>
      </c>
      <c r="AP39" s="1660"/>
      <c r="AQ39" s="432">
        <f t="shared" si="0"/>
        <v>710243420.88999999</v>
      </c>
    </row>
    <row r="40" spans="1:43">
      <c r="A40" s="300" t="s">
        <v>1176</v>
      </c>
      <c r="B40" s="1652" t="s">
        <v>1981</v>
      </c>
      <c r="C40" s="304" t="s">
        <v>126</v>
      </c>
      <c r="D40" s="1658">
        <v>0</v>
      </c>
      <c r="E40" s="1658">
        <v>0</v>
      </c>
      <c r="F40" s="1658">
        <v>0</v>
      </c>
      <c r="G40" s="1659">
        <v>0</v>
      </c>
      <c r="H40" s="1660">
        <v>0</v>
      </c>
      <c r="I40" s="1660">
        <v>0</v>
      </c>
      <c r="J40" s="1660">
        <v>0</v>
      </c>
      <c r="K40" s="1660">
        <v>0</v>
      </c>
      <c r="L40" s="1660">
        <v>0</v>
      </c>
      <c r="M40" s="1660">
        <v>0</v>
      </c>
      <c r="N40" s="1660">
        <v>0</v>
      </c>
      <c r="O40" s="1660">
        <v>0</v>
      </c>
      <c r="P40" s="1660">
        <v>0</v>
      </c>
      <c r="Q40" s="1660">
        <v>0</v>
      </c>
      <c r="R40" s="1660">
        <v>0</v>
      </c>
      <c r="S40" s="1660">
        <v>0</v>
      </c>
      <c r="T40" s="1660">
        <v>0</v>
      </c>
      <c r="U40" s="1660">
        <v>0</v>
      </c>
      <c r="V40" s="1661">
        <v>0</v>
      </c>
      <c r="W40" s="1660">
        <v>190203</v>
      </c>
      <c r="X40" s="1660">
        <v>0</v>
      </c>
      <c r="Y40" s="1660">
        <v>0</v>
      </c>
      <c r="Z40" s="1660">
        <v>3604529.83</v>
      </c>
      <c r="AA40" s="1660">
        <v>234802.98</v>
      </c>
      <c r="AB40" s="1660">
        <v>243197</v>
      </c>
      <c r="AC40" s="1660">
        <v>123780.51</v>
      </c>
      <c r="AD40" s="1660">
        <v>606294.56999999995</v>
      </c>
      <c r="AE40" s="1660">
        <v>77512.009999999995</v>
      </c>
      <c r="AF40" s="1660">
        <v>0</v>
      </c>
      <c r="AG40" s="1660">
        <v>0</v>
      </c>
      <c r="AH40" s="1660">
        <v>0</v>
      </c>
      <c r="AI40" s="1660">
        <v>0</v>
      </c>
      <c r="AJ40" s="1660">
        <v>0</v>
      </c>
      <c r="AK40" s="1660">
        <v>0</v>
      </c>
      <c r="AL40" s="1658">
        <v>0</v>
      </c>
      <c r="AM40" s="1658">
        <v>0</v>
      </c>
      <c r="AN40" s="1658">
        <v>0</v>
      </c>
      <c r="AO40" s="1711">
        <v>0</v>
      </c>
      <c r="AP40" s="1660"/>
      <c r="AQ40" s="432">
        <f t="shared" si="0"/>
        <v>5080319.9000000004</v>
      </c>
    </row>
    <row r="41" spans="1:43">
      <c r="A41" s="300" t="s">
        <v>1177</v>
      </c>
      <c r="B41" s="1652" t="s">
        <v>1982</v>
      </c>
      <c r="C41" s="304" t="s">
        <v>127</v>
      </c>
      <c r="D41" s="1658">
        <v>0</v>
      </c>
      <c r="E41" s="1658">
        <v>0</v>
      </c>
      <c r="F41" s="1658">
        <v>0</v>
      </c>
      <c r="G41" s="1659">
        <v>0</v>
      </c>
      <c r="H41" s="1660">
        <v>0</v>
      </c>
      <c r="I41" s="1660">
        <v>0</v>
      </c>
      <c r="J41" s="1660">
        <v>0</v>
      </c>
      <c r="K41" s="1660">
        <v>0</v>
      </c>
      <c r="L41" s="1660">
        <v>0</v>
      </c>
      <c r="M41" s="1660">
        <v>0</v>
      </c>
      <c r="N41" s="1660">
        <v>0</v>
      </c>
      <c r="O41" s="1660">
        <v>0</v>
      </c>
      <c r="P41" s="1660">
        <v>0</v>
      </c>
      <c r="Q41" s="1660">
        <v>0</v>
      </c>
      <c r="R41" s="1660">
        <v>0</v>
      </c>
      <c r="S41" s="1660">
        <v>0</v>
      </c>
      <c r="T41" s="1660">
        <v>0</v>
      </c>
      <c r="U41" s="1660">
        <v>0</v>
      </c>
      <c r="V41" s="1660">
        <v>0</v>
      </c>
      <c r="W41" s="1660">
        <v>0</v>
      </c>
      <c r="X41" s="1660">
        <v>0</v>
      </c>
      <c r="Y41" s="1660">
        <v>0</v>
      </c>
      <c r="Z41" s="1660">
        <v>0</v>
      </c>
      <c r="AA41" s="1660">
        <v>0</v>
      </c>
      <c r="AB41" s="1660">
        <v>0</v>
      </c>
      <c r="AC41" s="1660">
        <v>0</v>
      </c>
      <c r="AD41" s="1660">
        <v>1891422.07</v>
      </c>
      <c r="AE41" s="1660">
        <v>517763.68</v>
      </c>
      <c r="AF41" s="1660">
        <v>0</v>
      </c>
      <c r="AG41" s="1660">
        <v>0</v>
      </c>
      <c r="AH41" s="1660">
        <v>0</v>
      </c>
      <c r="AI41" s="1660">
        <v>0</v>
      </c>
      <c r="AJ41" s="1660">
        <v>0</v>
      </c>
      <c r="AK41" s="1660">
        <v>0</v>
      </c>
      <c r="AL41" s="1658">
        <v>0</v>
      </c>
      <c r="AM41" s="1658">
        <v>0</v>
      </c>
      <c r="AN41" s="1658">
        <v>0</v>
      </c>
      <c r="AO41" s="1711">
        <v>0</v>
      </c>
      <c r="AP41" s="1660"/>
      <c r="AQ41" s="432">
        <f t="shared" si="0"/>
        <v>2409185.75</v>
      </c>
    </row>
    <row r="42" spans="1:43">
      <c r="A42" s="300" t="s">
        <v>1178</v>
      </c>
      <c r="B42" s="1652" t="s">
        <v>1983</v>
      </c>
      <c r="C42" s="304" t="s">
        <v>128</v>
      </c>
      <c r="D42" s="1658">
        <v>0</v>
      </c>
      <c r="E42" s="1658">
        <v>0</v>
      </c>
      <c r="F42" s="1658">
        <v>0</v>
      </c>
      <c r="G42" s="1659">
        <v>0</v>
      </c>
      <c r="H42" s="1660">
        <v>0</v>
      </c>
      <c r="I42" s="1660">
        <v>0</v>
      </c>
      <c r="J42" s="1660">
        <v>0</v>
      </c>
      <c r="K42" s="1660">
        <v>0</v>
      </c>
      <c r="L42" s="1660">
        <v>0</v>
      </c>
      <c r="M42" s="1660">
        <v>0</v>
      </c>
      <c r="N42" s="1660">
        <v>0</v>
      </c>
      <c r="O42" s="1660">
        <v>0</v>
      </c>
      <c r="P42" s="1660">
        <v>0</v>
      </c>
      <c r="Q42" s="1660">
        <v>0</v>
      </c>
      <c r="R42" s="1660">
        <v>0</v>
      </c>
      <c r="S42" s="1660">
        <v>0</v>
      </c>
      <c r="T42" s="1660">
        <v>0</v>
      </c>
      <c r="U42" s="1660">
        <v>0</v>
      </c>
      <c r="V42" s="1660">
        <v>0</v>
      </c>
      <c r="W42" s="1660">
        <v>583024.05000000005</v>
      </c>
      <c r="X42" s="1660">
        <v>0</v>
      </c>
      <c r="Y42" s="1660">
        <v>50609.31</v>
      </c>
      <c r="Z42" s="1660">
        <v>1132385.6100000001</v>
      </c>
      <c r="AA42" s="1660">
        <v>0</v>
      </c>
      <c r="AB42" s="1660">
        <v>751028.52</v>
      </c>
      <c r="AC42" s="1660">
        <v>110672.04</v>
      </c>
      <c r="AD42" s="1660">
        <v>1111567.1000000001</v>
      </c>
      <c r="AE42" s="1660">
        <v>155182.53</v>
      </c>
      <c r="AF42" s="1660">
        <v>0</v>
      </c>
      <c r="AG42" s="1660">
        <v>0</v>
      </c>
      <c r="AH42" s="1660">
        <v>0</v>
      </c>
      <c r="AI42" s="1660">
        <v>0</v>
      </c>
      <c r="AJ42" s="1660">
        <v>0</v>
      </c>
      <c r="AK42" s="1660">
        <v>0</v>
      </c>
      <c r="AL42" s="1658">
        <v>0</v>
      </c>
      <c r="AM42" s="1658">
        <v>0</v>
      </c>
      <c r="AN42" s="1658">
        <v>0</v>
      </c>
      <c r="AO42" s="1711">
        <v>0</v>
      </c>
      <c r="AP42" s="1660"/>
      <c r="AQ42" s="432">
        <f t="shared" si="0"/>
        <v>3894469.16</v>
      </c>
    </row>
    <row r="43" spans="1:43">
      <c r="A43" s="300" t="s">
        <v>1179</v>
      </c>
      <c r="B43" s="1652" t="s">
        <v>1984</v>
      </c>
      <c r="C43" s="304" t="s">
        <v>129</v>
      </c>
      <c r="D43" s="1658">
        <v>0</v>
      </c>
      <c r="E43" s="1658">
        <v>1057689.1000000001</v>
      </c>
      <c r="F43" s="1658">
        <v>6877105.29</v>
      </c>
      <c r="G43" s="1659">
        <v>68970</v>
      </c>
      <c r="H43" s="1660">
        <v>0</v>
      </c>
      <c r="I43" s="1660">
        <v>18907.95</v>
      </c>
      <c r="J43" s="1660">
        <v>0</v>
      </c>
      <c r="K43" s="1660">
        <v>0</v>
      </c>
      <c r="L43" s="1660">
        <v>0</v>
      </c>
      <c r="M43" s="1660">
        <v>1508.93</v>
      </c>
      <c r="N43" s="1660">
        <v>0</v>
      </c>
      <c r="O43" s="1660">
        <v>0</v>
      </c>
      <c r="P43" s="1660">
        <v>0</v>
      </c>
      <c r="Q43" s="1660">
        <v>0</v>
      </c>
      <c r="R43" s="1660">
        <v>0</v>
      </c>
      <c r="S43" s="1660">
        <v>0</v>
      </c>
      <c r="T43" s="1660">
        <v>0</v>
      </c>
      <c r="U43" s="1660">
        <v>0</v>
      </c>
      <c r="V43" s="1660">
        <v>0</v>
      </c>
      <c r="W43" s="1660">
        <v>0</v>
      </c>
      <c r="X43" s="1660">
        <v>0</v>
      </c>
      <c r="Y43" s="1660">
        <v>0</v>
      </c>
      <c r="Z43" s="1660">
        <v>0</v>
      </c>
      <c r="AA43" s="1660">
        <v>0</v>
      </c>
      <c r="AB43" s="1660">
        <v>0</v>
      </c>
      <c r="AC43" s="1660">
        <v>0</v>
      </c>
      <c r="AD43" s="1660">
        <v>0</v>
      </c>
      <c r="AE43" s="1660">
        <v>0</v>
      </c>
      <c r="AF43" s="1660">
        <v>0</v>
      </c>
      <c r="AG43" s="1660">
        <v>0</v>
      </c>
      <c r="AH43" s="1660">
        <v>0</v>
      </c>
      <c r="AI43" s="1660">
        <v>0</v>
      </c>
      <c r="AJ43" s="1660">
        <v>0</v>
      </c>
      <c r="AK43" s="1660">
        <v>1986620</v>
      </c>
      <c r="AL43" s="1658">
        <v>643607698.96000004</v>
      </c>
      <c r="AM43" s="1658">
        <v>0</v>
      </c>
      <c r="AN43" s="1658">
        <v>0</v>
      </c>
      <c r="AO43" s="1711">
        <v>0</v>
      </c>
      <c r="AP43" s="1660"/>
      <c r="AQ43" s="432">
        <f t="shared" si="0"/>
        <v>653618500.23000002</v>
      </c>
    </row>
    <row r="44" spans="1:43">
      <c r="A44" s="300" t="s">
        <v>1180</v>
      </c>
      <c r="B44" s="1652" t="s">
        <v>1985</v>
      </c>
      <c r="C44" s="304" t="s">
        <v>130</v>
      </c>
      <c r="D44" s="1658">
        <v>0</v>
      </c>
      <c r="E44" s="1658">
        <v>0</v>
      </c>
      <c r="F44" s="1658">
        <v>0</v>
      </c>
      <c r="G44" s="1659">
        <v>0</v>
      </c>
      <c r="H44" s="1660">
        <v>0</v>
      </c>
      <c r="I44" s="1660">
        <v>0</v>
      </c>
      <c r="J44" s="1660">
        <v>0</v>
      </c>
      <c r="K44" s="1660">
        <v>0</v>
      </c>
      <c r="L44" s="1660">
        <v>0</v>
      </c>
      <c r="M44" s="1660">
        <v>0</v>
      </c>
      <c r="N44" s="1660">
        <v>0</v>
      </c>
      <c r="O44" s="1660">
        <v>0</v>
      </c>
      <c r="P44" s="1660">
        <v>0</v>
      </c>
      <c r="Q44" s="1660">
        <v>0</v>
      </c>
      <c r="R44" s="1660">
        <v>0</v>
      </c>
      <c r="S44" s="1660">
        <v>0</v>
      </c>
      <c r="T44" s="1660">
        <v>0</v>
      </c>
      <c r="U44" s="1660">
        <v>0</v>
      </c>
      <c r="V44" s="1660">
        <v>0</v>
      </c>
      <c r="W44" s="1660">
        <v>269474.40000000002</v>
      </c>
      <c r="X44" s="1660">
        <v>476377.43</v>
      </c>
      <c r="Y44" s="1660">
        <v>697625.29</v>
      </c>
      <c r="Z44" s="1660">
        <v>759559.34</v>
      </c>
      <c r="AA44" s="1660">
        <v>2496985.48</v>
      </c>
      <c r="AB44" s="1660">
        <v>1876590</v>
      </c>
      <c r="AC44" s="1660">
        <v>0</v>
      </c>
      <c r="AD44" s="1660">
        <v>1255870.8500000001</v>
      </c>
      <c r="AE44" s="1660">
        <v>1796442.72</v>
      </c>
      <c r="AF44" s="1660">
        <v>0</v>
      </c>
      <c r="AG44" s="1660">
        <v>0</v>
      </c>
      <c r="AH44" s="1660">
        <v>0</v>
      </c>
      <c r="AI44" s="1660">
        <v>0</v>
      </c>
      <c r="AJ44" s="1660">
        <v>0</v>
      </c>
      <c r="AK44" s="1660">
        <v>0</v>
      </c>
      <c r="AL44" s="1658">
        <v>0</v>
      </c>
      <c r="AM44" s="1658">
        <v>0</v>
      </c>
      <c r="AN44" s="1658">
        <v>0</v>
      </c>
      <c r="AO44" s="1711">
        <v>0</v>
      </c>
      <c r="AP44" s="1660"/>
      <c r="AQ44" s="432">
        <f t="shared" si="0"/>
        <v>9628925.5099999998</v>
      </c>
    </row>
    <row r="45" spans="1:43">
      <c r="A45" s="300" t="s">
        <v>1181</v>
      </c>
      <c r="B45" s="1652" t="s">
        <v>1986</v>
      </c>
      <c r="C45" s="304" t="s">
        <v>131</v>
      </c>
      <c r="D45" s="1658">
        <v>0</v>
      </c>
      <c r="E45" s="1658">
        <v>0</v>
      </c>
      <c r="F45" s="1658">
        <v>0</v>
      </c>
      <c r="G45" s="1659">
        <v>0</v>
      </c>
      <c r="H45" s="1660">
        <v>0</v>
      </c>
      <c r="I45" s="1660">
        <v>0</v>
      </c>
      <c r="J45" s="1660">
        <v>0</v>
      </c>
      <c r="K45" s="1660">
        <v>0</v>
      </c>
      <c r="L45" s="1660">
        <v>0</v>
      </c>
      <c r="M45" s="1660">
        <v>0</v>
      </c>
      <c r="N45" s="1660">
        <v>0</v>
      </c>
      <c r="O45" s="1660">
        <v>0</v>
      </c>
      <c r="P45" s="1660">
        <v>0</v>
      </c>
      <c r="Q45" s="1660">
        <v>0</v>
      </c>
      <c r="R45" s="1660">
        <v>0</v>
      </c>
      <c r="S45" s="1660">
        <v>0</v>
      </c>
      <c r="T45" s="1660">
        <v>0</v>
      </c>
      <c r="U45" s="1660">
        <v>0</v>
      </c>
      <c r="V45" s="1660">
        <v>0</v>
      </c>
      <c r="W45" s="1660">
        <v>933703.63</v>
      </c>
      <c r="X45" s="1660">
        <v>0</v>
      </c>
      <c r="Y45" s="1660">
        <v>0</v>
      </c>
      <c r="Z45" s="1660">
        <v>337707.6</v>
      </c>
      <c r="AA45" s="1660">
        <v>1214813.29</v>
      </c>
      <c r="AB45" s="1660">
        <v>2178109.7400000002</v>
      </c>
      <c r="AC45" s="1660">
        <v>0</v>
      </c>
      <c r="AD45" s="1660">
        <v>2818919.81</v>
      </c>
      <c r="AE45" s="1660">
        <v>1393851.69</v>
      </c>
      <c r="AF45" s="1660">
        <v>0</v>
      </c>
      <c r="AG45" s="1660">
        <v>0</v>
      </c>
      <c r="AH45" s="1660">
        <v>0</v>
      </c>
      <c r="AI45" s="1660">
        <v>0</v>
      </c>
      <c r="AJ45" s="1660">
        <v>0</v>
      </c>
      <c r="AK45" s="1660">
        <v>0</v>
      </c>
      <c r="AL45" s="1658">
        <v>0</v>
      </c>
      <c r="AM45" s="1658">
        <v>0</v>
      </c>
      <c r="AN45" s="1658">
        <v>0</v>
      </c>
      <c r="AO45" s="1711">
        <v>0</v>
      </c>
      <c r="AP45" s="1660"/>
      <c r="AQ45" s="432">
        <f t="shared" si="0"/>
        <v>8877105.7599999998</v>
      </c>
    </row>
    <row r="46" spans="1:43">
      <c r="A46" s="300" t="s">
        <v>1182</v>
      </c>
      <c r="B46" s="1652" t="s">
        <v>1987</v>
      </c>
      <c r="C46" s="304" t="s">
        <v>132</v>
      </c>
      <c r="D46" s="1658">
        <v>0</v>
      </c>
      <c r="E46" s="1658">
        <v>0</v>
      </c>
      <c r="F46" s="1658">
        <v>0</v>
      </c>
      <c r="G46" s="1659">
        <v>0</v>
      </c>
      <c r="H46" s="1660">
        <v>0</v>
      </c>
      <c r="I46" s="1660">
        <v>0</v>
      </c>
      <c r="J46" s="1660">
        <v>0</v>
      </c>
      <c r="K46" s="1660">
        <v>0</v>
      </c>
      <c r="L46" s="1660">
        <v>0</v>
      </c>
      <c r="M46" s="1660">
        <v>0</v>
      </c>
      <c r="N46" s="1660">
        <v>0</v>
      </c>
      <c r="O46" s="1660">
        <v>0</v>
      </c>
      <c r="P46" s="1660">
        <v>0</v>
      </c>
      <c r="Q46" s="1660">
        <v>0</v>
      </c>
      <c r="R46" s="1660">
        <v>0</v>
      </c>
      <c r="S46" s="1660">
        <v>0</v>
      </c>
      <c r="T46" s="1660">
        <v>0</v>
      </c>
      <c r="U46" s="1660">
        <v>0</v>
      </c>
      <c r="V46" s="1660">
        <v>0</v>
      </c>
      <c r="W46" s="1660">
        <v>44729.33</v>
      </c>
      <c r="X46" s="1660">
        <v>1.3</v>
      </c>
      <c r="Y46" s="1660">
        <v>0</v>
      </c>
      <c r="Z46" s="1660">
        <v>3109560.56</v>
      </c>
      <c r="AA46" s="1660">
        <v>74412</v>
      </c>
      <c r="AB46" s="1660">
        <v>861735.38</v>
      </c>
      <c r="AC46" s="1660">
        <v>0</v>
      </c>
      <c r="AD46" s="1660">
        <v>716731</v>
      </c>
      <c r="AE46" s="1660">
        <v>362381.92</v>
      </c>
      <c r="AF46" s="1660">
        <v>0</v>
      </c>
      <c r="AG46" s="1660">
        <v>0</v>
      </c>
      <c r="AH46" s="1660">
        <v>0</v>
      </c>
      <c r="AI46" s="1660">
        <v>0</v>
      </c>
      <c r="AJ46" s="1660">
        <v>0</v>
      </c>
      <c r="AK46" s="1660">
        <v>0</v>
      </c>
      <c r="AL46" s="1658">
        <v>0</v>
      </c>
      <c r="AM46" s="1658">
        <v>0</v>
      </c>
      <c r="AN46" s="1658">
        <v>0</v>
      </c>
      <c r="AO46" s="1711">
        <v>0</v>
      </c>
      <c r="AP46" s="1660"/>
      <c r="AQ46" s="432">
        <f t="shared" si="0"/>
        <v>5169551.49</v>
      </c>
    </row>
    <row r="47" spans="1:43">
      <c r="A47" s="300" t="s">
        <v>1183</v>
      </c>
      <c r="B47" s="1652" t="s">
        <v>1988</v>
      </c>
      <c r="C47" s="304" t="s">
        <v>133</v>
      </c>
      <c r="D47" s="1658">
        <v>0</v>
      </c>
      <c r="E47" s="1658">
        <v>0</v>
      </c>
      <c r="F47" s="1658">
        <v>0</v>
      </c>
      <c r="G47" s="1659">
        <v>0</v>
      </c>
      <c r="H47" s="1660">
        <v>0</v>
      </c>
      <c r="I47" s="1660">
        <v>0</v>
      </c>
      <c r="J47" s="1660">
        <v>0</v>
      </c>
      <c r="K47" s="1660">
        <v>0</v>
      </c>
      <c r="L47" s="1660">
        <v>0</v>
      </c>
      <c r="M47" s="1660">
        <v>0</v>
      </c>
      <c r="N47" s="1660">
        <v>0</v>
      </c>
      <c r="O47" s="1660">
        <v>0</v>
      </c>
      <c r="P47" s="1660">
        <v>0</v>
      </c>
      <c r="Q47" s="1660">
        <v>11850</v>
      </c>
      <c r="R47" s="1660">
        <v>1</v>
      </c>
      <c r="S47" s="1660">
        <v>0</v>
      </c>
      <c r="T47" s="1660">
        <v>534.64</v>
      </c>
      <c r="U47" s="1660">
        <v>0</v>
      </c>
      <c r="V47" s="1660">
        <v>0</v>
      </c>
      <c r="W47" s="1660">
        <v>381399.88</v>
      </c>
      <c r="X47" s="1660">
        <v>3754.94</v>
      </c>
      <c r="Y47" s="1660">
        <v>0</v>
      </c>
      <c r="Z47" s="1660">
        <v>6453453.54</v>
      </c>
      <c r="AA47" s="1660">
        <v>743818.9</v>
      </c>
      <c r="AB47" s="1660">
        <v>2068653.03</v>
      </c>
      <c r="AC47" s="1660">
        <v>302521.8</v>
      </c>
      <c r="AD47" s="1660">
        <v>2732020.01</v>
      </c>
      <c r="AE47" s="1660">
        <v>1215252.29</v>
      </c>
      <c r="AF47" s="1660">
        <v>0</v>
      </c>
      <c r="AG47" s="1660">
        <v>0</v>
      </c>
      <c r="AH47" s="1660">
        <v>0</v>
      </c>
      <c r="AI47" s="1660">
        <v>0</v>
      </c>
      <c r="AJ47" s="1660">
        <v>0</v>
      </c>
      <c r="AK47" s="1660">
        <v>0</v>
      </c>
      <c r="AL47" s="1658">
        <v>0</v>
      </c>
      <c r="AM47" s="1658">
        <v>0</v>
      </c>
      <c r="AN47" s="1658">
        <v>0</v>
      </c>
      <c r="AO47" s="1711">
        <v>0</v>
      </c>
      <c r="AP47" s="1660"/>
      <c r="AQ47" s="432">
        <f t="shared" si="0"/>
        <v>13913260.030000001</v>
      </c>
    </row>
    <row r="48" spans="1:43">
      <c r="A48" s="300" t="s">
        <v>1184</v>
      </c>
      <c r="B48" s="1652" t="s">
        <v>1989</v>
      </c>
      <c r="C48" s="304" t="s">
        <v>134</v>
      </c>
      <c r="D48" s="1658">
        <v>0</v>
      </c>
      <c r="E48" s="1658">
        <v>0</v>
      </c>
      <c r="F48" s="1658">
        <v>0</v>
      </c>
      <c r="G48" s="1659">
        <v>0</v>
      </c>
      <c r="H48" s="1660">
        <v>0</v>
      </c>
      <c r="I48" s="1660">
        <v>0</v>
      </c>
      <c r="J48" s="1660">
        <v>0</v>
      </c>
      <c r="K48" s="1660">
        <v>0</v>
      </c>
      <c r="L48" s="1660">
        <v>0</v>
      </c>
      <c r="M48" s="1660">
        <v>0</v>
      </c>
      <c r="N48" s="1660">
        <v>0</v>
      </c>
      <c r="O48" s="1660">
        <v>0</v>
      </c>
      <c r="P48" s="1660">
        <v>0</v>
      </c>
      <c r="Q48" s="1660">
        <v>0</v>
      </c>
      <c r="R48" s="1660">
        <v>0</v>
      </c>
      <c r="S48" s="1660">
        <v>0</v>
      </c>
      <c r="T48" s="1660">
        <v>0</v>
      </c>
      <c r="U48" s="1660">
        <v>0</v>
      </c>
      <c r="V48" s="1660">
        <v>0</v>
      </c>
      <c r="W48" s="1660">
        <v>621378.73</v>
      </c>
      <c r="X48" s="1660">
        <v>1022844.52</v>
      </c>
      <c r="Y48" s="1660">
        <v>0</v>
      </c>
      <c r="Z48" s="1660">
        <v>769546.01</v>
      </c>
      <c r="AA48" s="1660">
        <v>820588.85</v>
      </c>
      <c r="AB48" s="1660">
        <v>3763407.08</v>
      </c>
      <c r="AC48" s="1660">
        <v>0</v>
      </c>
      <c r="AD48" s="1660">
        <v>4776743.45</v>
      </c>
      <c r="AE48" s="1660">
        <v>1566678.95</v>
      </c>
      <c r="AF48" s="1660">
        <v>0</v>
      </c>
      <c r="AG48" s="1660">
        <v>0</v>
      </c>
      <c r="AH48" s="1660">
        <v>0</v>
      </c>
      <c r="AI48" s="1660">
        <v>0</v>
      </c>
      <c r="AJ48" s="1660">
        <v>0</v>
      </c>
      <c r="AK48" s="1660">
        <v>0</v>
      </c>
      <c r="AL48" s="1658">
        <v>0</v>
      </c>
      <c r="AM48" s="1658">
        <v>0</v>
      </c>
      <c r="AN48" s="1658">
        <v>0</v>
      </c>
      <c r="AO48" s="1711">
        <v>0</v>
      </c>
      <c r="AP48" s="1660"/>
      <c r="AQ48" s="432">
        <f t="shared" si="0"/>
        <v>13341187.59</v>
      </c>
    </row>
    <row r="49" spans="1:43">
      <c r="A49" s="300" t="s">
        <v>1185</v>
      </c>
      <c r="B49" s="1652" t="s">
        <v>1990</v>
      </c>
      <c r="C49" s="304" t="s">
        <v>135</v>
      </c>
      <c r="D49" s="1658">
        <v>0</v>
      </c>
      <c r="E49" s="1658">
        <v>0</v>
      </c>
      <c r="F49" s="1658">
        <v>0</v>
      </c>
      <c r="G49" s="1659">
        <v>0</v>
      </c>
      <c r="H49" s="1660">
        <v>0</v>
      </c>
      <c r="I49" s="1660">
        <v>0</v>
      </c>
      <c r="J49" s="1660">
        <v>0</v>
      </c>
      <c r="K49" s="1660">
        <v>0</v>
      </c>
      <c r="L49" s="1660">
        <v>0</v>
      </c>
      <c r="M49" s="1660">
        <v>0</v>
      </c>
      <c r="N49" s="1660">
        <v>0</v>
      </c>
      <c r="O49" s="1660">
        <v>0</v>
      </c>
      <c r="P49" s="1660">
        <v>0</v>
      </c>
      <c r="Q49" s="1660">
        <v>0</v>
      </c>
      <c r="R49" s="1660">
        <v>0</v>
      </c>
      <c r="S49" s="1660">
        <v>0</v>
      </c>
      <c r="T49" s="1660">
        <v>0</v>
      </c>
      <c r="U49" s="1660">
        <v>0</v>
      </c>
      <c r="V49" s="1660">
        <v>0</v>
      </c>
      <c r="W49" s="1660">
        <v>12565.91</v>
      </c>
      <c r="X49" s="1660">
        <v>0</v>
      </c>
      <c r="Y49" s="1660">
        <v>110948.95</v>
      </c>
      <c r="Z49" s="1660">
        <v>0</v>
      </c>
      <c r="AA49" s="1660">
        <v>11983.96</v>
      </c>
      <c r="AB49" s="1660">
        <v>215765.57</v>
      </c>
      <c r="AC49" s="1660">
        <v>0</v>
      </c>
      <c r="AD49" s="1660">
        <v>42533.8</v>
      </c>
      <c r="AE49" s="1660">
        <v>0</v>
      </c>
      <c r="AF49" s="1660">
        <v>0</v>
      </c>
      <c r="AG49" s="1660">
        <v>0</v>
      </c>
      <c r="AH49" s="1660">
        <v>0</v>
      </c>
      <c r="AI49" s="1660">
        <v>0</v>
      </c>
      <c r="AJ49" s="1660">
        <v>0</v>
      </c>
      <c r="AK49" s="1660">
        <v>0</v>
      </c>
      <c r="AL49" s="1658">
        <v>0</v>
      </c>
      <c r="AM49" s="1658">
        <v>0</v>
      </c>
      <c r="AN49" s="1658">
        <v>0</v>
      </c>
      <c r="AO49" s="1711">
        <v>0</v>
      </c>
      <c r="AP49" s="1660"/>
      <c r="AQ49" s="432">
        <f t="shared" si="0"/>
        <v>393798.19</v>
      </c>
    </row>
    <row r="50" spans="1:43">
      <c r="A50" s="300" t="s">
        <v>1186</v>
      </c>
      <c r="B50" s="1652" t="s">
        <v>1991</v>
      </c>
      <c r="C50" s="304" t="s">
        <v>136</v>
      </c>
      <c r="D50" s="1658">
        <v>0</v>
      </c>
      <c r="E50" s="1658">
        <v>0</v>
      </c>
      <c r="F50" s="1658">
        <v>0</v>
      </c>
      <c r="G50" s="1659">
        <v>0</v>
      </c>
      <c r="H50" s="1660">
        <v>0</v>
      </c>
      <c r="I50" s="1660">
        <v>0</v>
      </c>
      <c r="J50" s="1660">
        <v>0</v>
      </c>
      <c r="K50" s="1660">
        <v>0</v>
      </c>
      <c r="L50" s="1660">
        <v>0</v>
      </c>
      <c r="M50" s="1660">
        <v>0</v>
      </c>
      <c r="N50" s="1660">
        <v>0</v>
      </c>
      <c r="O50" s="1660">
        <v>0</v>
      </c>
      <c r="P50" s="1660">
        <v>0</v>
      </c>
      <c r="Q50" s="1660">
        <v>0</v>
      </c>
      <c r="R50" s="1660">
        <v>0</v>
      </c>
      <c r="S50" s="1660">
        <v>0</v>
      </c>
      <c r="T50" s="1660">
        <v>0</v>
      </c>
      <c r="U50" s="1660">
        <v>0</v>
      </c>
      <c r="V50" s="1660">
        <v>0</v>
      </c>
      <c r="W50" s="1660">
        <v>12493.64</v>
      </c>
      <c r="X50" s="1660">
        <v>0</v>
      </c>
      <c r="Y50" s="1660">
        <v>0</v>
      </c>
      <c r="Z50" s="1660">
        <v>95103.73</v>
      </c>
      <c r="AA50" s="1660">
        <v>0</v>
      </c>
      <c r="AB50" s="1660">
        <v>9172.2900000000009</v>
      </c>
      <c r="AC50" s="1660">
        <v>0</v>
      </c>
      <c r="AD50" s="1660">
        <v>30460.080000000002</v>
      </c>
      <c r="AE50" s="1660">
        <v>989.8</v>
      </c>
      <c r="AF50" s="1660">
        <v>0</v>
      </c>
      <c r="AG50" s="1660">
        <v>0</v>
      </c>
      <c r="AH50" s="1660">
        <v>0</v>
      </c>
      <c r="AI50" s="1660">
        <v>0</v>
      </c>
      <c r="AJ50" s="1660">
        <v>0</v>
      </c>
      <c r="AK50" s="1660">
        <v>0</v>
      </c>
      <c r="AL50" s="1658">
        <v>0</v>
      </c>
      <c r="AM50" s="1658">
        <v>0</v>
      </c>
      <c r="AN50" s="1658">
        <v>0</v>
      </c>
      <c r="AO50" s="1711">
        <v>0</v>
      </c>
      <c r="AP50" s="1660"/>
      <c r="AQ50" s="432">
        <f t="shared" si="0"/>
        <v>148219.53999999998</v>
      </c>
    </row>
    <row r="51" spans="1:43">
      <c r="A51" s="300" t="s">
        <v>1187</v>
      </c>
      <c r="B51" s="1652"/>
      <c r="C51" s="304" t="s">
        <v>137</v>
      </c>
      <c r="D51" s="1658">
        <v>0</v>
      </c>
      <c r="E51" s="1658">
        <v>3403500</v>
      </c>
      <c r="F51" s="1658">
        <v>1456395.33</v>
      </c>
      <c r="G51" s="1659">
        <v>3395400</v>
      </c>
      <c r="H51" s="1660">
        <v>0</v>
      </c>
      <c r="I51" s="1660">
        <v>0</v>
      </c>
      <c r="J51" s="1660">
        <v>0</v>
      </c>
      <c r="K51" s="1660">
        <v>0</v>
      </c>
      <c r="L51" s="1660">
        <v>0</v>
      </c>
      <c r="M51" s="1660">
        <v>0</v>
      </c>
      <c r="N51" s="1660">
        <v>122460</v>
      </c>
      <c r="O51" s="1660">
        <v>-106127.9</v>
      </c>
      <c r="P51" s="1660">
        <v>-23541.599999999999</v>
      </c>
      <c r="Q51" s="1660">
        <v>-23541.599999999999</v>
      </c>
      <c r="R51" s="1660">
        <v>-23541.599999999999</v>
      </c>
      <c r="S51" s="1660">
        <v>-11770.8</v>
      </c>
      <c r="T51" s="1660">
        <v>-11770.8</v>
      </c>
      <c r="U51" s="1660">
        <v>0</v>
      </c>
      <c r="V51" s="1660">
        <v>3500652</v>
      </c>
      <c r="W51" s="1660">
        <v>0</v>
      </c>
      <c r="X51" s="1660">
        <v>0</v>
      </c>
      <c r="Y51" s="1660">
        <v>0</v>
      </c>
      <c r="Z51" s="1660">
        <v>0</v>
      </c>
      <c r="AA51" s="1660">
        <v>0</v>
      </c>
      <c r="AB51" s="1660">
        <v>0</v>
      </c>
      <c r="AC51" s="1660">
        <v>0</v>
      </c>
      <c r="AD51" s="1660">
        <v>0</v>
      </c>
      <c r="AE51" s="1660">
        <v>0</v>
      </c>
      <c r="AF51" s="1660">
        <v>0</v>
      </c>
      <c r="AG51" s="1660">
        <v>-21737.350000000006</v>
      </c>
      <c r="AH51" s="1660">
        <v>14359015.120000001</v>
      </c>
      <c r="AI51" s="1660">
        <v>0</v>
      </c>
      <c r="AJ51" s="1660">
        <v>31937906.02</v>
      </c>
      <c r="AK51" s="1660">
        <v>0</v>
      </c>
      <c r="AL51" s="1658">
        <v>118283.09</v>
      </c>
      <c r="AM51" s="1658">
        <v>0</v>
      </c>
      <c r="AN51" s="1658">
        <v>0</v>
      </c>
      <c r="AO51" s="1711">
        <v>0</v>
      </c>
      <c r="AP51" s="1660"/>
      <c r="AQ51" s="432">
        <f t="shared" si="0"/>
        <v>58071579.910000011</v>
      </c>
    </row>
    <row r="52" spans="1:43">
      <c r="A52" s="300" t="s">
        <v>1227</v>
      </c>
      <c r="B52" s="1652"/>
      <c r="C52" s="304" t="s">
        <v>138</v>
      </c>
      <c r="D52" s="1658">
        <v>0</v>
      </c>
      <c r="E52" s="1658">
        <v>0</v>
      </c>
      <c r="F52" s="1658">
        <v>3700000</v>
      </c>
      <c r="G52" s="1659">
        <v>0</v>
      </c>
      <c r="H52" s="1660">
        <v>0</v>
      </c>
      <c r="I52" s="1660">
        <v>0</v>
      </c>
      <c r="J52" s="1660">
        <v>0</v>
      </c>
      <c r="K52" s="1660">
        <v>0</v>
      </c>
      <c r="L52" s="1660">
        <v>0</v>
      </c>
      <c r="M52" s="1660">
        <v>0</v>
      </c>
      <c r="N52" s="1660">
        <v>0</v>
      </c>
      <c r="O52" s="1660">
        <v>0</v>
      </c>
      <c r="P52" s="1660">
        <v>0</v>
      </c>
      <c r="Q52" s="1660">
        <v>0</v>
      </c>
      <c r="R52" s="1660">
        <v>0</v>
      </c>
      <c r="S52" s="1660">
        <v>0</v>
      </c>
      <c r="T52" s="1660">
        <v>0</v>
      </c>
      <c r="U52" s="1660">
        <v>0</v>
      </c>
      <c r="V52" s="1660">
        <v>0</v>
      </c>
      <c r="W52" s="1660">
        <v>0</v>
      </c>
      <c r="X52" s="1660">
        <v>0</v>
      </c>
      <c r="Y52" s="1660">
        <v>0</v>
      </c>
      <c r="Z52" s="1660">
        <v>0</v>
      </c>
      <c r="AA52" s="1660">
        <v>0</v>
      </c>
      <c r="AB52" s="1660">
        <v>0</v>
      </c>
      <c r="AC52" s="1660">
        <v>0</v>
      </c>
      <c r="AD52" s="1660">
        <v>0</v>
      </c>
      <c r="AE52" s="1660">
        <v>0</v>
      </c>
      <c r="AF52" s="1660">
        <v>17776134.280000001</v>
      </c>
      <c r="AG52" s="1660">
        <v>0</v>
      </c>
      <c r="AH52" s="1660">
        <v>0</v>
      </c>
      <c r="AI52" s="1660">
        <v>0</v>
      </c>
      <c r="AJ52" s="1660">
        <v>0</v>
      </c>
      <c r="AK52" s="1660">
        <v>0</v>
      </c>
      <c r="AL52" s="1658">
        <v>0</v>
      </c>
      <c r="AM52" s="1658">
        <v>0</v>
      </c>
      <c r="AN52" s="1658">
        <v>0</v>
      </c>
      <c r="AO52" s="1711">
        <v>0</v>
      </c>
      <c r="AP52" s="1660"/>
      <c r="AQ52" s="432">
        <f t="shared" si="0"/>
        <v>21476134.280000001</v>
      </c>
    </row>
    <row r="53" spans="1:43">
      <c r="A53" s="300" t="s">
        <v>1228</v>
      </c>
      <c r="B53" s="1652"/>
      <c r="C53" s="304" t="s">
        <v>139</v>
      </c>
      <c r="D53" s="1658">
        <v>0</v>
      </c>
      <c r="E53" s="1658">
        <v>0</v>
      </c>
      <c r="F53" s="1658">
        <v>0</v>
      </c>
      <c r="G53" s="1659">
        <v>0</v>
      </c>
      <c r="H53" s="1660">
        <v>0</v>
      </c>
      <c r="I53" s="1660">
        <v>0</v>
      </c>
      <c r="J53" s="1660">
        <v>0</v>
      </c>
      <c r="K53" s="1660">
        <v>0</v>
      </c>
      <c r="L53" s="1660">
        <v>0</v>
      </c>
      <c r="M53" s="1660">
        <v>0</v>
      </c>
      <c r="N53" s="1660">
        <v>0</v>
      </c>
      <c r="O53" s="1660">
        <v>0</v>
      </c>
      <c r="P53" s="1660">
        <v>0</v>
      </c>
      <c r="Q53" s="1660">
        <v>0</v>
      </c>
      <c r="R53" s="1660">
        <v>0</v>
      </c>
      <c r="S53" s="1660">
        <v>0</v>
      </c>
      <c r="T53" s="1660">
        <v>0</v>
      </c>
      <c r="U53" s="1660">
        <v>0</v>
      </c>
      <c r="V53" s="1660">
        <v>0</v>
      </c>
      <c r="W53" s="1660">
        <v>0</v>
      </c>
      <c r="X53" s="1660">
        <v>0</v>
      </c>
      <c r="Y53" s="1660">
        <v>0</v>
      </c>
      <c r="Z53" s="1660">
        <v>0</v>
      </c>
      <c r="AA53" s="1660">
        <v>0</v>
      </c>
      <c r="AB53" s="1660">
        <v>0</v>
      </c>
      <c r="AC53" s="1660">
        <v>0</v>
      </c>
      <c r="AD53" s="1660">
        <v>0</v>
      </c>
      <c r="AE53" s="1660">
        <v>0</v>
      </c>
      <c r="AF53" s="1660">
        <v>0</v>
      </c>
      <c r="AG53" s="1660">
        <v>0</v>
      </c>
      <c r="AH53" s="1660">
        <v>72575353.396908149</v>
      </c>
      <c r="AI53" s="1660">
        <v>0</v>
      </c>
      <c r="AJ53" s="1660">
        <v>0</v>
      </c>
      <c r="AK53" s="1660">
        <v>0</v>
      </c>
      <c r="AL53" s="1658">
        <v>0</v>
      </c>
      <c r="AM53" s="1658">
        <v>0</v>
      </c>
      <c r="AN53" s="1658">
        <v>0</v>
      </c>
      <c r="AO53" s="1711">
        <v>0</v>
      </c>
      <c r="AP53" s="1660"/>
      <c r="AQ53" s="432">
        <f t="shared" si="0"/>
        <v>72575353.396908149</v>
      </c>
    </row>
    <row r="54" spans="1:43">
      <c r="A54" s="300" t="s">
        <v>1229</v>
      </c>
      <c r="B54" s="1652"/>
      <c r="C54" s="304" t="s">
        <v>140</v>
      </c>
      <c r="D54" s="1658">
        <v>0</v>
      </c>
      <c r="E54" s="1658">
        <v>0</v>
      </c>
      <c r="F54" s="1658">
        <v>0</v>
      </c>
      <c r="G54" s="1659">
        <v>0</v>
      </c>
      <c r="H54" s="1660">
        <v>0</v>
      </c>
      <c r="I54" s="1660">
        <v>0</v>
      </c>
      <c r="J54" s="1660">
        <v>0</v>
      </c>
      <c r="K54" s="1660">
        <v>0</v>
      </c>
      <c r="L54" s="1660">
        <v>0</v>
      </c>
      <c r="M54" s="1660">
        <v>0</v>
      </c>
      <c r="N54" s="1660">
        <v>0</v>
      </c>
      <c r="O54" s="1660">
        <v>0</v>
      </c>
      <c r="P54" s="1660">
        <v>0</v>
      </c>
      <c r="Q54" s="1660">
        <v>0</v>
      </c>
      <c r="R54" s="1660">
        <v>0</v>
      </c>
      <c r="S54" s="1660">
        <v>0</v>
      </c>
      <c r="T54" s="1660">
        <v>0</v>
      </c>
      <c r="U54" s="1660">
        <v>0</v>
      </c>
      <c r="V54" s="1660">
        <v>0</v>
      </c>
      <c r="W54" s="1660">
        <v>0</v>
      </c>
      <c r="X54" s="1660">
        <v>0</v>
      </c>
      <c r="Y54" s="1660">
        <v>0</v>
      </c>
      <c r="Z54" s="1660">
        <v>0</v>
      </c>
      <c r="AA54" s="1660">
        <v>0</v>
      </c>
      <c r="AB54" s="1660">
        <v>0</v>
      </c>
      <c r="AC54" s="1660">
        <v>0</v>
      </c>
      <c r="AD54" s="1660">
        <v>0</v>
      </c>
      <c r="AE54" s="1660">
        <v>0</v>
      </c>
      <c r="AF54" s="1660">
        <v>0</v>
      </c>
      <c r="AG54" s="1660">
        <v>0</v>
      </c>
      <c r="AH54" s="1660">
        <v>28131768.875966236</v>
      </c>
      <c r="AI54" s="1660">
        <v>0</v>
      </c>
      <c r="AJ54" s="1660">
        <v>0</v>
      </c>
      <c r="AK54" s="1660">
        <v>0</v>
      </c>
      <c r="AL54" s="1658">
        <v>0</v>
      </c>
      <c r="AM54" s="1658">
        <v>0</v>
      </c>
      <c r="AN54" s="1658">
        <v>0</v>
      </c>
      <c r="AO54" s="1711">
        <v>0</v>
      </c>
      <c r="AP54" s="1660"/>
      <c r="AQ54" s="432">
        <f t="shared" si="0"/>
        <v>28131768.875966236</v>
      </c>
    </row>
    <row r="55" spans="1:43">
      <c r="A55" s="300" t="s">
        <v>1230</v>
      </c>
      <c r="B55" s="1652" t="s">
        <v>1992</v>
      </c>
      <c r="C55" s="304" t="s">
        <v>141</v>
      </c>
      <c r="D55" s="1658">
        <v>0</v>
      </c>
      <c r="E55" s="1658">
        <v>0</v>
      </c>
      <c r="F55" s="1658">
        <v>0</v>
      </c>
      <c r="G55" s="1659">
        <v>0</v>
      </c>
      <c r="H55" s="1660">
        <v>0</v>
      </c>
      <c r="I55" s="1660">
        <v>0</v>
      </c>
      <c r="J55" s="1660">
        <v>0</v>
      </c>
      <c r="K55" s="1660">
        <v>0</v>
      </c>
      <c r="L55" s="1660">
        <v>0</v>
      </c>
      <c r="M55" s="1660">
        <v>0</v>
      </c>
      <c r="N55" s="1660">
        <v>0</v>
      </c>
      <c r="O55" s="1660">
        <v>0</v>
      </c>
      <c r="P55" s="1660">
        <v>0</v>
      </c>
      <c r="Q55" s="1660">
        <v>0</v>
      </c>
      <c r="R55" s="1660">
        <v>0</v>
      </c>
      <c r="S55" s="1660">
        <v>0</v>
      </c>
      <c r="T55" s="1660">
        <v>0</v>
      </c>
      <c r="U55" s="1660">
        <v>0</v>
      </c>
      <c r="V55" s="1660">
        <v>0</v>
      </c>
      <c r="W55" s="1660">
        <v>0</v>
      </c>
      <c r="X55" s="1660">
        <v>0</v>
      </c>
      <c r="Y55" s="1660">
        <v>0</v>
      </c>
      <c r="Z55" s="1660">
        <v>0</v>
      </c>
      <c r="AA55" s="1660">
        <v>0</v>
      </c>
      <c r="AB55" s="1660">
        <v>0</v>
      </c>
      <c r="AC55" s="1660">
        <v>0</v>
      </c>
      <c r="AD55" s="1660">
        <v>0</v>
      </c>
      <c r="AE55" s="1660">
        <v>0</v>
      </c>
      <c r="AF55" s="1660">
        <v>0</v>
      </c>
      <c r="AG55" s="1660">
        <v>0</v>
      </c>
      <c r="AH55" s="1660">
        <v>-14239040.280000001</v>
      </c>
      <c r="AI55" s="1660">
        <v>0</v>
      </c>
      <c r="AJ55" s="1660">
        <v>0</v>
      </c>
      <c r="AK55" s="1660">
        <v>0</v>
      </c>
      <c r="AL55" s="1658">
        <v>0</v>
      </c>
      <c r="AM55" s="1658">
        <v>0</v>
      </c>
      <c r="AN55" s="1658">
        <v>0</v>
      </c>
      <c r="AO55" s="1711">
        <v>0</v>
      </c>
      <c r="AP55" s="1660"/>
      <c r="AQ55" s="432">
        <f t="shared" si="0"/>
        <v>-14239040.280000001</v>
      </c>
    </row>
    <row r="56" spans="1:43">
      <c r="A56" s="300" t="s">
        <v>1231</v>
      </c>
      <c r="B56" s="1652"/>
      <c r="C56" s="304" t="s">
        <v>428</v>
      </c>
      <c r="D56" s="1658">
        <v>0</v>
      </c>
      <c r="E56" s="1658">
        <v>0</v>
      </c>
      <c r="F56" s="1658">
        <v>0</v>
      </c>
      <c r="G56" s="1659">
        <v>0</v>
      </c>
      <c r="H56" s="1660">
        <v>0</v>
      </c>
      <c r="I56" s="1660">
        <v>0</v>
      </c>
      <c r="J56" s="1660">
        <v>0</v>
      </c>
      <c r="K56" s="1660">
        <v>0</v>
      </c>
      <c r="L56" s="1660">
        <v>0</v>
      </c>
      <c r="M56" s="1660">
        <v>0</v>
      </c>
      <c r="N56" s="1660">
        <v>0</v>
      </c>
      <c r="O56" s="1660">
        <v>0</v>
      </c>
      <c r="P56" s="1660">
        <v>0</v>
      </c>
      <c r="Q56" s="1660">
        <v>0</v>
      </c>
      <c r="R56" s="1660">
        <v>0</v>
      </c>
      <c r="S56" s="1660">
        <v>0</v>
      </c>
      <c r="T56" s="1660">
        <v>0</v>
      </c>
      <c r="U56" s="1660">
        <v>0</v>
      </c>
      <c r="V56" s="1660">
        <v>0</v>
      </c>
      <c r="W56" s="1660">
        <v>0</v>
      </c>
      <c r="X56" s="1660">
        <v>0</v>
      </c>
      <c r="Y56" s="1660">
        <v>0</v>
      </c>
      <c r="Z56" s="1660">
        <v>0</v>
      </c>
      <c r="AA56" s="1660">
        <v>0</v>
      </c>
      <c r="AB56" s="1660">
        <v>0</v>
      </c>
      <c r="AC56" s="1660">
        <v>0</v>
      </c>
      <c r="AD56" s="1660">
        <v>0</v>
      </c>
      <c r="AE56" s="1660">
        <v>0</v>
      </c>
      <c r="AF56" s="1660">
        <v>0</v>
      </c>
      <c r="AG56" s="1660">
        <v>0</v>
      </c>
      <c r="AH56" s="1660">
        <v>30439458.986750524</v>
      </c>
      <c r="AI56" s="1660">
        <v>0</v>
      </c>
      <c r="AJ56" s="1660">
        <v>0</v>
      </c>
      <c r="AK56" s="1660">
        <v>0</v>
      </c>
      <c r="AL56" s="1658">
        <v>0</v>
      </c>
      <c r="AM56" s="1658">
        <v>0</v>
      </c>
      <c r="AN56" s="1658">
        <v>0</v>
      </c>
      <c r="AO56" s="1711">
        <v>0</v>
      </c>
      <c r="AP56" s="1660"/>
      <c r="AQ56" s="432">
        <f t="shared" si="0"/>
        <v>30439458.986750524</v>
      </c>
    </row>
    <row r="57" spans="1:43">
      <c r="A57" s="300" t="s">
        <v>1232</v>
      </c>
      <c r="B57" s="1652" t="s">
        <v>1993</v>
      </c>
      <c r="C57" s="304" t="s">
        <v>375</v>
      </c>
      <c r="D57" s="1658">
        <v>537493.01</v>
      </c>
      <c r="E57" s="1658">
        <v>1047217.4</v>
      </c>
      <c r="F57" s="1658">
        <v>1664694.58</v>
      </c>
      <c r="G57" s="1659">
        <v>0</v>
      </c>
      <c r="H57" s="1660">
        <v>0</v>
      </c>
      <c r="I57" s="1660">
        <v>0</v>
      </c>
      <c r="J57" s="1660">
        <v>0</v>
      </c>
      <c r="K57" s="1660">
        <v>0</v>
      </c>
      <c r="L57" s="1660">
        <v>0</v>
      </c>
      <c r="M57" s="1660">
        <v>71595.13</v>
      </c>
      <c r="N57" s="1660">
        <v>0</v>
      </c>
      <c r="O57" s="1660">
        <v>0</v>
      </c>
      <c r="P57" s="1660">
        <v>0</v>
      </c>
      <c r="Q57" s="1660">
        <v>0</v>
      </c>
      <c r="R57" s="1660">
        <v>0</v>
      </c>
      <c r="S57" s="1660">
        <v>0</v>
      </c>
      <c r="T57" s="1660">
        <v>0</v>
      </c>
      <c r="U57" s="1660">
        <v>0</v>
      </c>
      <c r="V57" s="1660">
        <v>1227427.1000000001</v>
      </c>
      <c r="W57" s="1660">
        <v>0</v>
      </c>
      <c r="X57" s="1660">
        <v>0</v>
      </c>
      <c r="Y57" s="1660">
        <v>0</v>
      </c>
      <c r="Z57" s="1660">
        <v>413070.8</v>
      </c>
      <c r="AA57" s="1660">
        <v>0</v>
      </c>
      <c r="AB57" s="1660">
        <v>0</v>
      </c>
      <c r="AC57" s="1660">
        <v>75403.070000000007</v>
      </c>
      <c r="AD57" s="1660">
        <v>0</v>
      </c>
      <c r="AE57" s="1660">
        <v>0</v>
      </c>
      <c r="AF57" s="1660">
        <v>0</v>
      </c>
      <c r="AG57" s="1660">
        <v>0</v>
      </c>
      <c r="AH57" s="1660">
        <v>612270.44802882744</v>
      </c>
      <c r="AI57" s="1660">
        <v>0</v>
      </c>
      <c r="AJ57" s="1660">
        <v>0</v>
      </c>
      <c r="AK57" s="1660">
        <v>0</v>
      </c>
      <c r="AL57" s="1658">
        <v>0</v>
      </c>
      <c r="AM57" s="1658">
        <v>0</v>
      </c>
      <c r="AN57" s="1658">
        <v>0</v>
      </c>
      <c r="AO57" s="1711">
        <v>0</v>
      </c>
      <c r="AP57" s="1660"/>
      <c r="AQ57" s="432">
        <f t="shared" si="0"/>
        <v>5649171.5380288279</v>
      </c>
    </row>
    <row r="58" spans="1:43">
      <c r="A58" s="300" t="s">
        <v>1233</v>
      </c>
      <c r="B58" s="1652"/>
      <c r="C58" s="304" t="s">
        <v>332</v>
      </c>
      <c r="D58" s="1658">
        <v>405960.68</v>
      </c>
      <c r="E58" s="1658">
        <v>475905.91</v>
      </c>
      <c r="F58" s="1658">
        <v>1431155.31</v>
      </c>
      <c r="G58" s="1659">
        <v>0</v>
      </c>
      <c r="H58" s="1660">
        <v>0</v>
      </c>
      <c r="I58" s="1660">
        <v>0</v>
      </c>
      <c r="J58" s="1660">
        <v>0</v>
      </c>
      <c r="K58" s="1660">
        <v>0</v>
      </c>
      <c r="L58" s="1660">
        <v>0</v>
      </c>
      <c r="M58" s="1660">
        <v>0</v>
      </c>
      <c r="N58" s="1660">
        <v>0</v>
      </c>
      <c r="O58" s="1660">
        <v>0</v>
      </c>
      <c r="P58" s="1660">
        <v>0</v>
      </c>
      <c r="Q58" s="1660">
        <v>0</v>
      </c>
      <c r="R58" s="1660">
        <v>0</v>
      </c>
      <c r="S58" s="1660">
        <v>0</v>
      </c>
      <c r="T58" s="1660">
        <v>0</v>
      </c>
      <c r="U58" s="1660">
        <v>0</v>
      </c>
      <c r="V58" s="1660">
        <v>87046.44</v>
      </c>
      <c r="W58" s="1660">
        <v>0</v>
      </c>
      <c r="X58" s="1660">
        <v>0</v>
      </c>
      <c r="Y58" s="1660">
        <v>0</v>
      </c>
      <c r="Z58" s="1660">
        <v>385481.41</v>
      </c>
      <c r="AA58" s="1660">
        <v>0</v>
      </c>
      <c r="AB58" s="1660">
        <v>0</v>
      </c>
      <c r="AC58" s="1660">
        <v>0</v>
      </c>
      <c r="AD58" s="1660">
        <v>0</v>
      </c>
      <c r="AE58" s="1660">
        <v>0</v>
      </c>
      <c r="AF58" s="1660">
        <v>0</v>
      </c>
      <c r="AG58" s="1660">
        <v>0</v>
      </c>
      <c r="AH58" s="1660">
        <v>856524.07842811989</v>
      </c>
      <c r="AI58" s="1660">
        <v>0</v>
      </c>
      <c r="AJ58" s="1660">
        <v>0</v>
      </c>
      <c r="AK58" s="1660">
        <v>0</v>
      </c>
      <c r="AL58" s="1658">
        <v>0</v>
      </c>
      <c r="AM58" s="1658">
        <v>0</v>
      </c>
      <c r="AN58" s="1658">
        <v>0</v>
      </c>
      <c r="AO58" s="1711">
        <v>0</v>
      </c>
      <c r="AP58" s="1660"/>
      <c r="AQ58" s="432">
        <f t="shared" si="0"/>
        <v>3642073.8284281199</v>
      </c>
    </row>
    <row r="59" spans="1:43">
      <c r="A59" s="300" t="s">
        <v>1234</v>
      </c>
      <c r="B59" s="1652" t="s">
        <v>1994</v>
      </c>
      <c r="C59" s="304" t="s">
        <v>739</v>
      </c>
      <c r="D59" s="1658">
        <v>0</v>
      </c>
      <c r="E59" s="1658">
        <v>0</v>
      </c>
      <c r="F59" s="1658">
        <v>0</v>
      </c>
      <c r="G59" s="1659">
        <v>0</v>
      </c>
      <c r="H59" s="1660">
        <v>0</v>
      </c>
      <c r="I59" s="1660">
        <v>0</v>
      </c>
      <c r="J59" s="1660">
        <v>0</v>
      </c>
      <c r="K59" s="1660">
        <v>0</v>
      </c>
      <c r="L59" s="1660">
        <v>0</v>
      </c>
      <c r="M59" s="1660">
        <v>0</v>
      </c>
      <c r="N59" s="1660">
        <v>0</v>
      </c>
      <c r="O59" s="1660">
        <v>0</v>
      </c>
      <c r="P59" s="1660">
        <v>0</v>
      </c>
      <c r="Q59" s="1660">
        <v>0</v>
      </c>
      <c r="R59" s="1660">
        <v>0</v>
      </c>
      <c r="S59" s="1660">
        <v>0</v>
      </c>
      <c r="T59" s="1660">
        <v>0</v>
      </c>
      <c r="U59" s="1660">
        <v>0</v>
      </c>
      <c r="V59" s="1660">
        <v>0</v>
      </c>
      <c r="W59" s="1660">
        <v>0</v>
      </c>
      <c r="X59" s="1660">
        <v>0</v>
      </c>
      <c r="Y59" s="1660">
        <v>0</v>
      </c>
      <c r="Z59" s="1660">
        <v>0</v>
      </c>
      <c r="AA59" s="1660">
        <v>0</v>
      </c>
      <c r="AB59" s="1660">
        <v>0</v>
      </c>
      <c r="AC59" s="1660">
        <v>0</v>
      </c>
      <c r="AD59" s="1660">
        <v>0</v>
      </c>
      <c r="AE59" s="1660">
        <v>0</v>
      </c>
      <c r="AF59" s="1660">
        <v>0</v>
      </c>
      <c r="AG59" s="1660">
        <v>0</v>
      </c>
      <c r="AH59" s="1660">
        <v>0</v>
      </c>
      <c r="AI59" s="1660">
        <v>0</v>
      </c>
      <c r="AJ59" s="1660">
        <v>0</v>
      </c>
      <c r="AK59" s="1660">
        <v>0</v>
      </c>
      <c r="AL59" s="1658">
        <v>0</v>
      </c>
      <c r="AM59" s="1658">
        <v>0</v>
      </c>
      <c r="AN59" s="1658">
        <v>0</v>
      </c>
      <c r="AO59" s="1711">
        <v>0</v>
      </c>
      <c r="AP59" s="1660"/>
      <c r="AQ59" s="432">
        <f t="shared" si="0"/>
        <v>0</v>
      </c>
    </row>
    <row r="60" spans="1:43">
      <c r="A60" s="300" t="s">
        <v>1235</v>
      </c>
      <c r="B60" s="1652"/>
      <c r="C60" s="304" t="s">
        <v>429</v>
      </c>
      <c r="D60" s="1658">
        <v>0</v>
      </c>
      <c r="E60" s="1658">
        <v>0</v>
      </c>
      <c r="F60" s="1658">
        <v>0</v>
      </c>
      <c r="G60" s="1659">
        <v>0</v>
      </c>
      <c r="H60" s="1660">
        <v>0</v>
      </c>
      <c r="I60" s="1660">
        <v>0</v>
      </c>
      <c r="J60" s="1660">
        <v>0</v>
      </c>
      <c r="K60" s="1660">
        <v>0</v>
      </c>
      <c r="L60" s="1660">
        <v>0</v>
      </c>
      <c r="M60" s="1660">
        <v>0</v>
      </c>
      <c r="N60" s="1660">
        <v>0</v>
      </c>
      <c r="O60" s="1660">
        <v>0</v>
      </c>
      <c r="P60" s="1660">
        <v>0</v>
      </c>
      <c r="Q60" s="1660">
        <v>0</v>
      </c>
      <c r="R60" s="1660">
        <v>0</v>
      </c>
      <c r="S60" s="1660">
        <v>0</v>
      </c>
      <c r="T60" s="1660">
        <v>0</v>
      </c>
      <c r="U60" s="1660">
        <v>0</v>
      </c>
      <c r="V60" s="1660">
        <v>0</v>
      </c>
      <c r="W60" s="1660">
        <v>0</v>
      </c>
      <c r="X60" s="1660">
        <v>0</v>
      </c>
      <c r="Y60" s="1660">
        <v>0</v>
      </c>
      <c r="Z60" s="1660">
        <v>0</v>
      </c>
      <c r="AA60" s="1660">
        <v>0</v>
      </c>
      <c r="AB60" s="1660">
        <v>0</v>
      </c>
      <c r="AC60" s="1660">
        <v>0</v>
      </c>
      <c r="AD60" s="1660">
        <v>0</v>
      </c>
      <c r="AE60" s="1660">
        <v>0</v>
      </c>
      <c r="AF60" s="1660">
        <v>0</v>
      </c>
      <c r="AG60" s="1660">
        <v>0</v>
      </c>
      <c r="AH60" s="1660">
        <v>27097724.102288321</v>
      </c>
      <c r="AI60" s="1660">
        <v>0</v>
      </c>
      <c r="AJ60" s="1660">
        <v>0</v>
      </c>
      <c r="AK60" s="1660">
        <v>0</v>
      </c>
      <c r="AL60" s="1658">
        <v>0</v>
      </c>
      <c r="AM60" s="1658">
        <v>0</v>
      </c>
      <c r="AN60" s="1658">
        <v>0</v>
      </c>
      <c r="AO60" s="1711">
        <v>0</v>
      </c>
      <c r="AP60" s="1660"/>
      <c r="AQ60" s="432">
        <f t="shared" si="0"/>
        <v>27097724.102288321</v>
      </c>
    </row>
    <row r="61" spans="1:43">
      <c r="A61" s="300" t="s">
        <v>1236</v>
      </c>
      <c r="B61" s="1652" t="s">
        <v>1995</v>
      </c>
      <c r="C61" s="304" t="s">
        <v>430</v>
      </c>
      <c r="D61" s="1658">
        <v>1367264.98</v>
      </c>
      <c r="E61" s="1658">
        <v>1360004.38</v>
      </c>
      <c r="F61" s="1658">
        <v>1744076.39</v>
      </c>
      <c r="G61" s="1659">
        <v>0</v>
      </c>
      <c r="H61" s="1660">
        <v>0</v>
      </c>
      <c r="I61" s="1660">
        <v>0</v>
      </c>
      <c r="J61" s="1660">
        <v>0</v>
      </c>
      <c r="K61" s="1660">
        <v>0</v>
      </c>
      <c r="L61" s="1660">
        <v>0</v>
      </c>
      <c r="M61" s="1660">
        <v>0</v>
      </c>
      <c r="N61" s="1660">
        <v>0</v>
      </c>
      <c r="O61" s="1660">
        <v>0</v>
      </c>
      <c r="P61" s="1660">
        <v>0</v>
      </c>
      <c r="Q61" s="1660">
        <v>0</v>
      </c>
      <c r="R61" s="1660">
        <v>0</v>
      </c>
      <c r="S61" s="1660">
        <v>0</v>
      </c>
      <c r="T61" s="1660">
        <v>0</v>
      </c>
      <c r="U61" s="1660">
        <v>0</v>
      </c>
      <c r="V61" s="1660">
        <v>0</v>
      </c>
      <c r="W61" s="1660">
        <v>0</v>
      </c>
      <c r="X61" s="1660">
        <v>0</v>
      </c>
      <c r="Y61" s="1660">
        <v>0</v>
      </c>
      <c r="Z61" s="1660">
        <v>0</v>
      </c>
      <c r="AA61" s="1660">
        <v>0</v>
      </c>
      <c r="AB61" s="1660">
        <v>0</v>
      </c>
      <c r="AC61" s="1660">
        <v>0</v>
      </c>
      <c r="AD61" s="1660">
        <v>0</v>
      </c>
      <c r="AE61" s="1660">
        <v>0</v>
      </c>
      <c r="AF61" s="1660">
        <v>0</v>
      </c>
      <c r="AG61" s="1660">
        <v>0</v>
      </c>
      <c r="AH61" s="1660">
        <v>0</v>
      </c>
      <c r="AI61" s="1660">
        <v>0</v>
      </c>
      <c r="AJ61" s="1660">
        <v>0</v>
      </c>
      <c r="AK61" s="1660">
        <v>0</v>
      </c>
      <c r="AL61" s="1658">
        <v>0</v>
      </c>
      <c r="AM61" s="1658">
        <v>0</v>
      </c>
      <c r="AN61" s="1658">
        <v>0</v>
      </c>
      <c r="AO61" s="1711">
        <v>0</v>
      </c>
      <c r="AP61" s="1660"/>
      <c r="AQ61" s="432">
        <f t="shared" si="0"/>
        <v>4471345.75</v>
      </c>
    </row>
    <row r="62" spans="1:43">
      <c r="A62" s="300" t="s">
        <v>1237</v>
      </c>
      <c r="B62" s="1652" t="s">
        <v>1996</v>
      </c>
      <c r="C62" s="304" t="s">
        <v>142</v>
      </c>
      <c r="D62" s="1658">
        <v>-14803.009999999995</v>
      </c>
      <c r="E62" s="1658">
        <v>-70869.260000000009</v>
      </c>
      <c r="F62" s="1658">
        <v>22388.440000000002</v>
      </c>
      <c r="G62" s="1659">
        <v>9926.7099999999991</v>
      </c>
      <c r="H62" s="1660">
        <v>0</v>
      </c>
      <c r="I62" s="1660">
        <v>0</v>
      </c>
      <c r="J62" s="1660">
        <v>0</v>
      </c>
      <c r="K62" s="1660">
        <v>0</v>
      </c>
      <c r="L62" s="1660">
        <v>0</v>
      </c>
      <c r="M62" s="1660">
        <v>0</v>
      </c>
      <c r="N62" s="1660">
        <v>0</v>
      </c>
      <c r="O62" s="1660">
        <v>0</v>
      </c>
      <c r="P62" s="1660">
        <v>0</v>
      </c>
      <c r="Q62" s="1660">
        <v>0</v>
      </c>
      <c r="R62" s="1660">
        <v>0</v>
      </c>
      <c r="S62" s="1660">
        <v>0</v>
      </c>
      <c r="T62" s="1660">
        <v>0</v>
      </c>
      <c r="U62" s="1660">
        <v>0</v>
      </c>
      <c r="V62" s="1660">
        <v>2032.35</v>
      </c>
      <c r="W62" s="1660">
        <v>0</v>
      </c>
      <c r="X62" s="1660">
        <v>0</v>
      </c>
      <c r="Y62" s="1660">
        <v>0</v>
      </c>
      <c r="Z62" s="1660">
        <v>-1071.73</v>
      </c>
      <c r="AA62" s="1660">
        <v>0</v>
      </c>
      <c r="AB62" s="1660">
        <v>0</v>
      </c>
      <c r="AC62" s="1660">
        <v>0</v>
      </c>
      <c r="AD62" s="1660">
        <v>0</v>
      </c>
      <c r="AE62" s="1660">
        <v>0</v>
      </c>
      <c r="AF62" s="1660">
        <v>0</v>
      </c>
      <c r="AG62" s="1660">
        <v>850078.08</v>
      </c>
      <c r="AH62" s="1660">
        <v>0</v>
      </c>
      <c r="AI62" s="1660">
        <v>0</v>
      </c>
      <c r="AJ62" s="1660">
        <v>0</v>
      </c>
      <c r="AK62" s="1660">
        <v>0</v>
      </c>
      <c r="AL62" s="1658">
        <v>0</v>
      </c>
      <c r="AM62" s="1658">
        <v>0</v>
      </c>
      <c r="AN62" s="1658">
        <v>0</v>
      </c>
      <c r="AO62" s="1711">
        <v>0</v>
      </c>
      <c r="AP62" s="1660"/>
      <c r="AQ62" s="432">
        <f t="shared" si="0"/>
        <v>797681.58</v>
      </c>
    </row>
    <row r="63" spans="1:43">
      <c r="A63" s="300" t="s">
        <v>1238</v>
      </c>
      <c r="B63" s="1652"/>
      <c r="C63" s="304" t="s">
        <v>144</v>
      </c>
      <c r="D63" s="1658">
        <v>0</v>
      </c>
      <c r="E63" s="1658">
        <v>0</v>
      </c>
      <c r="F63" s="1658">
        <v>0</v>
      </c>
      <c r="G63" s="1658">
        <v>0</v>
      </c>
      <c r="H63" s="1658">
        <v>0</v>
      </c>
      <c r="I63" s="1658">
        <v>0</v>
      </c>
      <c r="J63" s="1658">
        <v>0</v>
      </c>
      <c r="K63" s="1658">
        <v>0</v>
      </c>
      <c r="L63" s="1658">
        <v>0</v>
      </c>
      <c r="M63" s="1658">
        <v>0</v>
      </c>
      <c r="N63" s="1658">
        <v>0</v>
      </c>
      <c r="O63" s="1658">
        <v>0</v>
      </c>
      <c r="P63" s="1658">
        <v>0</v>
      </c>
      <c r="Q63" s="1658">
        <v>0</v>
      </c>
      <c r="R63" s="1658">
        <v>0</v>
      </c>
      <c r="S63" s="1658">
        <v>0</v>
      </c>
      <c r="T63" s="1658">
        <v>0</v>
      </c>
      <c r="U63" s="1658">
        <v>0</v>
      </c>
      <c r="V63" s="1658">
        <v>0</v>
      </c>
      <c r="W63" s="1658">
        <v>0</v>
      </c>
      <c r="X63" s="1658">
        <v>0</v>
      </c>
      <c r="Y63" s="1658">
        <v>0</v>
      </c>
      <c r="Z63" s="1658">
        <v>0</v>
      </c>
      <c r="AA63" s="1658">
        <v>0</v>
      </c>
      <c r="AB63" s="1658">
        <v>0</v>
      </c>
      <c r="AC63" s="1658">
        <v>0</v>
      </c>
      <c r="AD63" s="1658">
        <v>0</v>
      </c>
      <c r="AE63" s="1658">
        <v>0</v>
      </c>
      <c r="AF63" s="1658">
        <v>0</v>
      </c>
      <c r="AG63" s="1658">
        <v>0</v>
      </c>
      <c r="AH63" s="1658">
        <v>854718.10223599686</v>
      </c>
      <c r="AI63" s="1660">
        <v>0</v>
      </c>
      <c r="AJ63" s="1658">
        <v>0</v>
      </c>
      <c r="AK63" s="1658">
        <v>0</v>
      </c>
      <c r="AL63" s="1658">
        <v>0</v>
      </c>
      <c r="AM63" s="1658">
        <v>0</v>
      </c>
      <c r="AN63" s="1658">
        <v>0</v>
      </c>
      <c r="AO63" s="1711">
        <v>0</v>
      </c>
      <c r="AP63" s="1660"/>
      <c r="AQ63" s="432">
        <f t="shared" si="0"/>
        <v>854718.10223599686</v>
      </c>
    </row>
    <row r="64" spans="1:43">
      <c r="A64" s="300" t="s">
        <v>1239</v>
      </c>
      <c r="B64" s="1652" t="s">
        <v>1997</v>
      </c>
      <c r="C64" s="304" t="s">
        <v>143</v>
      </c>
      <c r="D64" s="1658">
        <v>0</v>
      </c>
      <c r="E64" s="1658">
        <v>0</v>
      </c>
      <c r="F64" s="1658">
        <v>0</v>
      </c>
      <c r="G64" s="1658">
        <v>0</v>
      </c>
      <c r="H64" s="1658">
        <v>0</v>
      </c>
      <c r="I64" s="1658">
        <v>0</v>
      </c>
      <c r="J64" s="1658">
        <v>0</v>
      </c>
      <c r="K64" s="1658">
        <v>0</v>
      </c>
      <c r="L64" s="1658">
        <v>0</v>
      </c>
      <c r="M64" s="1658">
        <v>0</v>
      </c>
      <c r="N64" s="1658">
        <v>0</v>
      </c>
      <c r="O64" s="1658">
        <v>0</v>
      </c>
      <c r="P64" s="1658">
        <v>0</v>
      </c>
      <c r="Q64" s="1658">
        <v>0</v>
      </c>
      <c r="R64" s="1658">
        <v>0</v>
      </c>
      <c r="S64" s="1658">
        <v>0</v>
      </c>
      <c r="T64" s="1658">
        <v>0</v>
      </c>
      <c r="U64" s="1658">
        <v>0</v>
      </c>
      <c r="V64" s="1658">
        <v>0</v>
      </c>
      <c r="W64" s="1658">
        <v>0</v>
      </c>
      <c r="X64" s="1658">
        <v>0</v>
      </c>
      <c r="Y64" s="1658">
        <v>0</v>
      </c>
      <c r="Z64" s="1658">
        <v>0</v>
      </c>
      <c r="AA64" s="1658">
        <v>0</v>
      </c>
      <c r="AB64" s="1658">
        <v>0</v>
      </c>
      <c r="AC64" s="1658">
        <v>0</v>
      </c>
      <c r="AD64" s="1658">
        <v>0</v>
      </c>
      <c r="AE64" s="1658">
        <v>0</v>
      </c>
      <c r="AF64" s="1658">
        <v>0</v>
      </c>
      <c r="AG64" s="1658">
        <v>0</v>
      </c>
      <c r="AH64" s="1658">
        <v>8774249.75</v>
      </c>
      <c r="AI64" s="1660">
        <v>0</v>
      </c>
      <c r="AJ64" s="1658">
        <v>0</v>
      </c>
      <c r="AK64" s="1658">
        <v>0</v>
      </c>
      <c r="AL64" s="1658">
        <v>0</v>
      </c>
      <c r="AM64" s="1658">
        <v>0</v>
      </c>
      <c r="AN64" s="1658">
        <v>0</v>
      </c>
      <c r="AO64" s="1711">
        <v>0</v>
      </c>
      <c r="AP64" s="1660"/>
      <c r="AQ64" s="432">
        <f t="shared" si="0"/>
        <v>8774249.75</v>
      </c>
    </row>
    <row r="65" spans="1:44">
      <c r="A65" s="300" t="s">
        <v>1240</v>
      </c>
      <c r="B65" s="1652"/>
      <c r="C65" s="304" t="s">
        <v>605</v>
      </c>
      <c r="D65" s="1658">
        <v>0</v>
      </c>
      <c r="E65" s="1658">
        <v>0</v>
      </c>
      <c r="F65" s="1658">
        <v>0</v>
      </c>
      <c r="G65" s="1658">
        <v>0</v>
      </c>
      <c r="H65" s="1658">
        <v>0</v>
      </c>
      <c r="I65" s="1658">
        <v>0</v>
      </c>
      <c r="J65" s="1658">
        <v>0</v>
      </c>
      <c r="K65" s="1658">
        <v>0</v>
      </c>
      <c r="L65" s="1658">
        <v>0</v>
      </c>
      <c r="M65" s="1658">
        <v>0</v>
      </c>
      <c r="N65" s="1658">
        <v>0</v>
      </c>
      <c r="O65" s="1658">
        <v>0</v>
      </c>
      <c r="P65" s="1658">
        <v>0</v>
      </c>
      <c r="Q65" s="1658">
        <v>0</v>
      </c>
      <c r="R65" s="1658">
        <v>0</v>
      </c>
      <c r="S65" s="1658">
        <v>0</v>
      </c>
      <c r="T65" s="1658">
        <v>0</v>
      </c>
      <c r="U65" s="1658">
        <v>0</v>
      </c>
      <c r="V65" s="1658">
        <v>0</v>
      </c>
      <c r="W65" s="1658">
        <v>0</v>
      </c>
      <c r="X65" s="1658">
        <v>0</v>
      </c>
      <c r="Y65" s="1658">
        <v>0</v>
      </c>
      <c r="Z65" s="1658">
        <v>0</v>
      </c>
      <c r="AA65" s="1658">
        <v>0</v>
      </c>
      <c r="AB65" s="1658">
        <v>0</v>
      </c>
      <c r="AC65" s="1658">
        <v>0</v>
      </c>
      <c r="AD65" s="1658">
        <v>0</v>
      </c>
      <c r="AE65" s="1658">
        <v>0</v>
      </c>
      <c r="AF65" s="1658">
        <v>0</v>
      </c>
      <c r="AG65" s="1658">
        <v>0</v>
      </c>
      <c r="AH65" s="1658">
        <v>239551.59223703726</v>
      </c>
      <c r="AI65" s="1660">
        <v>0</v>
      </c>
      <c r="AJ65" s="1658">
        <v>0</v>
      </c>
      <c r="AK65" s="1658">
        <v>0</v>
      </c>
      <c r="AL65" s="1658">
        <v>0</v>
      </c>
      <c r="AM65" s="1658">
        <v>0</v>
      </c>
      <c r="AN65" s="1658">
        <v>0</v>
      </c>
      <c r="AO65" s="1711">
        <v>0</v>
      </c>
      <c r="AP65" s="1660"/>
      <c r="AQ65" s="432">
        <f t="shared" si="0"/>
        <v>239551.59223703726</v>
      </c>
    </row>
    <row r="66" spans="1:44">
      <c r="A66" s="300" t="s">
        <v>1241</v>
      </c>
      <c r="B66" s="1652" t="s">
        <v>1998</v>
      </c>
      <c r="C66" s="304" t="s">
        <v>431</v>
      </c>
      <c r="D66" s="1658">
        <v>0</v>
      </c>
      <c r="E66" s="1658">
        <v>0</v>
      </c>
      <c r="F66" s="1658">
        <v>0</v>
      </c>
      <c r="G66" s="1658">
        <v>0</v>
      </c>
      <c r="H66" s="1658">
        <v>0</v>
      </c>
      <c r="I66" s="1658">
        <v>1679.5500000000002</v>
      </c>
      <c r="J66" s="1658">
        <v>0</v>
      </c>
      <c r="K66" s="1658">
        <v>0</v>
      </c>
      <c r="L66" s="1658">
        <v>0</v>
      </c>
      <c r="M66" s="1658">
        <v>0</v>
      </c>
      <c r="N66" s="1658">
        <v>0</v>
      </c>
      <c r="O66" s="1658">
        <v>0</v>
      </c>
      <c r="P66" s="1658">
        <v>0</v>
      </c>
      <c r="Q66" s="1658">
        <v>0</v>
      </c>
      <c r="R66" s="1658">
        <v>0</v>
      </c>
      <c r="S66" s="1658">
        <v>0</v>
      </c>
      <c r="T66" s="1658">
        <v>0</v>
      </c>
      <c r="U66" s="1658">
        <v>0</v>
      </c>
      <c r="V66" s="1658">
        <v>0</v>
      </c>
      <c r="W66" s="1658">
        <v>0</v>
      </c>
      <c r="X66" s="1658">
        <v>0</v>
      </c>
      <c r="Y66" s="1658">
        <v>0</v>
      </c>
      <c r="Z66" s="1658">
        <v>0</v>
      </c>
      <c r="AA66" s="1658">
        <v>0</v>
      </c>
      <c r="AB66" s="1658">
        <v>0</v>
      </c>
      <c r="AC66" s="1658">
        <v>0</v>
      </c>
      <c r="AD66" s="1658">
        <v>0</v>
      </c>
      <c r="AE66" s="1658">
        <v>0</v>
      </c>
      <c r="AF66" s="1658">
        <v>0</v>
      </c>
      <c r="AG66" s="1658">
        <v>0</v>
      </c>
      <c r="AH66" s="1658">
        <v>5885565.4771568049</v>
      </c>
      <c r="AI66" s="1660">
        <v>0</v>
      </c>
      <c r="AJ66" s="1658">
        <v>0</v>
      </c>
      <c r="AK66" s="1658">
        <v>0</v>
      </c>
      <c r="AL66" s="1658">
        <v>0</v>
      </c>
      <c r="AM66" s="1658">
        <v>0</v>
      </c>
      <c r="AN66" s="1658">
        <v>0</v>
      </c>
      <c r="AO66" s="1711">
        <v>0</v>
      </c>
      <c r="AP66" s="1660"/>
      <c r="AQ66" s="432">
        <f t="shared" si="0"/>
        <v>5887245.0271568047</v>
      </c>
    </row>
    <row r="67" spans="1:44">
      <c r="A67" s="300" t="s">
        <v>1242</v>
      </c>
      <c r="B67" s="1652" t="s">
        <v>1999</v>
      </c>
      <c r="C67" s="304" t="s">
        <v>432</v>
      </c>
      <c r="D67" s="1658">
        <v>447062.23</v>
      </c>
      <c r="E67" s="1658">
        <v>0</v>
      </c>
      <c r="F67" s="1658">
        <v>0</v>
      </c>
      <c r="G67" s="1658">
        <v>0</v>
      </c>
      <c r="H67" s="1658">
        <v>0</v>
      </c>
      <c r="I67" s="1658">
        <v>0</v>
      </c>
      <c r="J67" s="1658">
        <v>0</v>
      </c>
      <c r="K67" s="1658">
        <v>0</v>
      </c>
      <c r="L67" s="1658">
        <v>0</v>
      </c>
      <c r="M67" s="1658">
        <v>0</v>
      </c>
      <c r="N67" s="1658">
        <v>0</v>
      </c>
      <c r="O67" s="1658">
        <v>0</v>
      </c>
      <c r="P67" s="1658">
        <v>0</v>
      </c>
      <c r="Q67" s="1658">
        <v>0</v>
      </c>
      <c r="R67" s="1658">
        <v>0</v>
      </c>
      <c r="S67" s="1658">
        <v>0</v>
      </c>
      <c r="T67" s="1658">
        <v>0</v>
      </c>
      <c r="U67" s="1658">
        <v>0</v>
      </c>
      <c r="V67" s="1658">
        <v>0</v>
      </c>
      <c r="W67" s="1658">
        <v>0</v>
      </c>
      <c r="X67" s="1658">
        <v>0</v>
      </c>
      <c r="Y67" s="1658">
        <v>0</v>
      </c>
      <c r="Z67" s="1658">
        <v>0</v>
      </c>
      <c r="AA67" s="1658">
        <v>0</v>
      </c>
      <c r="AB67" s="1658">
        <v>0</v>
      </c>
      <c r="AC67" s="1658">
        <v>0</v>
      </c>
      <c r="AD67" s="1658">
        <v>0</v>
      </c>
      <c r="AE67" s="1658">
        <v>0</v>
      </c>
      <c r="AF67" s="1658">
        <v>0</v>
      </c>
      <c r="AG67" s="1658">
        <v>0</v>
      </c>
      <c r="AH67" s="1658">
        <v>5114301.1399999997</v>
      </c>
      <c r="AI67" s="1660">
        <v>0</v>
      </c>
      <c r="AJ67" s="1658">
        <v>0</v>
      </c>
      <c r="AK67" s="1658">
        <v>0</v>
      </c>
      <c r="AL67" s="1658">
        <v>0</v>
      </c>
      <c r="AM67" s="1658">
        <v>0</v>
      </c>
      <c r="AN67" s="1658">
        <v>0</v>
      </c>
      <c r="AO67" s="1711">
        <v>0</v>
      </c>
      <c r="AP67" s="1660"/>
      <c r="AQ67" s="432">
        <f t="shared" si="0"/>
        <v>5561363.3699999992</v>
      </c>
    </row>
    <row r="68" spans="1:44">
      <c r="A68" s="300" t="s">
        <v>1243</v>
      </c>
      <c r="B68" s="1653"/>
      <c r="C68" s="1669" t="s">
        <v>2027</v>
      </c>
      <c r="D68" s="1660">
        <v>0</v>
      </c>
      <c r="E68" s="1660">
        <v>0</v>
      </c>
      <c r="F68" s="1660">
        <v>0</v>
      </c>
      <c r="G68" s="1660">
        <v>0</v>
      </c>
      <c r="H68" s="1660">
        <v>0</v>
      </c>
      <c r="I68" s="1660">
        <v>0</v>
      </c>
      <c r="J68" s="1660">
        <v>0</v>
      </c>
      <c r="K68" s="1660">
        <v>0</v>
      </c>
      <c r="L68" s="1660">
        <v>0</v>
      </c>
      <c r="M68" s="1660">
        <v>0</v>
      </c>
      <c r="N68" s="1660">
        <v>2131976</v>
      </c>
      <c r="O68" s="1660">
        <v>0</v>
      </c>
      <c r="P68" s="1660">
        <v>0</v>
      </c>
      <c r="Q68" s="1660">
        <v>0</v>
      </c>
      <c r="R68" s="1660">
        <v>0</v>
      </c>
      <c r="S68" s="1660">
        <v>0</v>
      </c>
      <c r="T68" s="1660">
        <v>0</v>
      </c>
      <c r="U68" s="1660">
        <v>0</v>
      </c>
      <c r="V68" s="1660">
        <v>0</v>
      </c>
      <c r="W68" s="1660">
        <v>0</v>
      </c>
      <c r="X68" s="1660">
        <v>0</v>
      </c>
      <c r="Y68" s="1660">
        <v>0</v>
      </c>
      <c r="Z68" s="1660">
        <v>0</v>
      </c>
      <c r="AA68" s="1660">
        <v>0</v>
      </c>
      <c r="AB68" s="1660">
        <v>0</v>
      </c>
      <c r="AC68" s="1660">
        <v>0</v>
      </c>
      <c r="AD68" s="1660">
        <v>0</v>
      </c>
      <c r="AE68" s="1660">
        <v>0</v>
      </c>
      <c r="AF68" s="1660">
        <v>0</v>
      </c>
      <c r="AG68" s="1660">
        <v>0</v>
      </c>
      <c r="AH68" s="1660">
        <v>-65520.809999999969</v>
      </c>
      <c r="AI68" s="1660">
        <v>0</v>
      </c>
      <c r="AJ68" s="1660">
        <v>0</v>
      </c>
      <c r="AK68" s="1660">
        <v>0</v>
      </c>
      <c r="AL68" s="1660">
        <v>0</v>
      </c>
      <c r="AM68" s="1660">
        <v>0</v>
      </c>
      <c r="AN68" s="1660">
        <v>0</v>
      </c>
      <c r="AO68" s="1712">
        <v>0</v>
      </c>
      <c r="AP68" s="1660"/>
      <c r="AQ68" s="432">
        <f t="shared" si="0"/>
        <v>2066455.19</v>
      </c>
    </row>
    <row r="69" spans="1:44" s="1754" customFormat="1">
      <c r="A69" s="1748" t="s">
        <v>2043</v>
      </c>
      <c r="B69" s="1749" t="s">
        <v>2039</v>
      </c>
      <c r="C69" s="1750" t="s">
        <v>2040</v>
      </c>
      <c r="D69" s="1711">
        <v>0</v>
      </c>
      <c r="E69" s="1711">
        <v>0</v>
      </c>
      <c r="F69" s="1711">
        <v>0</v>
      </c>
      <c r="G69" s="1751">
        <v>0</v>
      </c>
      <c r="H69" s="1712">
        <v>0</v>
      </c>
      <c r="I69" s="1712">
        <v>0</v>
      </c>
      <c r="J69" s="1712">
        <v>0</v>
      </c>
      <c r="K69" s="1712">
        <v>0</v>
      </c>
      <c r="L69" s="1712">
        <v>0</v>
      </c>
      <c r="M69" s="1712">
        <v>0</v>
      </c>
      <c r="N69" s="1712">
        <v>0</v>
      </c>
      <c r="O69" s="1712">
        <v>0</v>
      </c>
      <c r="P69" s="1712">
        <v>0</v>
      </c>
      <c r="Q69" s="1712">
        <v>0</v>
      </c>
      <c r="R69" s="1712">
        <v>0</v>
      </c>
      <c r="S69" s="1712">
        <v>0</v>
      </c>
      <c r="T69" s="1712">
        <v>0</v>
      </c>
      <c r="U69" s="1712">
        <v>0</v>
      </c>
      <c r="V69" s="1712">
        <v>0</v>
      </c>
      <c r="W69" s="1712">
        <v>0</v>
      </c>
      <c r="X69" s="1712">
        <v>0</v>
      </c>
      <c r="Y69" s="1712">
        <v>0</v>
      </c>
      <c r="Z69" s="1712">
        <v>0</v>
      </c>
      <c r="AA69" s="1712">
        <v>0</v>
      </c>
      <c r="AB69" s="1712">
        <v>0</v>
      </c>
      <c r="AC69" s="1712">
        <v>0</v>
      </c>
      <c r="AD69" s="1712">
        <v>0</v>
      </c>
      <c r="AE69" s="1712">
        <v>0</v>
      </c>
      <c r="AF69" s="1712">
        <v>0</v>
      </c>
      <c r="AG69" s="1712">
        <v>0</v>
      </c>
      <c r="AH69" s="1712">
        <v>0</v>
      </c>
      <c r="AI69" s="1712">
        <v>0</v>
      </c>
      <c r="AJ69" s="1712">
        <v>0</v>
      </c>
      <c r="AK69" s="1712">
        <v>0</v>
      </c>
      <c r="AL69" s="1711">
        <v>0</v>
      </c>
      <c r="AM69" s="1711">
        <v>0</v>
      </c>
      <c r="AN69" s="1711">
        <v>0</v>
      </c>
      <c r="AO69" s="1711">
        <v>188428.1</v>
      </c>
      <c r="AP69" s="1712"/>
      <c r="AQ69" s="1752">
        <f t="shared" si="0"/>
        <v>188428.1</v>
      </c>
      <c r="AR69" s="1753"/>
    </row>
    <row r="70" spans="1:44" s="1754" customFormat="1">
      <c r="A70" s="1748"/>
      <c r="B70" s="1755" t="s">
        <v>2030</v>
      </c>
      <c r="C70" s="1750" t="s">
        <v>2031</v>
      </c>
      <c r="D70" s="1711">
        <v>0</v>
      </c>
      <c r="E70" s="1711">
        <v>0</v>
      </c>
      <c r="F70" s="1711">
        <v>0</v>
      </c>
      <c r="G70" s="1751">
        <v>0</v>
      </c>
      <c r="H70" s="1712">
        <v>0</v>
      </c>
      <c r="I70" s="1712">
        <v>0</v>
      </c>
      <c r="J70" s="1712">
        <v>0</v>
      </c>
      <c r="K70" s="1712">
        <v>0</v>
      </c>
      <c r="L70" s="1712">
        <v>0</v>
      </c>
      <c r="M70" s="1712">
        <v>0</v>
      </c>
      <c r="N70" s="1712">
        <v>0</v>
      </c>
      <c r="O70" s="1712">
        <v>0</v>
      </c>
      <c r="P70" s="1712">
        <v>0</v>
      </c>
      <c r="Q70" s="1712">
        <v>0</v>
      </c>
      <c r="R70" s="1712">
        <v>0</v>
      </c>
      <c r="S70" s="1712">
        <v>0</v>
      </c>
      <c r="T70" s="1712">
        <v>0</v>
      </c>
      <c r="U70" s="1712">
        <v>0</v>
      </c>
      <c r="V70" s="1712">
        <v>0</v>
      </c>
      <c r="W70" s="1712">
        <v>0</v>
      </c>
      <c r="X70" s="1712">
        <v>0</v>
      </c>
      <c r="Y70" s="1712">
        <v>0</v>
      </c>
      <c r="Z70" s="1712">
        <v>0</v>
      </c>
      <c r="AA70" s="1712">
        <v>0</v>
      </c>
      <c r="AB70" s="1712">
        <v>0</v>
      </c>
      <c r="AC70" s="1712">
        <v>0</v>
      </c>
      <c r="AD70" s="1712">
        <v>0</v>
      </c>
      <c r="AE70" s="1712">
        <v>0</v>
      </c>
      <c r="AF70" s="1712">
        <v>0</v>
      </c>
      <c r="AG70" s="1712">
        <v>-4412581.63</v>
      </c>
      <c r="AH70" s="1712">
        <v>0</v>
      </c>
      <c r="AI70" s="1712">
        <v>0</v>
      </c>
      <c r="AJ70" s="1712">
        <v>0</v>
      </c>
      <c r="AK70" s="1712">
        <v>0</v>
      </c>
      <c r="AL70" s="1711">
        <v>0</v>
      </c>
      <c r="AM70" s="1711">
        <v>44641161.210000001</v>
      </c>
      <c r="AN70" s="1711">
        <v>101101417.66</v>
      </c>
      <c r="AO70" s="1711">
        <v>0</v>
      </c>
      <c r="AP70" s="1712"/>
      <c r="AQ70" s="1756">
        <f>SUM(D70:AP70)</f>
        <v>141329997.24000001</v>
      </c>
      <c r="AR70" s="1753"/>
    </row>
    <row r="71" spans="1:44">
      <c r="A71" s="300"/>
      <c r="B71" s="1653" t="s">
        <v>2030</v>
      </c>
      <c r="C71" s="1669" t="s">
        <v>2034</v>
      </c>
      <c r="D71" s="1660"/>
      <c r="E71" s="1660"/>
      <c r="F71" s="1660"/>
      <c r="G71" s="1660"/>
      <c r="H71" s="1660"/>
      <c r="I71" s="1660"/>
      <c r="J71" s="1660"/>
      <c r="K71" s="1660"/>
      <c r="L71" s="1660"/>
      <c r="M71" s="1660"/>
      <c r="N71" s="1660"/>
      <c r="O71" s="1660"/>
      <c r="P71" s="1660"/>
      <c r="Q71" s="1660"/>
      <c r="R71" s="1660"/>
      <c r="S71" s="1660"/>
      <c r="T71" s="1660"/>
      <c r="U71" s="1660"/>
      <c r="V71" s="1660"/>
      <c r="W71" s="1660"/>
      <c r="X71" s="1660"/>
      <c r="Y71" s="1660"/>
      <c r="Z71" s="1660"/>
      <c r="AA71" s="1660"/>
      <c r="AB71" s="1660"/>
      <c r="AC71" s="1660"/>
      <c r="AD71" s="1660"/>
      <c r="AE71" s="1660"/>
      <c r="AF71" s="1660"/>
      <c r="AG71" s="1660"/>
      <c r="AH71" s="1660"/>
      <c r="AI71" s="1660"/>
      <c r="AJ71" s="1660"/>
      <c r="AK71" s="1660"/>
      <c r="AL71" s="1660"/>
      <c r="AM71" s="1660"/>
      <c r="AN71" s="1668">
        <v>22954010.940000001</v>
      </c>
      <c r="AO71" s="1711"/>
      <c r="AP71" s="1660"/>
      <c r="AQ71" s="441">
        <f>SUM(D71:AP71)</f>
        <v>22954010.940000001</v>
      </c>
    </row>
    <row r="72" spans="1:44" ht="15.75" thickBot="1">
      <c r="A72" s="1400" t="s">
        <v>541</v>
      </c>
      <c r="B72" s="1401"/>
      <c r="C72" s="1401" t="s">
        <v>1166</v>
      </c>
      <c r="D72" s="1668"/>
      <c r="E72" s="1668"/>
      <c r="F72" s="1668"/>
      <c r="G72" s="1668"/>
      <c r="H72" s="1668"/>
      <c r="I72" s="1668"/>
      <c r="J72" s="1668"/>
      <c r="K72" s="1668"/>
      <c r="L72" s="1668"/>
      <c r="M72" s="1668"/>
      <c r="N72" s="1668"/>
      <c r="O72" s="1668"/>
      <c r="P72" s="1668"/>
      <c r="Q72" s="1668"/>
      <c r="R72" s="1668"/>
      <c r="S72" s="1668"/>
      <c r="T72" s="1668"/>
      <c r="U72" s="1668"/>
      <c r="V72" s="1668"/>
      <c r="W72" s="1668"/>
      <c r="X72" s="1668"/>
      <c r="Y72" s="1668"/>
      <c r="Z72" s="1668"/>
      <c r="AA72" s="1668"/>
      <c r="AB72" s="1668"/>
      <c r="AC72" s="1668"/>
      <c r="AD72" s="1668"/>
      <c r="AE72" s="1668"/>
      <c r="AF72" s="1668"/>
      <c r="AG72" s="1668"/>
      <c r="AH72" s="1668"/>
      <c r="AI72" s="1668"/>
      <c r="AJ72" s="1668"/>
      <c r="AK72" s="1668"/>
      <c r="AL72" s="1668"/>
      <c r="AM72" s="1668"/>
      <c r="AN72" s="1668"/>
      <c r="AO72" s="1713"/>
      <c r="AP72" s="1668"/>
      <c r="AQ72" s="441"/>
    </row>
    <row r="73" spans="1:44" ht="15.75" thickBot="1">
      <c r="A73" s="1399">
        <v>2</v>
      </c>
      <c r="B73" s="305"/>
      <c r="C73" s="330" t="s">
        <v>634</v>
      </c>
      <c r="D73" s="1402"/>
      <c r="E73" s="1402"/>
      <c r="F73" s="1402"/>
      <c r="G73" s="1402"/>
      <c r="H73" s="1402"/>
      <c r="I73" s="1402"/>
      <c r="J73" s="1402"/>
      <c r="K73" s="1402"/>
      <c r="L73" s="1402"/>
      <c r="M73" s="1402"/>
      <c r="N73" s="1402"/>
      <c r="O73" s="1402"/>
      <c r="P73" s="1402"/>
      <c r="Q73" s="1402"/>
      <c r="R73" s="1402"/>
      <c r="S73" s="1402"/>
      <c r="T73" s="1402"/>
      <c r="U73" s="1402"/>
      <c r="V73" s="1402"/>
      <c r="W73" s="1402"/>
      <c r="X73" s="1402"/>
      <c r="Y73" s="1402"/>
      <c r="Z73" s="1402"/>
      <c r="AA73" s="1402"/>
      <c r="AB73" s="1402"/>
      <c r="AC73" s="1402"/>
      <c r="AD73" s="1402"/>
      <c r="AE73" s="1402"/>
      <c r="AF73" s="1402"/>
      <c r="AG73" s="1402"/>
      <c r="AH73" s="681">
        <v>0</v>
      </c>
      <c r="AI73" s="1402"/>
      <c r="AJ73" s="1402"/>
      <c r="AK73" s="1402"/>
      <c r="AL73" s="1402"/>
      <c r="AM73" s="1402"/>
      <c r="AN73" s="1402"/>
      <c r="AO73" s="1714"/>
      <c r="AP73" s="1402"/>
      <c r="AQ73" s="441">
        <f t="shared" ref="AQ73" si="1">SUM(D73:AL73)</f>
        <v>0</v>
      </c>
    </row>
    <row r="74" spans="1:44">
      <c r="A74" s="1399"/>
      <c r="B74" s="305"/>
      <c r="C74" s="305"/>
      <c r="D74" s="433"/>
      <c r="E74" s="433"/>
      <c r="F74" s="433"/>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1715"/>
      <c r="AP74" s="431"/>
      <c r="AQ74" s="432"/>
    </row>
    <row r="75" spans="1:44">
      <c r="A75" s="1399">
        <v>3</v>
      </c>
      <c r="B75" s="306" t="s">
        <v>218</v>
      </c>
      <c r="C75" s="307"/>
      <c r="D75" s="434">
        <f>SUM(D18:D73)</f>
        <v>51156704.509999998</v>
      </c>
      <c r="E75" s="434">
        <f t="shared" ref="E75:AP75" si="2">SUM(E18:E73)</f>
        <v>80636282.339999989</v>
      </c>
      <c r="F75" s="434">
        <f t="shared" si="2"/>
        <v>149252404.28</v>
      </c>
      <c r="G75" s="434">
        <f t="shared" si="2"/>
        <v>10322826.98</v>
      </c>
      <c r="H75" s="434">
        <f t="shared" si="2"/>
        <v>183235807.53</v>
      </c>
      <c r="I75" s="434">
        <f t="shared" si="2"/>
        <v>29507627.5</v>
      </c>
      <c r="J75" s="434">
        <f t="shared" si="2"/>
        <v>2212011.54</v>
      </c>
      <c r="K75" s="434">
        <f t="shared" si="2"/>
        <v>2784075.83</v>
      </c>
      <c r="L75" s="434">
        <f t="shared" si="2"/>
        <v>2739577.4999999995</v>
      </c>
      <c r="M75" s="434">
        <f t="shared" si="2"/>
        <v>818931.74</v>
      </c>
      <c r="N75" s="434">
        <f t="shared" si="2"/>
        <v>2289559</v>
      </c>
      <c r="O75" s="434">
        <f t="shared" si="2"/>
        <v>5982678.4900000002</v>
      </c>
      <c r="P75" s="434">
        <f t="shared" si="2"/>
        <v>5224852.5</v>
      </c>
      <c r="Q75" s="434">
        <f t="shared" si="2"/>
        <v>5620504.2200000007</v>
      </c>
      <c r="R75" s="434">
        <f t="shared" si="2"/>
        <v>11835299.690000001</v>
      </c>
      <c r="S75" s="434">
        <f t="shared" si="2"/>
        <v>6232826.8500000006</v>
      </c>
      <c r="T75" s="434">
        <f t="shared" si="2"/>
        <v>5237365.0999999996</v>
      </c>
      <c r="U75" s="434">
        <f t="shared" si="2"/>
        <v>10013598.41</v>
      </c>
      <c r="V75" s="434">
        <f t="shared" si="2"/>
        <v>155798263.28999999</v>
      </c>
      <c r="W75" s="434">
        <f t="shared" si="2"/>
        <v>4441570.76</v>
      </c>
      <c r="X75" s="434">
        <f t="shared" si="2"/>
        <v>1502978.19</v>
      </c>
      <c r="Y75" s="434">
        <f t="shared" si="2"/>
        <v>1309573.55</v>
      </c>
      <c r="Z75" s="434">
        <f t="shared" si="2"/>
        <v>29610870.910000004</v>
      </c>
      <c r="AA75" s="434">
        <f t="shared" si="2"/>
        <v>14592603.340000004</v>
      </c>
      <c r="AB75" s="434">
        <f t="shared" si="2"/>
        <v>15285677.41</v>
      </c>
      <c r="AC75" s="434">
        <f t="shared" si="2"/>
        <v>10257206.42</v>
      </c>
      <c r="AD75" s="434">
        <f t="shared" si="2"/>
        <v>21695700.229999997</v>
      </c>
      <c r="AE75" s="434">
        <f t="shared" si="2"/>
        <v>7087218.5899999999</v>
      </c>
      <c r="AF75" s="434">
        <f t="shared" si="2"/>
        <v>95163597.659999996</v>
      </c>
      <c r="AG75" s="434">
        <f t="shared" si="2"/>
        <v>-3584240.9</v>
      </c>
      <c r="AH75" s="434">
        <f t="shared" si="2"/>
        <v>-12031459.359999983</v>
      </c>
      <c r="AI75" s="434">
        <f t="shared" si="2"/>
        <v>0</v>
      </c>
      <c r="AJ75" s="434">
        <f t="shared" si="2"/>
        <v>151901152.91</v>
      </c>
      <c r="AK75" s="434">
        <f t="shared" si="2"/>
        <v>18152118.52</v>
      </c>
      <c r="AL75" s="434">
        <f t="shared" si="2"/>
        <v>1221283790.02</v>
      </c>
      <c r="AM75" s="434">
        <f t="shared" si="2"/>
        <v>44689142.259999998</v>
      </c>
      <c r="AN75" s="434">
        <f t="shared" si="2"/>
        <v>124055428.59999999</v>
      </c>
      <c r="AO75" s="434">
        <f t="shared" si="2"/>
        <v>188428.1</v>
      </c>
      <c r="AP75" s="1407">
        <f t="shared" si="2"/>
        <v>0</v>
      </c>
      <c r="AQ75" s="432">
        <f>SUM(AQ18:AQ74)</f>
        <v>2466502554.5099998</v>
      </c>
      <c r="AR75" s="423"/>
    </row>
    <row r="76" spans="1:44">
      <c r="B76" s="299"/>
      <c r="C76" s="299"/>
      <c r="D76" s="298"/>
      <c r="E76" s="298"/>
      <c r="F76" s="298"/>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P76" s="411"/>
      <c r="AQ76" s="411"/>
    </row>
    <row r="77" spans="1:44">
      <c r="B77" s="299"/>
      <c r="C77" s="299"/>
      <c r="D77" s="298"/>
      <c r="E77" s="298"/>
      <c r="F77" s="298"/>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P77" s="411"/>
      <c r="AQ77" s="411"/>
    </row>
    <row r="78" spans="1:44">
      <c r="B78" s="299"/>
      <c r="C78" s="299"/>
      <c r="D78" s="298"/>
      <c r="E78" s="298"/>
      <c r="F78" s="298"/>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24"/>
      <c r="AG78" s="424"/>
      <c r="AH78" s="411"/>
      <c r="AI78" s="411"/>
      <c r="AJ78" s="411"/>
      <c r="AK78" s="411"/>
      <c r="AL78" s="411"/>
      <c r="AM78" s="411"/>
      <c r="AN78" s="411"/>
      <c r="AP78" s="411"/>
      <c r="AQ78" s="411"/>
    </row>
    <row r="79" spans="1:44">
      <c r="B79" s="299"/>
      <c r="C79" s="299"/>
      <c r="D79" s="298"/>
      <c r="E79" s="298"/>
      <c r="F79" s="298"/>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24"/>
      <c r="AG79" s="424"/>
      <c r="AH79" s="411"/>
      <c r="AI79" s="411"/>
      <c r="AJ79" s="411"/>
      <c r="AK79" s="411"/>
      <c r="AL79" s="411"/>
      <c r="AM79" s="411"/>
      <c r="AN79" s="411"/>
      <c r="AP79" s="411"/>
      <c r="AQ79" s="411"/>
    </row>
    <row r="80" spans="1:44">
      <c r="B80" s="299"/>
      <c r="C80" s="299"/>
      <c r="D80" s="298"/>
      <c r="E80" s="298"/>
      <c r="F80" s="298"/>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24"/>
      <c r="AG80" s="424"/>
      <c r="AH80" s="411"/>
      <c r="AI80" s="411"/>
      <c r="AJ80" s="411"/>
      <c r="AK80" s="411"/>
      <c r="AL80" s="411"/>
      <c r="AM80" s="411"/>
      <c r="AN80" s="411"/>
      <c r="AP80" s="411"/>
      <c r="AQ80" s="411"/>
    </row>
    <row r="81" spans="2:43">
      <c r="B81" s="299"/>
      <c r="C81" s="299"/>
      <c r="D81" s="298"/>
      <c r="E81" s="298"/>
      <c r="F81" s="298"/>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24"/>
      <c r="AG81" s="424"/>
      <c r="AH81" s="411"/>
      <c r="AI81" s="411"/>
      <c r="AJ81" s="411"/>
      <c r="AK81" s="411"/>
      <c r="AL81" s="411"/>
      <c r="AM81" s="411"/>
      <c r="AN81" s="411"/>
      <c r="AP81" s="411"/>
      <c r="AQ81" s="411"/>
    </row>
    <row r="82" spans="2:43">
      <c r="B82" s="299"/>
      <c r="C82" s="299"/>
      <c r="D82" s="298"/>
      <c r="E82" s="298"/>
      <c r="F82" s="298"/>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24"/>
      <c r="AG82" s="424"/>
      <c r="AH82" s="411"/>
      <c r="AI82" s="411"/>
      <c r="AJ82" s="411"/>
      <c r="AK82" s="411"/>
      <c r="AL82" s="411"/>
      <c r="AM82" s="411"/>
      <c r="AN82" s="411"/>
      <c r="AP82" s="411"/>
      <c r="AQ82" s="411"/>
    </row>
    <row r="83" spans="2:43">
      <c r="B83" s="299"/>
      <c r="C83" s="299"/>
      <c r="D83" s="298"/>
      <c r="E83" s="298"/>
      <c r="F83" s="298"/>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24"/>
      <c r="AG83" s="424"/>
      <c r="AH83" s="411"/>
      <c r="AI83" s="411"/>
      <c r="AJ83" s="411"/>
      <c r="AK83" s="411"/>
      <c r="AL83" s="411"/>
      <c r="AM83" s="411"/>
      <c r="AN83" s="411"/>
      <c r="AP83" s="411"/>
      <c r="AQ83" s="411"/>
    </row>
    <row r="84" spans="2:43">
      <c r="B84" s="299"/>
      <c r="C84" s="299"/>
      <c r="D84" s="298"/>
      <c r="E84" s="298"/>
      <c r="F84" s="298"/>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24"/>
      <c r="AG84" s="424"/>
      <c r="AH84" s="411"/>
      <c r="AI84" s="411"/>
      <c r="AJ84" s="411"/>
      <c r="AK84" s="411"/>
      <c r="AL84" s="411"/>
      <c r="AM84" s="411"/>
      <c r="AN84" s="411"/>
      <c r="AP84" s="411"/>
      <c r="AQ84" s="411"/>
    </row>
    <row r="85" spans="2:43">
      <c r="B85" s="299"/>
      <c r="C85" s="299"/>
      <c r="D85" s="298"/>
      <c r="E85" s="298"/>
      <c r="F85" s="298"/>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24"/>
      <c r="AG85" s="424"/>
      <c r="AH85" s="411"/>
      <c r="AI85" s="411"/>
      <c r="AJ85" s="411"/>
      <c r="AK85" s="411"/>
      <c r="AL85" s="411"/>
      <c r="AM85" s="411"/>
      <c r="AN85" s="411"/>
      <c r="AP85" s="411"/>
      <c r="AQ85" s="411"/>
    </row>
    <row r="86" spans="2:43">
      <c r="B86" s="299"/>
      <c r="C86" s="299"/>
      <c r="D86" s="298"/>
      <c r="E86" s="298"/>
      <c r="F86" s="298"/>
      <c r="G86" s="411"/>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11"/>
      <c r="AN86" s="411"/>
      <c r="AP86" s="411"/>
      <c r="AQ86" s="411"/>
    </row>
    <row r="87" spans="2:43">
      <c r="B87" s="299"/>
      <c r="C87" s="299"/>
      <c r="D87" s="298"/>
      <c r="E87" s="298"/>
      <c r="F87" s="298"/>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P87" s="411"/>
      <c r="AQ87" s="411"/>
    </row>
    <row r="88" spans="2:43">
      <c r="B88" s="299"/>
      <c r="C88" s="299"/>
      <c r="D88" s="298"/>
      <c r="E88" s="298"/>
      <c r="F88" s="298"/>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P88" s="411"/>
      <c r="AQ88" s="411"/>
    </row>
    <row r="89" spans="2:43">
      <c r="B89" s="299"/>
      <c r="C89" s="299"/>
      <c r="D89" s="298"/>
      <c r="E89" s="298"/>
      <c r="F89" s="298"/>
      <c r="G89" s="411"/>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P89" s="411"/>
      <c r="AQ89" s="411"/>
    </row>
    <row r="90" spans="2:43">
      <c r="B90" s="299"/>
      <c r="C90" s="299"/>
      <c r="D90" s="298"/>
      <c r="E90" s="298"/>
      <c r="F90" s="298"/>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P90" s="411"/>
      <c r="AQ90" s="411"/>
    </row>
    <row r="91" spans="2:43">
      <c r="B91" s="299"/>
      <c r="C91" s="299"/>
      <c r="D91" s="298"/>
      <c r="E91" s="298"/>
      <c r="F91" s="298"/>
      <c r="G91" s="411"/>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P91" s="411"/>
      <c r="AQ91" s="411"/>
    </row>
    <row r="92" spans="2:43">
      <c r="B92" s="299"/>
      <c r="C92" s="299"/>
      <c r="D92" s="298"/>
      <c r="E92" s="298"/>
      <c r="F92" s="298"/>
      <c r="G92" s="411"/>
      <c r="H92" s="411"/>
      <c r="I92" s="411"/>
      <c r="J92" s="411"/>
      <c r="K92" s="411"/>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P92" s="411"/>
      <c r="AQ92" s="411"/>
    </row>
    <row r="93" spans="2:43">
      <c r="B93" s="299"/>
      <c r="C93" s="299"/>
      <c r="D93" s="298"/>
      <c r="E93" s="298"/>
      <c r="F93" s="298"/>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P93" s="411"/>
      <c r="AQ93" s="411"/>
    </row>
    <row r="94" spans="2:43">
      <c r="B94" s="299"/>
      <c r="C94" s="299"/>
      <c r="D94" s="298"/>
      <c r="E94" s="298"/>
      <c r="F94" s="298"/>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P94" s="411"/>
      <c r="AQ94" s="411"/>
    </row>
    <row r="95" spans="2:43">
      <c r="B95" s="299"/>
      <c r="C95" s="299"/>
      <c r="D95" s="298"/>
      <c r="E95" s="298"/>
      <c r="F95" s="298"/>
      <c r="G95" s="411"/>
      <c r="H95" s="411"/>
      <c r="I95" s="411"/>
      <c r="J95" s="411"/>
      <c r="K95" s="411"/>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P95" s="411"/>
      <c r="AQ95" s="411"/>
    </row>
    <row r="96" spans="2:43">
      <c r="B96" s="299"/>
      <c r="C96" s="299"/>
      <c r="D96" s="298"/>
      <c r="E96" s="298"/>
      <c r="F96" s="298"/>
      <c r="G96" s="411"/>
      <c r="H96" s="411"/>
      <c r="I96" s="411"/>
      <c r="J96" s="411"/>
      <c r="K96" s="411"/>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P96" s="411"/>
      <c r="AQ96" s="411"/>
    </row>
    <row r="97" spans="2:43">
      <c r="B97" s="299"/>
      <c r="C97" s="299"/>
      <c r="D97" s="298"/>
      <c r="E97" s="298"/>
      <c r="F97" s="298"/>
      <c r="G97" s="411"/>
      <c r="H97" s="411"/>
      <c r="I97" s="411"/>
      <c r="J97" s="411"/>
      <c r="K97" s="411"/>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P97" s="411"/>
      <c r="AQ97" s="411"/>
    </row>
    <row r="98" spans="2:43">
      <c r="B98" s="299"/>
      <c r="C98" s="299"/>
      <c r="D98" s="298"/>
      <c r="E98" s="298"/>
      <c r="F98" s="298"/>
      <c r="G98" s="411"/>
      <c r="H98" s="411"/>
      <c r="I98" s="411"/>
      <c r="J98" s="411"/>
      <c r="K98" s="411"/>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P98" s="411"/>
      <c r="AQ98" s="411"/>
    </row>
    <row r="99" spans="2:43">
      <c r="B99" s="299"/>
      <c r="C99" s="299"/>
      <c r="D99" s="298"/>
      <c r="E99" s="298"/>
      <c r="F99" s="298"/>
      <c r="G99" s="411"/>
      <c r="H99" s="411"/>
      <c r="I99" s="411"/>
      <c r="J99" s="411"/>
      <c r="K99" s="411"/>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P99" s="411"/>
      <c r="AQ99" s="411"/>
    </row>
    <row r="100" spans="2:43">
      <c r="B100" s="299"/>
      <c r="C100" s="299"/>
      <c r="D100" s="298"/>
      <c r="E100" s="298"/>
      <c r="F100" s="298"/>
      <c r="G100" s="411"/>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P100" s="411"/>
      <c r="AQ100" s="411"/>
    </row>
    <row r="101" spans="2:43">
      <c r="B101" s="299"/>
      <c r="C101" s="299"/>
      <c r="D101" s="298"/>
      <c r="E101" s="298"/>
      <c r="F101" s="298"/>
      <c r="G101" s="41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P101" s="411"/>
      <c r="AQ101" s="411"/>
    </row>
    <row r="102" spans="2:43">
      <c r="B102" s="299"/>
      <c r="C102" s="299"/>
      <c r="D102" s="298"/>
      <c r="E102" s="298"/>
      <c r="F102" s="298"/>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P102" s="411"/>
      <c r="AQ102" s="411"/>
    </row>
    <row r="103" spans="2:43">
      <c r="B103" s="299"/>
      <c r="C103" s="299"/>
      <c r="D103" s="298"/>
      <c r="E103" s="298"/>
      <c r="F103" s="298"/>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P103" s="411"/>
      <c r="AQ103" s="411"/>
    </row>
    <row r="104" spans="2:43">
      <c r="AH104" s="411"/>
      <c r="AI104" s="411"/>
      <c r="AJ104" s="411"/>
      <c r="AK104" s="411"/>
      <c r="AL104" s="411"/>
      <c r="AM104" s="411"/>
      <c r="AN104" s="411"/>
      <c r="AP104" s="411"/>
    </row>
    <row r="105" spans="2:43">
      <c r="AH105" s="411"/>
      <c r="AI105" s="411"/>
      <c r="AJ105" s="411"/>
      <c r="AK105" s="411"/>
      <c r="AL105" s="411"/>
      <c r="AM105" s="411"/>
      <c r="AN105" s="411"/>
      <c r="AP105" s="411"/>
    </row>
  </sheetData>
  <customSheetViews>
    <customSheetView guid="{B321D76C-CDE5-48BB-9CDE-80FF97D58FCF}" scale="115" showPageBreaks="1" printArea="1" view="pageBreakPreview" topLeftCell="A10">
      <selection activeCell="D33" sqref="D33"/>
      <colBreaks count="1" manualBreakCount="1">
        <brk id="21" max="71" man="1"/>
      </colBreaks>
      <pageMargins left="0.4" right="0.4" top="0.5" bottom="0.5" header="0.3" footer="0.3"/>
      <printOptions horizontalCentered="1"/>
      <pageSetup scale="35" fitToWidth="2" orientation="landscape" r:id="rId1"/>
    </customSheetView>
  </customSheetViews>
  <mergeCells count="6">
    <mergeCell ref="B10:H10"/>
    <mergeCell ref="D4:G4"/>
    <mergeCell ref="D5:G5"/>
    <mergeCell ref="D6:G6"/>
    <mergeCell ref="D8:G8"/>
    <mergeCell ref="D9:G9"/>
  </mergeCells>
  <printOptions horizontalCentered="1"/>
  <pageMargins left="0.4" right="0.4" top="0.5" bottom="0.5" header="0.3" footer="0.3"/>
  <pageSetup scale="35" fitToWidth="2" orientation="landscape" r:id="rId2"/>
  <colBreaks count="1" manualBreakCount="1">
    <brk id="21" max="1048575"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pageSetUpPr fitToPage="1"/>
  </sheetPr>
  <dimension ref="A1:L29"/>
  <sheetViews>
    <sheetView tabSelected="1" view="pageBreakPreview" zoomScale="85" zoomScaleNormal="100" zoomScaleSheetLayoutView="85" workbookViewId="0">
      <selection activeCell="C30" sqref="C30"/>
    </sheetView>
  </sheetViews>
  <sheetFormatPr defaultColWidth="9" defaultRowHeight="12.75"/>
  <cols>
    <col min="1" max="1" width="7.75" style="27" bestFit="1" customWidth="1"/>
    <col min="2" max="2" width="9" style="27" bestFit="1" customWidth="1"/>
    <col min="3" max="3" width="41.25" style="27" bestFit="1" customWidth="1"/>
    <col min="4" max="4" width="16.75" style="27" bestFit="1" customWidth="1"/>
    <col min="5" max="5" width="2.75" style="27" customWidth="1"/>
    <col min="6" max="6" width="7.25" style="27" customWidth="1"/>
    <col min="7" max="7" width="1.75" style="27" customWidth="1"/>
    <col min="8" max="8" width="34.5" style="27" bestFit="1" customWidth="1"/>
    <col min="9" max="10" width="9" style="27"/>
    <col min="11" max="11" width="29.125" style="27" customWidth="1"/>
    <col min="12" max="16384" width="9" style="27"/>
  </cols>
  <sheetData>
    <row r="1" spans="1:12" s="100" customFormat="1" ht="15.75">
      <c r="A1" s="322" t="s">
        <v>1646</v>
      </c>
      <c r="B1" s="20"/>
      <c r="C1" s="442"/>
      <c r="D1" s="20"/>
      <c r="E1" s="20"/>
      <c r="F1" s="20"/>
      <c r="G1" s="20"/>
      <c r="H1" s="159"/>
      <c r="L1" s="22"/>
    </row>
    <row r="3" spans="1:12" ht="18">
      <c r="A3" s="12"/>
      <c r="B3" s="11"/>
      <c r="C3" s="443"/>
      <c r="D3" s="11"/>
      <c r="E3" s="11"/>
      <c r="F3" s="11"/>
      <c r="G3" s="11"/>
      <c r="H3" s="11"/>
      <c r="I3" s="11"/>
      <c r="J3" s="11"/>
      <c r="K3" s="25"/>
      <c r="L3" s="427"/>
    </row>
    <row r="4" spans="1:12" ht="18">
      <c r="A4" s="1788" t="s">
        <v>200</v>
      </c>
      <c r="B4" s="1788"/>
      <c r="C4" s="1788"/>
      <c r="D4" s="1788"/>
      <c r="E4" s="1788"/>
      <c r="F4" s="1788"/>
      <c r="G4" s="1788"/>
      <c r="H4" s="1788"/>
      <c r="I4" s="71"/>
      <c r="J4" s="71"/>
      <c r="K4" s="71"/>
      <c r="L4" s="71"/>
    </row>
    <row r="5" spans="1:12" ht="18">
      <c r="A5" s="1788" t="s">
        <v>103</v>
      </c>
      <c r="B5" s="1788"/>
      <c r="C5" s="1788"/>
      <c r="D5" s="1788"/>
      <c r="E5" s="1788"/>
      <c r="F5" s="1788"/>
      <c r="G5" s="1788"/>
      <c r="H5" s="1788"/>
      <c r="I5" s="71"/>
      <c r="J5" s="71"/>
      <c r="K5" s="71"/>
      <c r="L5" s="71"/>
    </row>
    <row r="6" spans="1:12" ht="18">
      <c r="A6" s="1789" t="str">
        <f>SUMMARY!A7</f>
        <v>YEAR ENDING DECEMBER 31, 2018</v>
      </c>
      <c r="B6" s="1789"/>
      <c r="C6" s="1789"/>
      <c r="D6" s="1789"/>
      <c r="E6" s="1789"/>
      <c r="F6" s="1789"/>
      <c r="G6" s="1789"/>
      <c r="H6" s="1789"/>
      <c r="I6" s="71"/>
      <c r="J6" s="71"/>
      <c r="K6" s="71"/>
      <c r="L6" s="71"/>
    </row>
    <row r="7" spans="1:12" ht="12" customHeight="1">
      <c r="A7" s="11"/>
      <c r="B7" s="11"/>
      <c r="C7" s="23"/>
      <c r="D7" s="11"/>
      <c r="E7" s="11"/>
      <c r="F7" s="11"/>
      <c r="G7" s="11"/>
      <c r="H7" s="11"/>
      <c r="I7" s="11"/>
      <c r="J7" s="11"/>
      <c r="K7" s="11"/>
      <c r="L7" s="11"/>
    </row>
    <row r="8" spans="1:12" ht="18">
      <c r="A8" s="1790" t="s">
        <v>951</v>
      </c>
      <c r="B8" s="1790"/>
      <c r="C8" s="1790"/>
      <c r="D8" s="1790"/>
      <c r="E8" s="1790"/>
      <c r="F8" s="1790"/>
      <c r="G8" s="1790"/>
      <c r="H8" s="1790"/>
      <c r="I8" s="29"/>
      <c r="J8" s="29"/>
      <c r="K8" s="29"/>
      <c r="L8" s="29"/>
    </row>
    <row r="9" spans="1:12" ht="18">
      <c r="A9" s="1788" t="s">
        <v>780</v>
      </c>
      <c r="B9" s="1788"/>
      <c r="C9" s="1788"/>
      <c r="D9" s="1788"/>
      <c r="E9" s="1788"/>
      <c r="F9" s="1788"/>
      <c r="G9" s="1788"/>
      <c r="H9" s="1788"/>
      <c r="I9" s="71"/>
      <c r="J9" s="71"/>
      <c r="K9" s="71"/>
      <c r="L9" s="71"/>
    </row>
    <row r="11" spans="1:12" s="100" customFormat="1" ht="15"/>
    <row r="12" spans="1:12" s="100" customFormat="1" ht="15"/>
    <row r="13" spans="1:12" s="100" customFormat="1" ht="15.75">
      <c r="D13" s="515" t="s">
        <v>338</v>
      </c>
      <c r="E13" s="482"/>
      <c r="F13" s="516" t="s">
        <v>147</v>
      </c>
      <c r="H13" s="442" t="s">
        <v>341</v>
      </c>
    </row>
    <row r="14" spans="1:12" s="100" customFormat="1" ht="15">
      <c r="B14" s="517" t="s">
        <v>1</v>
      </c>
      <c r="D14" s="518" t="s">
        <v>192</v>
      </c>
      <c r="E14" s="518"/>
      <c r="F14" s="518" t="s">
        <v>193</v>
      </c>
    </row>
    <row r="15" spans="1:12" s="100" customFormat="1" ht="15">
      <c r="B15" s="517"/>
      <c r="D15" s="479"/>
      <c r="E15" s="479"/>
      <c r="F15" s="479"/>
      <c r="G15" s="479"/>
    </row>
    <row r="16" spans="1:12" s="100" customFormat="1" ht="15.75">
      <c r="B16" s="429">
        <v>1</v>
      </c>
      <c r="C16" s="100" t="s">
        <v>452</v>
      </c>
      <c r="D16" s="471">
        <f>SUM('B2-Plant'!Q24:Q25,'B2-Plant'!Q33)</f>
        <v>2288095306.0549998</v>
      </c>
      <c r="E16" s="622"/>
      <c r="F16" s="519"/>
      <c r="G16" s="519"/>
      <c r="H16" s="100" t="s">
        <v>1764</v>
      </c>
    </row>
    <row r="17" spans="2:8" s="100" customFormat="1" ht="15.75">
      <c r="B17" s="429"/>
      <c r="D17" s="471"/>
      <c r="E17" s="471"/>
      <c r="F17" s="471"/>
    </row>
    <row r="18" spans="2:8" s="100" customFormat="1" ht="30.75">
      <c r="B18" s="429">
        <v>2</v>
      </c>
      <c r="C18" s="565" t="s">
        <v>348</v>
      </c>
      <c r="D18" s="471">
        <f>+-'B2-Plant'!Q35</f>
        <v>39979912.390000001</v>
      </c>
      <c r="E18" s="471"/>
      <c r="F18" s="471"/>
      <c r="H18" s="100" t="s">
        <v>1673</v>
      </c>
    </row>
    <row r="19" spans="2:8" s="100" customFormat="1" ht="16.5" thickBot="1">
      <c r="B19" s="429"/>
      <c r="D19" s="471"/>
      <c r="E19" s="471"/>
      <c r="F19" s="471"/>
    </row>
    <row r="20" spans="2:8" s="100" customFormat="1" ht="16.5" thickBot="1">
      <c r="B20" s="429">
        <v>3</v>
      </c>
      <c r="C20" s="322" t="s">
        <v>147</v>
      </c>
      <c r="D20" s="471"/>
      <c r="E20" s="471"/>
      <c r="F20" s="1687">
        <f>D18/D16</f>
        <v>1.7473010098924168E-2</v>
      </c>
      <c r="G20" s="630"/>
      <c r="H20" s="100" t="s">
        <v>373</v>
      </c>
    </row>
    <row r="21" spans="2:8" s="100" customFormat="1" ht="15.75">
      <c r="B21" s="322"/>
      <c r="D21" s="471"/>
      <c r="E21" s="471"/>
      <c r="F21" s="471"/>
    </row>
    <row r="22" spans="2:8" s="100" customFormat="1" ht="15.75">
      <c r="B22" s="429">
        <v>4</v>
      </c>
      <c r="C22" s="100" t="s">
        <v>347</v>
      </c>
      <c r="D22" s="471">
        <f>'A1-O&amp;M'!H29</f>
        <v>41843122.600000001</v>
      </c>
      <c r="E22" s="471"/>
      <c r="F22" s="471"/>
      <c r="H22" s="100" t="s">
        <v>946</v>
      </c>
    </row>
    <row r="23" spans="2:8" s="100" customFormat="1" ht="15.75">
      <c r="B23" s="322"/>
      <c r="D23" s="471"/>
      <c r="E23" s="471"/>
      <c r="F23" s="471"/>
    </row>
    <row r="24" spans="2:8" s="100" customFormat="1" ht="15.75">
      <c r="B24" s="429">
        <v>5</v>
      </c>
      <c r="C24" s="322" t="s">
        <v>783</v>
      </c>
      <c r="D24" s="547">
        <f>-D22*F20</f>
        <v>-731125.30376032216</v>
      </c>
      <c r="E24" s="547"/>
      <c r="F24" s="471"/>
      <c r="H24" s="100" t="s">
        <v>1113</v>
      </c>
    </row>
    <row r="25" spans="2:8" s="100" customFormat="1" ht="15.75">
      <c r="B25" s="429"/>
      <c r="D25" s="471"/>
    </row>
    <row r="26" spans="2:8" s="100" customFormat="1" ht="15.75">
      <c r="B26" s="429"/>
    </row>
    <row r="27" spans="2:8" s="100" customFormat="1" ht="15"/>
    <row r="28" spans="2:8" s="100" customFormat="1" ht="15"/>
    <row r="29" spans="2:8" s="100" customFormat="1" ht="15"/>
  </sheetData>
  <customSheetViews>
    <customSheetView guid="{B321D76C-CDE5-48BB-9CDE-80FF97D58FCF}" scale="85" showPageBreaks="1" fitToPage="1" printArea="1" view="pageBreakPreview" topLeftCell="A7">
      <selection activeCell="D33" sqref="D33"/>
      <pageMargins left="0.45" right="0.45" top="0.75" bottom="0.75" header="0.3" footer="0.3"/>
      <printOptions horizontalCentered="1"/>
      <pageSetup orientation="landscape" r:id="rId1"/>
    </customSheetView>
  </customSheetViews>
  <mergeCells count="5">
    <mergeCell ref="A4:H4"/>
    <mergeCell ref="A5:H5"/>
    <mergeCell ref="A6:H6"/>
    <mergeCell ref="A8:H8"/>
    <mergeCell ref="A9:H9"/>
  </mergeCells>
  <printOptions horizontalCentered="1"/>
  <pageMargins left="0.45" right="0.45" top="0.75" bottom="0.75" header="0.3" footer="0.3"/>
  <pageSetup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K29"/>
  <sheetViews>
    <sheetView tabSelected="1" view="pageBreakPreview" zoomScale="85" zoomScaleNormal="100" zoomScaleSheetLayoutView="85" workbookViewId="0">
      <selection activeCell="C30" sqref="C30"/>
    </sheetView>
  </sheetViews>
  <sheetFormatPr defaultColWidth="9" defaultRowHeight="12"/>
  <cols>
    <col min="1" max="1" width="1.5" style="36" customWidth="1"/>
    <col min="2" max="2" width="7.25" style="36" customWidth="1"/>
    <col min="3" max="3" width="43.375" style="36" bestFit="1" customWidth="1"/>
    <col min="4" max="4" width="17.125" style="36" customWidth="1"/>
    <col min="5" max="5" width="12.5" style="36" bestFit="1" customWidth="1"/>
    <col min="6" max="6" width="34.75" style="36" bestFit="1" customWidth="1"/>
    <col min="7" max="7" width="1.75" style="36" customWidth="1"/>
    <col min="8" max="10" width="9" style="36"/>
    <col min="11" max="11" width="29.125" style="36" customWidth="1"/>
    <col min="12" max="16384" width="9" style="36"/>
  </cols>
  <sheetData>
    <row r="1" spans="1:11" s="17" customFormat="1" ht="15.75">
      <c r="A1" s="14" t="s">
        <v>947</v>
      </c>
      <c r="B1" s="20"/>
      <c r="C1" s="66"/>
      <c r="D1" s="20"/>
      <c r="E1" s="20"/>
      <c r="F1" s="159"/>
      <c r="K1" s="22"/>
    </row>
    <row r="2" spans="1:11" s="13" customFormat="1"/>
    <row r="3" spans="1:11" s="13" customFormat="1" ht="18">
      <c r="A3" s="12"/>
      <c r="B3" s="11"/>
      <c r="C3" s="43"/>
      <c r="D3" s="11"/>
      <c r="E3" s="11"/>
      <c r="F3" s="11"/>
      <c r="G3" s="11"/>
      <c r="H3" s="11"/>
      <c r="I3" s="11"/>
      <c r="J3" s="25"/>
      <c r="K3" s="163"/>
    </row>
    <row r="4" spans="1:11" s="13" customFormat="1" ht="18">
      <c r="A4" s="1788" t="s">
        <v>200</v>
      </c>
      <c r="B4" s="1788"/>
      <c r="C4" s="1788"/>
      <c r="D4" s="1788"/>
      <c r="E4" s="1788"/>
      <c r="F4" s="1788"/>
      <c r="G4" s="71"/>
      <c r="H4" s="71"/>
      <c r="I4" s="71"/>
      <c r="J4" s="71"/>
      <c r="K4" s="71"/>
    </row>
    <row r="5" spans="1:11" s="13" customFormat="1" ht="18">
      <c r="A5" s="1788" t="s">
        <v>103</v>
      </c>
      <c r="B5" s="1788"/>
      <c r="C5" s="1788"/>
      <c r="D5" s="1788"/>
      <c r="E5" s="1788"/>
      <c r="F5" s="1788"/>
      <c r="G5" s="71"/>
      <c r="H5" s="71"/>
      <c r="I5" s="71"/>
      <c r="J5" s="71"/>
      <c r="K5" s="71"/>
    </row>
    <row r="6" spans="1:11" s="13" customFormat="1" ht="18">
      <c r="A6" s="1789" t="str">
        <f>SUMMARY!A7</f>
        <v>YEAR ENDING DECEMBER 31, 2018</v>
      </c>
      <c r="B6" s="1789"/>
      <c r="C6" s="1789"/>
      <c r="D6" s="1789"/>
      <c r="E6" s="1789"/>
      <c r="F6" s="1789"/>
      <c r="G6" s="71"/>
      <c r="H6" s="71"/>
      <c r="I6" s="71"/>
      <c r="J6" s="71"/>
      <c r="K6" s="71"/>
    </row>
    <row r="7" spans="1:11" s="13" customFormat="1" ht="12" customHeight="1">
      <c r="A7" s="11"/>
      <c r="B7" s="11"/>
      <c r="C7" s="23"/>
      <c r="D7" s="11"/>
      <c r="E7" s="11"/>
      <c r="F7" s="11"/>
      <c r="G7" s="11"/>
      <c r="H7" s="11"/>
      <c r="I7" s="11"/>
      <c r="J7" s="11"/>
      <c r="K7" s="11"/>
    </row>
    <row r="8" spans="1:11" s="13" customFormat="1" ht="18">
      <c r="A8" s="1790" t="s">
        <v>948</v>
      </c>
      <c r="B8" s="1790"/>
      <c r="C8" s="1790"/>
      <c r="D8" s="1790"/>
      <c r="E8" s="1790"/>
      <c r="F8" s="1790"/>
      <c r="G8" s="29"/>
      <c r="H8" s="29"/>
      <c r="I8" s="29"/>
      <c r="J8" s="29"/>
      <c r="K8" s="29"/>
    </row>
    <row r="9" spans="1:11" s="27" customFormat="1" ht="18">
      <c r="A9" s="1788" t="s">
        <v>781</v>
      </c>
      <c r="B9" s="1788"/>
      <c r="C9" s="1788"/>
      <c r="D9" s="1788"/>
      <c r="E9" s="1788"/>
      <c r="F9" s="1788"/>
      <c r="G9" s="71"/>
      <c r="H9" s="71"/>
      <c r="I9" s="71"/>
      <c r="J9" s="71"/>
      <c r="K9" s="71"/>
    </row>
    <row r="10" spans="1:11" s="27" customFormat="1" ht="18">
      <c r="A10" s="427"/>
      <c r="B10" s="427"/>
      <c r="C10" s="427"/>
      <c r="D10" s="427"/>
      <c r="E10" s="427"/>
      <c r="F10" s="427"/>
      <c r="G10" s="71"/>
      <c r="H10" s="71"/>
      <c r="I10" s="71"/>
      <c r="J10" s="71"/>
      <c r="K10" s="71"/>
    </row>
    <row r="11" spans="1:11" s="27" customFormat="1" ht="18">
      <c r="A11" s="427"/>
      <c r="B11" s="427"/>
      <c r="C11" s="427"/>
      <c r="D11" s="427"/>
      <c r="E11" s="427"/>
      <c r="F11" s="427"/>
      <c r="G11" s="71"/>
      <c r="H11" s="71"/>
      <c r="I11" s="71"/>
      <c r="J11" s="71"/>
      <c r="K11" s="71"/>
    </row>
    <row r="12" spans="1:11" s="27" customFormat="1" ht="12.75"/>
    <row r="13" spans="1:11" s="100" customFormat="1" ht="15.75">
      <c r="D13" s="515" t="s">
        <v>338</v>
      </c>
      <c r="E13" s="516" t="s">
        <v>147</v>
      </c>
      <c r="F13" s="442" t="s">
        <v>341</v>
      </c>
    </row>
    <row r="14" spans="1:11" s="100" customFormat="1" ht="15">
      <c r="B14" s="517" t="s">
        <v>1</v>
      </c>
      <c r="D14" s="518" t="s">
        <v>192</v>
      </c>
      <c r="E14" s="518" t="s">
        <v>193</v>
      </c>
    </row>
    <row r="15" spans="1:11" s="100" customFormat="1" ht="15">
      <c r="B15" s="517"/>
      <c r="D15" s="479"/>
      <c r="E15" s="479"/>
      <c r="F15" s="479"/>
    </row>
    <row r="16" spans="1:11" s="100" customFormat="1" ht="15.75">
      <c r="B16" s="429">
        <v>1</v>
      </c>
      <c r="C16" s="100" t="s">
        <v>452</v>
      </c>
      <c r="D16" s="471">
        <f>SUM('B2-Plant'!Q24:Q25,'B2-Plant'!Q33)</f>
        <v>2288095306.0549998</v>
      </c>
      <c r="E16" s="471"/>
      <c r="F16" s="100" t="s">
        <v>949</v>
      </c>
    </row>
    <row r="17" spans="2:6" s="100" customFormat="1" ht="15.75">
      <c r="B17" s="429"/>
      <c r="D17" s="471"/>
      <c r="E17" s="471"/>
    </row>
    <row r="18" spans="2:6" s="100" customFormat="1" ht="15.75">
      <c r="B18" s="429">
        <v>2</v>
      </c>
      <c r="C18" s="520" t="s">
        <v>345</v>
      </c>
      <c r="D18" s="471">
        <f>-'B2-Plant'!Q36</f>
        <v>44743653.020000003</v>
      </c>
      <c r="E18" s="471"/>
      <c r="F18" s="100" t="s">
        <v>1672</v>
      </c>
    </row>
    <row r="19" spans="2:6" s="100" customFormat="1" ht="16.5" thickBot="1">
      <c r="B19" s="429"/>
      <c r="D19" s="471"/>
      <c r="E19" s="471"/>
    </row>
    <row r="20" spans="2:6" s="100" customFormat="1" ht="16.5" thickBot="1">
      <c r="B20" s="429">
        <v>3</v>
      </c>
      <c r="C20" s="322" t="s">
        <v>147</v>
      </c>
      <c r="D20" s="471"/>
      <c r="E20" s="1687">
        <f>D18/D16</f>
        <v>1.9554977846243823E-2</v>
      </c>
      <c r="F20" s="100" t="s">
        <v>373</v>
      </c>
    </row>
    <row r="21" spans="2:6" s="100" customFormat="1" ht="15.75">
      <c r="B21" s="429"/>
      <c r="D21" s="471"/>
      <c r="E21" s="471"/>
    </row>
    <row r="22" spans="2:6" s="100" customFormat="1" ht="15.75">
      <c r="B22" s="429">
        <v>4</v>
      </c>
      <c r="C22" s="100" t="s">
        <v>347</v>
      </c>
      <c r="D22" s="471">
        <f>'A1-O&amp;M'!H29</f>
        <v>41843122.600000001</v>
      </c>
      <c r="E22" s="471"/>
      <c r="F22" s="100" t="s">
        <v>950</v>
      </c>
    </row>
    <row r="23" spans="2:6" s="100" customFormat="1" ht="15.75">
      <c r="B23" s="429"/>
      <c r="D23" s="471"/>
      <c r="E23" s="471"/>
    </row>
    <row r="24" spans="2:6" s="100" customFormat="1" ht="15.75">
      <c r="B24" s="429">
        <v>5</v>
      </c>
      <c r="C24" s="322" t="s">
        <v>346</v>
      </c>
      <c r="D24" s="547">
        <f>-D22*E20</f>
        <v>-818241.33546066424</v>
      </c>
      <c r="E24" s="471"/>
      <c r="F24" s="100" t="s">
        <v>1114</v>
      </c>
    </row>
    <row r="25" spans="2:6" s="100" customFormat="1" ht="15.75">
      <c r="D25" s="1268"/>
      <c r="E25" s="521"/>
    </row>
    <row r="26" spans="2:6" s="100" customFormat="1" ht="15"/>
    <row r="27" spans="2:6" s="100" customFormat="1" ht="15"/>
    <row r="28" spans="2:6" s="100" customFormat="1" ht="15"/>
    <row r="29" spans="2:6" s="100" customFormat="1" ht="15"/>
  </sheetData>
  <customSheetViews>
    <customSheetView guid="{B321D76C-CDE5-48BB-9CDE-80FF97D58FCF}" scale="85" showPageBreaks="1" fitToPage="1" printArea="1" view="pageBreakPreview" topLeftCell="A4">
      <selection activeCell="D33" sqref="D33"/>
      <pageMargins left="0.45" right="0.45" top="0.75" bottom="0.75" header="0.3" footer="0.3"/>
      <printOptions horizontalCentered="1"/>
      <pageSetup orientation="landscape" r:id="rId1"/>
    </customSheetView>
  </customSheetViews>
  <mergeCells count="5">
    <mergeCell ref="A4:F4"/>
    <mergeCell ref="A5:F5"/>
    <mergeCell ref="A6:F6"/>
    <mergeCell ref="A8:F8"/>
    <mergeCell ref="A9:F9"/>
  </mergeCells>
  <printOptions horizontalCentered="1"/>
  <pageMargins left="0.45" right="0.45" top="0.75" bottom="0.75" header="0.3" footer="0.3"/>
  <pageSetup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L40"/>
  <sheetViews>
    <sheetView tabSelected="1" view="pageBreakPreview" zoomScale="85" zoomScaleNormal="100" zoomScaleSheetLayoutView="85" workbookViewId="0">
      <selection activeCell="C30" sqref="C30"/>
    </sheetView>
  </sheetViews>
  <sheetFormatPr defaultColWidth="16.75" defaultRowHeight="12.75"/>
  <cols>
    <col min="1" max="1" width="7.75" style="27" customWidth="1"/>
    <col min="2" max="2" width="8.75" style="533" customWidth="1"/>
    <col min="3" max="3" width="3" style="533" customWidth="1"/>
    <col min="4" max="4" width="13.75" style="27" customWidth="1"/>
    <col min="5" max="5" width="3.5" style="27" customWidth="1"/>
    <col min="6" max="6" width="11.5" style="27" bestFit="1" customWidth="1"/>
    <col min="7" max="7" width="3.5" style="27" customWidth="1"/>
    <col min="8" max="8" width="14.375" style="27" bestFit="1" customWidth="1"/>
    <col min="9" max="9" width="2.75" style="27" customWidth="1"/>
    <col min="10" max="10" width="6.125" style="27" customWidth="1"/>
    <col min="11" max="11" width="29.125" style="27" customWidth="1"/>
    <col min="12" max="16384" width="16.75" style="27"/>
  </cols>
  <sheetData>
    <row r="1" spans="1:12" ht="15.75">
      <c r="A1" s="14" t="s">
        <v>894</v>
      </c>
      <c r="B1" s="109"/>
      <c r="C1" s="109"/>
      <c r="D1" s="14"/>
      <c r="E1" s="20"/>
      <c r="F1" s="442"/>
      <c r="G1" s="20"/>
      <c r="H1" s="20"/>
      <c r="I1" s="20"/>
      <c r="K1" s="67"/>
    </row>
    <row r="2" spans="1:12" ht="15.75">
      <c r="A2" s="14"/>
      <c r="D2" s="14"/>
      <c r="E2" s="20"/>
      <c r="F2" s="442"/>
      <c r="G2" s="20"/>
      <c r="H2" s="20"/>
      <c r="I2" s="20"/>
      <c r="J2" s="67"/>
      <c r="K2" s="67"/>
      <c r="L2" s="22"/>
    </row>
    <row r="3" spans="1:12" ht="18">
      <c r="A3" s="12"/>
      <c r="B3" s="113"/>
      <c r="C3" s="113"/>
      <c r="D3" s="12"/>
      <c r="E3" s="11"/>
      <c r="F3" s="443"/>
      <c r="G3" s="11"/>
      <c r="H3" s="11"/>
      <c r="I3" s="11"/>
      <c r="J3" s="11"/>
      <c r="K3" s="11"/>
      <c r="L3" s="427"/>
    </row>
    <row r="4" spans="1:12" ht="18">
      <c r="A4" s="1788" t="s">
        <v>200</v>
      </c>
      <c r="B4" s="1788"/>
      <c r="C4" s="1788"/>
      <c r="D4" s="1788"/>
      <c r="E4" s="1788"/>
      <c r="F4" s="1788"/>
      <c r="G4" s="1788"/>
      <c r="H4" s="1788"/>
      <c r="I4" s="1788"/>
      <c r="J4" s="1788"/>
      <c r="K4" s="71"/>
      <c r="L4" s="71"/>
    </row>
    <row r="5" spans="1:12" ht="18">
      <c r="A5" s="1788" t="s">
        <v>103</v>
      </c>
      <c r="B5" s="1788"/>
      <c r="C5" s="1788"/>
      <c r="D5" s="1788"/>
      <c r="E5" s="1788"/>
      <c r="F5" s="1788"/>
      <c r="G5" s="1788"/>
      <c r="H5" s="1788"/>
      <c r="I5" s="1788"/>
      <c r="J5" s="1788"/>
      <c r="K5" s="71"/>
      <c r="L5" s="71"/>
    </row>
    <row r="6" spans="1:12" ht="18">
      <c r="A6" s="1789" t="str">
        <f>SUMMARY!A7</f>
        <v>YEAR ENDING DECEMBER 31, 2018</v>
      </c>
      <c r="B6" s="1789"/>
      <c r="C6" s="1789"/>
      <c r="D6" s="1789"/>
      <c r="E6" s="1789"/>
      <c r="F6" s="1789"/>
      <c r="G6" s="1789"/>
      <c r="H6" s="1789"/>
      <c r="I6" s="1789"/>
      <c r="J6" s="1789"/>
      <c r="K6" s="71"/>
      <c r="L6" s="71"/>
    </row>
    <row r="7" spans="1:12" ht="18">
      <c r="A7" s="11"/>
      <c r="B7" s="113"/>
      <c r="C7" s="113"/>
      <c r="D7" s="11"/>
      <c r="E7" s="11"/>
      <c r="F7" s="23"/>
      <c r="G7" s="11"/>
      <c r="H7" s="11"/>
      <c r="I7" s="11"/>
      <c r="J7" s="11"/>
      <c r="K7" s="11"/>
      <c r="L7" s="11"/>
    </row>
    <row r="8" spans="1:12" ht="18">
      <c r="A8" s="1790" t="s">
        <v>952</v>
      </c>
      <c r="B8" s="1790"/>
      <c r="C8" s="1790"/>
      <c r="D8" s="1790"/>
      <c r="E8" s="1790"/>
      <c r="F8" s="1790"/>
      <c r="G8" s="1790"/>
      <c r="H8" s="1790"/>
      <c r="I8" s="1790"/>
      <c r="J8" s="1790"/>
      <c r="K8" s="29"/>
      <c r="L8" s="29"/>
    </row>
    <row r="9" spans="1:12" ht="18">
      <c r="A9" s="1788" t="s">
        <v>758</v>
      </c>
      <c r="B9" s="1788"/>
      <c r="C9" s="1788"/>
      <c r="D9" s="1788"/>
      <c r="E9" s="1788"/>
      <c r="F9" s="1788"/>
      <c r="G9" s="1788"/>
      <c r="H9" s="1788"/>
      <c r="I9" s="1788"/>
      <c r="J9" s="1788"/>
      <c r="K9" s="71"/>
      <c r="L9" s="71"/>
    </row>
    <row r="10" spans="1:12" ht="18">
      <c r="A10" s="71"/>
      <c r="B10" s="430"/>
      <c r="C10" s="430"/>
      <c r="D10" s="71"/>
      <c r="E10" s="71"/>
      <c r="F10" s="71"/>
      <c r="G10" s="71"/>
      <c r="H10" s="71"/>
      <c r="I10" s="71"/>
      <c r="J10" s="71"/>
      <c r="K10" s="71"/>
      <c r="L10" s="71"/>
    </row>
    <row r="11" spans="1:12" ht="18">
      <c r="A11" s="71"/>
      <c r="B11" s="430"/>
      <c r="C11" s="430"/>
      <c r="D11" s="71"/>
      <c r="E11" s="71"/>
      <c r="F11" s="71"/>
      <c r="G11" s="71"/>
      <c r="H11" s="71"/>
      <c r="I11" s="71"/>
      <c r="J11" s="71"/>
      <c r="K11" s="71"/>
      <c r="L11" s="71"/>
    </row>
    <row r="12" spans="1:12" ht="18">
      <c r="A12" s="71"/>
      <c r="D12" s="1323" t="s">
        <v>192</v>
      </c>
      <c r="E12" s="71"/>
      <c r="F12" s="1324" t="s">
        <v>193</v>
      </c>
      <c r="G12" s="71"/>
      <c r="H12" s="1322" t="s">
        <v>194</v>
      </c>
      <c r="I12" s="71"/>
      <c r="J12" s="71"/>
      <c r="K12" s="71"/>
      <c r="L12" s="71"/>
    </row>
    <row r="13" spans="1:12" s="100" customFormat="1" ht="15.75">
      <c r="B13" s="533"/>
      <c r="C13" s="533"/>
      <c r="D13" s="429"/>
      <c r="E13" s="429"/>
      <c r="F13" s="429"/>
      <c r="G13" s="429"/>
      <c r="H13" s="429"/>
      <c r="I13" s="429"/>
    </row>
    <row r="14" spans="1:12" s="100" customFormat="1" ht="15.75">
      <c r="B14" s="535"/>
      <c r="C14" s="533"/>
      <c r="D14" s="429" t="s">
        <v>302</v>
      </c>
      <c r="E14" s="429"/>
      <c r="F14" s="429"/>
      <c r="G14" s="429"/>
      <c r="H14" s="429" t="s">
        <v>752</v>
      </c>
      <c r="I14" s="429"/>
    </row>
    <row r="15" spans="1:12" s="100" customFormat="1" ht="15.75">
      <c r="B15" s="561" t="s">
        <v>1</v>
      </c>
      <c r="C15" s="535"/>
      <c r="D15" s="571" t="s">
        <v>303</v>
      </c>
      <c r="E15" s="429"/>
      <c r="F15" s="571" t="s">
        <v>2</v>
      </c>
      <c r="G15" s="572"/>
      <c r="H15" s="571" t="s">
        <v>338</v>
      </c>
      <c r="I15" s="572"/>
    </row>
    <row r="16" spans="1:12" s="100" customFormat="1" ht="15.75">
      <c r="B16" s="479" t="s">
        <v>471</v>
      </c>
      <c r="C16" s="573"/>
      <c r="D16" s="1248">
        <v>43196</v>
      </c>
      <c r="E16" s="1709"/>
      <c r="F16" s="688">
        <v>514180</v>
      </c>
      <c r="G16" s="574"/>
      <c r="H16" s="719">
        <v>2700</v>
      </c>
      <c r="I16" s="575"/>
    </row>
    <row r="17" spans="2:9" s="100" customFormat="1" ht="15.75">
      <c r="B17" s="479" t="s">
        <v>473</v>
      </c>
      <c r="C17" s="555"/>
      <c r="D17" s="1248">
        <v>43210</v>
      </c>
      <c r="E17" s="1709"/>
      <c r="F17" s="688">
        <v>514180</v>
      </c>
      <c r="G17" s="574"/>
      <c r="H17" s="719">
        <v>675</v>
      </c>
      <c r="I17" s="575"/>
    </row>
    <row r="18" spans="2:9" s="100" customFormat="1" ht="15.75">
      <c r="B18" s="479" t="s">
        <v>494</v>
      </c>
      <c r="C18" s="555"/>
      <c r="D18" s="1248">
        <v>43245</v>
      </c>
      <c r="E18" s="1709"/>
      <c r="F18" s="688">
        <v>514180</v>
      </c>
      <c r="G18" s="574"/>
      <c r="H18" s="719">
        <v>675</v>
      </c>
      <c r="I18" s="575"/>
    </row>
    <row r="19" spans="2:9" s="100" customFormat="1" ht="15.75">
      <c r="B19" s="479" t="s">
        <v>495</v>
      </c>
      <c r="C19" s="479"/>
      <c r="D19" s="1248">
        <v>43311</v>
      </c>
      <c r="E19" s="1709"/>
      <c r="F19" s="688">
        <v>514180</v>
      </c>
      <c r="G19" s="574"/>
      <c r="H19" s="719">
        <v>1375</v>
      </c>
      <c r="I19" s="575"/>
    </row>
    <row r="20" spans="2:9" s="100" customFormat="1" ht="15.75">
      <c r="B20" s="479" t="s">
        <v>496</v>
      </c>
      <c r="C20" s="479"/>
      <c r="D20" s="1248">
        <v>43341</v>
      </c>
      <c r="E20" s="1709"/>
      <c r="F20" s="688">
        <v>514180</v>
      </c>
      <c r="G20" s="574"/>
      <c r="H20" s="719">
        <v>7800</v>
      </c>
      <c r="I20" s="575"/>
    </row>
    <row r="21" spans="2:9" s="100" customFormat="1" ht="15.75">
      <c r="B21" s="479" t="s">
        <v>497</v>
      </c>
      <c r="C21" s="479"/>
      <c r="D21" s="1248">
        <v>43378</v>
      </c>
      <c r="E21" s="1709"/>
      <c r="F21" s="688">
        <v>514180</v>
      </c>
      <c r="G21" s="574"/>
      <c r="H21" s="719">
        <v>100290</v>
      </c>
      <c r="I21" s="575"/>
    </row>
    <row r="22" spans="2:9" s="100" customFormat="1" ht="15">
      <c r="B22" s="479" t="s">
        <v>498</v>
      </c>
      <c r="C22" s="479"/>
      <c r="D22" s="1248">
        <v>43384</v>
      </c>
      <c r="E22" s="574"/>
      <c r="F22" s="688">
        <v>514180</v>
      </c>
      <c r="G22" s="574"/>
      <c r="H22" s="719">
        <v>1375</v>
      </c>
      <c r="I22" s="575"/>
    </row>
    <row r="23" spans="2:9" s="100" customFormat="1" ht="15.75">
      <c r="B23" s="479" t="s">
        <v>499</v>
      </c>
      <c r="C23" s="479"/>
      <c r="D23" s="1248">
        <v>43437</v>
      </c>
      <c r="E23" s="1709"/>
      <c r="F23" s="688">
        <v>514180</v>
      </c>
      <c r="G23" s="574"/>
      <c r="H23" s="719">
        <v>1159.97</v>
      </c>
      <c r="I23" s="575"/>
    </row>
    <row r="24" spans="2:9" s="100" customFormat="1" ht="15">
      <c r="B24" s="479" t="s">
        <v>500</v>
      </c>
      <c r="C24" s="479"/>
      <c r="D24" s="1248">
        <v>43447</v>
      </c>
      <c r="E24" s="574"/>
      <c r="F24" s="688">
        <v>514180</v>
      </c>
      <c r="G24" s="574"/>
      <c r="H24" s="1625">
        <v>1300</v>
      </c>
      <c r="I24" s="575"/>
    </row>
    <row r="25" spans="2:9" s="100" customFormat="1" ht="15">
      <c r="B25" s="479" t="s">
        <v>501</v>
      </c>
      <c r="C25" s="569"/>
      <c r="D25" s="1248"/>
      <c r="E25" s="574"/>
      <c r="F25" s="688"/>
      <c r="G25" s="574"/>
      <c r="H25" s="1625"/>
      <c r="I25" s="575"/>
    </row>
    <row r="26" spans="2:9" s="100" customFormat="1" ht="15.75">
      <c r="B26" s="479" t="s">
        <v>502</v>
      </c>
      <c r="C26" s="569"/>
      <c r="D26" s="1248"/>
      <c r="E26" s="1619"/>
      <c r="F26" s="688"/>
      <c r="G26" s="574"/>
      <c r="H26" s="719"/>
      <c r="I26" s="575"/>
    </row>
    <row r="27" spans="2:9" s="100" customFormat="1" ht="15">
      <c r="B27" s="479" t="s">
        <v>503</v>
      </c>
      <c r="C27" s="569"/>
      <c r="D27" s="1248"/>
      <c r="E27" s="574"/>
      <c r="F27" s="688"/>
      <c r="G27" s="574"/>
      <c r="H27" s="1625"/>
      <c r="I27" s="575"/>
    </row>
    <row r="28" spans="2:9" s="100" customFormat="1" ht="15">
      <c r="B28" s="479" t="s">
        <v>504</v>
      </c>
      <c r="C28" s="570"/>
      <c r="D28" s="1248"/>
      <c r="E28" s="574"/>
      <c r="F28" s="688"/>
      <c r="G28" s="574"/>
      <c r="H28" s="1625"/>
      <c r="I28" s="575"/>
    </row>
    <row r="29" spans="2:9" s="100" customFormat="1" ht="15">
      <c r="B29" s="479" t="s">
        <v>505</v>
      </c>
      <c r="C29" s="570"/>
      <c r="D29" s="1248"/>
      <c r="E29" s="574"/>
      <c r="F29" s="688"/>
      <c r="G29" s="574"/>
      <c r="H29" s="1625"/>
      <c r="I29" s="575"/>
    </row>
    <row r="30" spans="2:9" s="100" customFormat="1" ht="15">
      <c r="B30" s="479" t="s">
        <v>506</v>
      </c>
      <c r="C30" s="570"/>
      <c r="D30" s="1248"/>
      <c r="E30" s="574"/>
      <c r="F30" s="688"/>
      <c r="G30" s="574"/>
      <c r="H30" s="1625"/>
      <c r="I30" s="575"/>
    </row>
    <row r="31" spans="2:9" s="100" customFormat="1" ht="15">
      <c r="B31" s="479" t="s">
        <v>1169</v>
      </c>
      <c r="C31" s="570"/>
      <c r="D31" s="1248"/>
      <c r="E31" s="574"/>
      <c r="F31" s="688"/>
      <c r="G31" s="574"/>
      <c r="H31" s="1625"/>
      <c r="I31" s="575"/>
    </row>
    <row r="32" spans="2:9" s="100" customFormat="1" ht="15">
      <c r="B32" s="479" t="s">
        <v>1170</v>
      </c>
      <c r="C32" s="570"/>
      <c r="D32" s="1248"/>
      <c r="E32" s="574"/>
      <c r="F32" s="688"/>
      <c r="G32" s="574"/>
      <c r="H32" s="1625"/>
      <c r="I32" s="575"/>
    </row>
    <row r="33" spans="2:9" s="100" customFormat="1" ht="15">
      <c r="B33" s="479" t="s">
        <v>1171</v>
      </c>
      <c r="C33" s="570"/>
      <c r="D33" s="1248"/>
      <c r="E33" s="574"/>
      <c r="F33" s="688"/>
      <c r="G33" s="574"/>
      <c r="H33" s="1625"/>
      <c r="I33" s="575"/>
    </row>
    <row r="34" spans="2:9" s="100" customFormat="1" ht="15">
      <c r="B34" s="479" t="s">
        <v>1172</v>
      </c>
      <c r="C34" s="570"/>
      <c r="D34" s="1248"/>
      <c r="E34" s="574"/>
      <c r="F34" s="688"/>
      <c r="G34" s="574"/>
      <c r="H34" s="1625"/>
      <c r="I34" s="575"/>
    </row>
    <row r="35" spans="2:9" s="100" customFormat="1" ht="15">
      <c r="B35" s="479" t="s">
        <v>541</v>
      </c>
      <c r="C35" s="570"/>
      <c r="D35" s="1408"/>
      <c r="E35" s="574"/>
      <c r="F35" s="1389"/>
      <c r="G35" s="574"/>
      <c r="H35" s="1390"/>
      <c r="I35" s="575"/>
    </row>
    <row r="36" spans="2:9" s="100" customFormat="1" ht="15.75">
      <c r="B36" s="479">
        <v>2</v>
      </c>
      <c r="C36" s="541"/>
      <c r="D36" s="574"/>
      <c r="E36" s="574"/>
      <c r="F36" s="574" t="s">
        <v>296</v>
      </c>
      <c r="G36" s="574"/>
      <c r="H36" s="576">
        <f>SUM(H16:H35)</f>
        <v>117349.97</v>
      </c>
      <c r="I36" s="577"/>
    </row>
    <row r="37" spans="2:9" s="100" customFormat="1" ht="15.75">
      <c r="B37" s="533"/>
      <c r="C37" s="533"/>
      <c r="H37" s="322"/>
    </row>
    <row r="38" spans="2:9" s="100" customFormat="1" ht="15.75">
      <c r="B38" s="533"/>
      <c r="C38" s="533"/>
      <c r="H38" s="322"/>
    </row>
    <row r="39" spans="2:9" s="100" customFormat="1" ht="15">
      <c r="B39" s="533"/>
      <c r="C39" s="533"/>
    </row>
    <row r="40" spans="2:9" s="100" customFormat="1" ht="15">
      <c r="B40" s="533"/>
      <c r="C40" s="533"/>
    </row>
  </sheetData>
  <sortState ref="D16:H28">
    <sortCondition ref="D16:D28"/>
  </sortState>
  <customSheetViews>
    <customSheetView guid="{B321D76C-CDE5-48BB-9CDE-80FF97D58FCF}" scale="85" showPageBreaks="1" printArea="1" view="pageBreakPreview">
      <selection activeCell="D33" sqref="D33"/>
      <pageMargins left="0.7" right="0.7" top="0.75" bottom="0.75" header="0.3" footer="0.3"/>
      <printOptions horizontalCentered="1"/>
      <pageSetup orientation="portrait" r:id="rId1"/>
    </customSheetView>
  </customSheetViews>
  <mergeCells count="5">
    <mergeCell ref="A4:J4"/>
    <mergeCell ref="A5:J5"/>
    <mergeCell ref="A6:J6"/>
    <mergeCell ref="A8:J8"/>
    <mergeCell ref="A9:J9"/>
  </mergeCells>
  <printOptions horizontalCentered="1"/>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pageSetUpPr fitToPage="1"/>
  </sheetPr>
  <dimension ref="A1:N55"/>
  <sheetViews>
    <sheetView showGridLines="0" tabSelected="1" defaultGridColor="0" topLeftCell="A13" colorId="22" zoomScale="80" zoomScaleNormal="80" zoomScaleSheetLayoutView="80" workbookViewId="0">
      <selection activeCell="C30" sqref="C30"/>
    </sheetView>
  </sheetViews>
  <sheetFormatPr defaultColWidth="13.5" defaultRowHeight="12"/>
  <cols>
    <col min="1" max="1" width="8.25" customWidth="1"/>
    <col min="2" max="2" width="30.25" customWidth="1"/>
    <col min="3" max="3" width="18.25" customWidth="1"/>
    <col min="4" max="4" width="18.75" customWidth="1"/>
    <col min="5" max="5" width="18.5" customWidth="1"/>
    <col min="6" max="6" width="39.5" customWidth="1"/>
    <col min="7" max="7" width="7.75" customWidth="1"/>
    <col min="8" max="8" width="17" customWidth="1"/>
    <col min="9" max="9" width="17" bestFit="1" customWidth="1"/>
    <col min="10" max="10" width="20.5" customWidth="1"/>
    <col min="11" max="11" width="22.5" customWidth="1"/>
  </cols>
  <sheetData>
    <row r="1" spans="1:8" ht="15.75">
      <c r="A1" s="5" t="s">
        <v>1156</v>
      </c>
      <c r="B1" s="5"/>
      <c r="C1" s="4"/>
      <c r="D1" s="4"/>
      <c r="E1" s="4"/>
      <c r="F1" s="159"/>
    </row>
    <row r="2" spans="1:8" ht="15">
      <c r="A2" s="4"/>
      <c r="B2" s="26"/>
      <c r="C2" s="4"/>
      <c r="D2" s="4"/>
      <c r="E2" s="4"/>
      <c r="F2" s="4"/>
    </row>
    <row r="5" spans="1:8" ht="15.75">
      <c r="A5" s="1784" t="s">
        <v>199</v>
      </c>
      <c r="B5" s="1784"/>
      <c r="C5" s="1784"/>
      <c r="D5" s="1784"/>
      <c r="E5" s="1784"/>
      <c r="F5" s="1784"/>
      <c r="G5" s="1784"/>
      <c r="H5" s="1784"/>
    </row>
    <row r="6" spans="1:8" ht="15.75">
      <c r="A6" s="1784" t="s">
        <v>103</v>
      </c>
      <c r="B6" s="1784"/>
      <c r="C6" s="1784"/>
      <c r="D6" s="1784"/>
      <c r="E6" s="1784"/>
      <c r="F6" s="1784"/>
      <c r="G6" s="1784"/>
      <c r="H6" s="1784"/>
    </row>
    <row r="7" spans="1:8" ht="15.75">
      <c r="A7" s="1785" t="s">
        <v>2036</v>
      </c>
      <c r="B7" s="1785"/>
      <c r="C7" s="1785"/>
      <c r="D7" s="1785"/>
      <c r="E7" s="1785"/>
      <c r="F7" s="1785"/>
      <c r="G7" s="1785"/>
      <c r="H7" s="1785"/>
    </row>
    <row r="10" spans="1:8" ht="15.75">
      <c r="A10" s="1786" t="s">
        <v>351</v>
      </c>
      <c r="B10" s="1786"/>
      <c r="C10" s="1786"/>
      <c r="D10" s="1786"/>
      <c r="E10" s="1786"/>
      <c r="F10" s="1786"/>
      <c r="G10" s="1786"/>
      <c r="H10" s="1786"/>
    </row>
    <row r="11" spans="1:8" ht="15.75">
      <c r="A11" s="4"/>
      <c r="B11" s="4"/>
      <c r="C11" s="5" t="s">
        <v>89</v>
      </c>
      <c r="D11" s="4"/>
      <c r="E11" s="4"/>
      <c r="F11" s="4"/>
      <c r="G11" s="4"/>
    </row>
    <row r="14" spans="1:8" s="133" customFormat="1" ht="15.75">
      <c r="B14" s="132"/>
      <c r="C14" s="132"/>
      <c r="D14" s="132"/>
      <c r="E14" s="132"/>
      <c r="F14" s="132"/>
      <c r="G14" s="132"/>
    </row>
    <row r="15" spans="1:8" s="152" customFormat="1" ht="15.75">
      <c r="A15" s="1225" t="s">
        <v>1</v>
      </c>
      <c r="B15" s="1226" t="s">
        <v>90</v>
      </c>
      <c r="C15" s="4"/>
      <c r="D15" s="524" t="s">
        <v>358</v>
      </c>
      <c r="E15" s="4"/>
      <c r="F15" s="1006" t="s">
        <v>55</v>
      </c>
      <c r="G15" s="4"/>
    </row>
    <row r="16" spans="1:8" s="152" customFormat="1" ht="15">
      <c r="A16" s="4"/>
      <c r="B16" s="4"/>
      <c r="C16" s="4"/>
      <c r="D16" s="525" t="s">
        <v>6</v>
      </c>
      <c r="E16" s="4"/>
      <c r="F16" s="525" t="s">
        <v>7</v>
      </c>
    </row>
    <row r="17" spans="1:10" s="158" customFormat="1" ht="15"/>
    <row r="18" spans="1:10" s="158" customFormat="1" ht="15.75">
      <c r="A18" s="757">
        <v>1</v>
      </c>
      <c r="B18" s="4" t="s">
        <v>91</v>
      </c>
      <c r="C18" s="4"/>
      <c r="D18" s="1012">
        <f>'A1-O&amp;M'!J37</f>
        <v>61189306.31077902</v>
      </c>
      <c r="E18" s="4"/>
      <c r="F18" s="1227" t="s">
        <v>886</v>
      </c>
    </row>
    <row r="19" spans="1:10" s="158" customFormat="1" ht="15">
      <c r="D19" s="1228"/>
    </row>
    <row r="20" spans="1:10" s="158" customFormat="1" ht="15.75">
      <c r="A20" s="757">
        <v>2</v>
      </c>
      <c r="B20" s="4" t="s">
        <v>93</v>
      </c>
      <c r="C20" s="4"/>
      <c r="D20" s="1012">
        <f>'A2-A&amp;G'!J40</f>
        <v>62961761.686534777</v>
      </c>
      <c r="E20" s="4"/>
      <c r="F20" s="1227" t="s">
        <v>887</v>
      </c>
    </row>
    <row r="21" spans="1:10" s="158" customFormat="1" ht="15">
      <c r="D21" s="1228"/>
      <c r="E21" s="1663"/>
    </row>
    <row r="22" spans="1:10" s="158" customFormat="1" ht="15.75">
      <c r="A22" s="757">
        <v>3</v>
      </c>
      <c r="B22" s="4" t="s">
        <v>92</v>
      </c>
      <c r="C22" s="4"/>
      <c r="D22" s="1012">
        <f>'B1-Depn'!P47</f>
        <v>41708390.820952803</v>
      </c>
      <c r="E22" s="1664"/>
      <c r="F22" s="1227" t="s">
        <v>882</v>
      </c>
    </row>
    <row r="23" spans="1:10" s="158" customFormat="1" ht="15">
      <c r="D23" s="1270"/>
    </row>
    <row r="24" spans="1:10" s="158" customFormat="1" ht="15.75">
      <c r="A24" s="757">
        <v>4</v>
      </c>
      <c r="B24" s="5" t="s">
        <v>94</v>
      </c>
      <c r="C24" s="4"/>
      <c r="D24" s="1269">
        <f>SUM(D18:D22)</f>
        <v>165859458.8182666</v>
      </c>
      <c r="E24" s="4"/>
      <c r="F24" s="4" t="s">
        <v>594</v>
      </c>
    </row>
    <row r="25" spans="1:10" s="158" customFormat="1" ht="15">
      <c r="D25" s="1228"/>
    </row>
    <row r="26" spans="1:10" s="158" customFormat="1" ht="16.5" thickBot="1">
      <c r="A26" s="757">
        <v>5</v>
      </c>
      <c r="B26" s="1006" t="s">
        <v>95</v>
      </c>
      <c r="C26" s="4"/>
      <c r="D26" s="1271">
        <f>'C1-Rate Base'!L31</f>
        <v>786278454.94802284</v>
      </c>
      <c r="E26" s="4"/>
      <c r="F26" s="1227" t="s">
        <v>883</v>
      </c>
    </row>
    <row r="27" spans="1:10" s="158" customFormat="1" ht="15.75" thickTop="1">
      <c r="D27" s="1228"/>
    </row>
    <row r="28" spans="1:10" s="158" customFormat="1" ht="15.75">
      <c r="A28" s="757">
        <v>6</v>
      </c>
      <c r="B28" s="4" t="s">
        <v>96</v>
      </c>
      <c r="C28" s="4"/>
      <c r="D28" s="1499">
        <f>'C1-Rate Base'!P31</f>
        <v>57013802.852485351</v>
      </c>
      <c r="E28" s="4"/>
      <c r="F28" s="1227" t="s">
        <v>884</v>
      </c>
    </row>
    <row r="29" spans="1:10" s="158" customFormat="1" ht="15">
      <c r="D29" s="1228"/>
    </row>
    <row r="30" spans="1:10" s="158" customFormat="1" ht="15.75">
      <c r="A30" s="1510" t="s">
        <v>1367</v>
      </c>
      <c r="B30" s="4" t="s">
        <v>1722</v>
      </c>
      <c r="C30" s="4"/>
      <c r="D30" s="1499">
        <f>'D2-Project Cap Structures'!H35</f>
        <v>59071.47615344869</v>
      </c>
      <c r="E30" s="4"/>
      <c r="F30" s="1227" t="s">
        <v>1758</v>
      </c>
    </row>
    <row r="31" spans="1:10" s="158" customFormat="1" ht="15.75">
      <c r="D31" s="1267"/>
      <c r="E31" s="1267"/>
    </row>
    <row r="32" spans="1:10" s="158" customFormat="1" ht="15.75">
      <c r="A32" s="757">
        <v>7</v>
      </c>
      <c r="B32" s="5" t="s">
        <v>454</v>
      </c>
      <c r="C32" s="4"/>
      <c r="D32" s="1267">
        <f>D24+D28+D30</f>
        <v>222932333.14690542</v>
      </c>
      <c r="E32" s="4"/>
      <c r="F32" s="1227" t="s">
        <v>1723</v>
      </c>
      <c r="J32" s="1229"/>
    </row>
    <row r="33" spans="1:14" s="152" customFormat="1" ht="12.75">
      <c r="J33" s="1230"/>
    </row>
    <row r="34" spans="1:14" s="152" customFormat="1" ht="15.75">
      <c r="A34" s="757">
        <v>8</v>
      </c>
      <c r="B34" s="1231" t="s">
        <v>841</v>
      </c>
      <c r="C34" s="158"/>
      <c r="D34" s="1228">
        <f>+'F1-Proj RR'!O67</f>
        <v>0</v>
      </c>
      <c r="E34" s="256"/>
      <c r="F34" s="256" t="s">
        <v>1135</v>
      </c>
      <c r="G34" s="256"/>
      <c r="H34" s="256"/>
      <c r="I34" s="255"/>
      <c r="J34" s="1141"/>
    </row>
    <row r="35" spans="1:14" s="152" customFormat="1" ht="15">
      <c r="A35" s="1233"/>
      <c r="I35" s="256"/>
      <c r="J35" s="257"/>
    </row>
    <row r="36" spans="1:14" s="152" customFormat="1" ht="15.75">
      <c r="A36" s="1273">
        <v>9</v>
      </c>
      <c r="B36" s="1231" t="s">
        <v>592</v>
      </c>
      <c r="C36" s="158"/>
      <c r="D36" s="1696">
        <f>+'F3-True-Up'!J30</f>
        <v>14788009.110501498</v>
      </c>
      <c r="E36" s="1151"/>
      <c r="F36" s="1246" t="s">
        <v>1136</v>
      </c>
      <c r="G36" s="1232"/>
      <c r="H36" s="1780"/>
      <c r="I36" s="256"/>
      <c r="J36" s="257"/>
    </row>
    <row r="37" spans="1:14" s="152" customFormat="1" ht="15">
      <c r="A37" s="1233"/>
      <c r="B37" s="1231"/>
      <c r="C37" s="158"/>
      <c r="D37" s="255"/>
      <c r="E37" s="1705"/>
      <c r="F37" s="256"/>
      <c r="G37" s="256"/>
      <c r="I37" s="1782"/>
      <c r="J37" s="257"/>
    </row>
    <row r="38" spans="1:14" s="152" customFormat="1" ht="15.75">
      <c r="A38" s="757">
        <v>10</v>
      </c>
      <c r="B38" s="1234" t="s">
        <v>593</v>
      </c>
      <c r="C38" s="158"/>
      <c r="D38" s="1272">
        <f>+D32+D36+D34</f>
        <v>237720342.25740692</v>
      </c>
      <c r="E38" s="1706"/>
      <c r="F38" s="257" t="s">
        <v>843</v>
      </c>
      <c r="G38" s="257"/>
      <c r="H38" s="1780"/>
      <c r="I38" s="257"/>
      <c r="J38" s="257"/>
    </row>
    <row r="39" spans="1:14" s="152" customFormat="1" ht="15">
      <c r="A39" s="158"/>
      <c r="B39" s="158"/>
      <c r="C39" s="158"/>
      <c r="D39" s="158"/>
      <c r="E39" s="1707"/>
      <c r="F39" s="158"/>
      <c r="G39" s="158"/>
      <c r="H39" s="1780"/>
      <c r="I39" s="257"/>
      <c r="J39" s="257"/>
      <c r="N39" s="257"/>
    </row>
    <row r="40" spans="1:14" s="152" customFormat="1" ht="15.75">
      <c r="A40" s="757"/>
      <c r="B40" s="1014" t="s">
        <v>595</v>
      </c>
      <c r="C40" s="158"/>
      <c r="D40" s="158"/>
      <c r="E40" s="1707"/>
      <c r="F40" s="158"/>
      <c r="G40" s="158"/>
      <c r="H40" s="1781"/>
      <c r="I40" s="257"/>
      <c r="J40" s="257"/>
      <c r="N40" s="257"/>
    </row>
    <row r="41" spans="1:14" s="152" customFormat="1" ht="15">
      <c r="A41" s="158"/>
      <c r="B41" s="158"/>
      <c r="C41" s="158"/>
      <c r="D41" s="158"/>
      <c r="E41" s="1707"/>
      <c r="F41" s="158"/>
      <c r="G41" s="158"/>
      <c r="H41" s="1781"/>
      <c r="I41" s="257"/>
      <c r="J41" s="257"/>
      <c r="N41" s="257"/>
    </row>
    <row r="42" spans="1:14" s="152" customFormat="1" ht="15.75">
      <c r="A42" s="757">
        <v>11</v>
      </c>
      <c r="B42" s="158" t="s">
        <v>778</v>
      </c>
      <c r="C42" s="158"/>
      <c r="D42" s="1228">
        <f>+'F1-Proj RR'!T47</f>
        <v>224563189.27967989</v>
      </c>
      <c r="E42" s="1707"/>
      <c r="F42" s="257" t="s">
        <v>1132</v>
      </c>
      <c r="G42" s="158"/>
      <c r="H42" s="1781"/>
      <c r="I42" s="257"/>
      <c r="J42" s="257"/>
      <c r="N42" s="257"/>
    </row>
    <row r="43" spans="1:14" s="152" customFormat="1" ht="15.75">
      <c r="A43" s="757" t="s">
        <v>1079</v>
      </c>
      <c r="B43" s="158" t="s">
        <v>1157</v>
      </c>
      <c r="C43" s="158"/>
      <c r="D43" s="1228">
        <f>+'F1-Proj RR'!T48</f>
        <v>13157152.977726972</v>
      </c>
      <c r="E43" s="1707"/>
      <c r="F43" s="257" t="s">
        <v>1134</v>
      </c>
      <c r="G43" s="158"/>
      <c r="H43" s="1781"/>
      <c r="I43" s="257"/>
      <c r="J43" s="257"/>
      <c r="N43" s="257"/>
    </row>
    <row r="44" spans="1:14" s="152" customFormat="1" ht="15.75">
      <c r="A44" s="757" t="s">
        <v>1080</v>
      </c>
      <c r="B44" s="158" t="s">
        <v>574</v>
      </c>
      <c r="C44" s="158"/>
      <c r="D44" s="1228">
        <f>+'F1-Proj RR'!T49</f>
        <v>0</v>
      </c>
      <c r="E44" s="158"/>
      <c r="F44" s="257" t="s">
        <v>1133</v>
      </c>
      <c r="G44" s="158"/>
      <c r="H44" s="1781"/>
      <c r="I44" s="257"/>
      <c r="J44" s="257"/>
      <c r="N44" s="257"/>
    </row>
    <row r="45" spans="1:14" s="152" customFormat="1" ht="15.75">
      <c r="A45" s="757" t="s">
        <v>1081</v>
      </c>
      <c r="B45" s="1465">
        <v>0</v>
      </c>
      <c r="C45" s="158"/>
      <c r="D45" s="1228">
        <f>+'F1-Proj RR'!T50</f>
        <v>0</v>
      </c>
      <c r="E45" s="158"/>
      <c r="F45" s="1463"/>
      <c r="G45" s="158"/>
      <c r="H45" s="1781"/>
      <c r="I45" s="257"/>
      <c r="J45" s="257"/>
      <c r="N45" s="257"/>
    </row>
    <row r="46" spans="1:14" s="152" customFormat="1" ht="15.75">
      <c r="A46" s="757" t="s">
        <v>541</v>
      </c>
      <c r="B46" s="1465">
        <v>0</v>
      </c>
      <c r="C46" s="158"/>
      <c r="D46" s="1228">
        <f>+'F1-Proj RR'!T51</f>
        <v>0</v>
      </c>
      <c r="E46" s="158"/>
      <c r="F46" s="1466">
        <v>0</v>
      </c>
      <c r="G46" s="158"/>
      <c r="H46" s="1781"/>
      <c r="I46" s="257"/>
      <c r="J46" s="257"/>
      <c r="N46" s="257"/>
    </row>
    <row r="47" spans="1:14" s="152" customFormat="1" ht="15">
      <c r="A47" s="158"/>
      <c r="B47" s="158"/>
      <c r="C47" s="158"/>
      <c r="D47" s="1270"/>
      <c r="E47" s="158"/>
      <c r="F47" s="158"/>
      <c r="G47" s="158"/>
      <c r="H47" s="1781"/>
      <c r="I47" s="257"/>
      <c r="J47" s="257"/>
      <c r="N47" s="257"/>
    </row>
    <row r="48" spans="1:14" s="152" customFormat="1" ht="16.5" thickBot="1">
      <c r="A48" s="757">
        <v>12</v>
      </c>
      <c r="B48" s="158" t="s">
        <v>596</v>
      </c>
      <c r="C48" s="158"/>
      <c r="D48" s="1271">
        <f>SUM(D42:D47)</f>
        <v>237720342.25740686</v>
      </c>
      <c r="E48" s="158"/>
      <c r="F48" s="257" t="s">
        <v>1082</v>
      </c>
      <c r="G48" s="158"/>
      <c r="H48" s="1781"/>
      <c r="I48" s="257"/>
    </row>
    <row r="49" spans="1:9" s="152" customFormat="1" ht="15.75" thickTop="1">
      <c r="A49" s="158"/>
      <c r="B49" s="158"/>
      <c r="C49" s="158"/>
      <c r="D49" s="158"/>
      <c r="E49" s="158"/>
      <c r="F49" s="158"/>
      <c r="G49" s="158"/>
      <c r="H49" s="158"/>
      <c r="I49" s="158"/>
    </row>
    <row r="50" spans="1:9" s="152" customFormat="1" ht="15">
      <c r="A50" s="158"/>
      <c r="B50" s="158"/>
      <c r="C50" s="158"/>
      <c r="D50" s="158"/>
      <c r="E50" s="158"/>
      <c r="F50" s="158"/>
      <c r="G50" s="158"/>
      <c r="H50" s="158"/>
      <c r="I50" s="158"/>
    </row>
    <row r="51" spans="1:9" s="152" customFormat="1" ht="15" customHeight="1">
      <c r="A51" s="158" t="s">
        <v>768</v>
      </c>
      <c r="B51" s="1787" t="s">
        <v>779</v>
      </c>
      <c r="C51" s="1787"/>
      <c r="D51" s="1787"/>
      <c r="E51" s="1787"/>
      <c r="F51" s="1787"/>
      <c r="G51" s="1464"/>
      <c r="H51" s="1464"/>
      <c r="I51" s="158"/>
    </row>
    <row r="52" spans="1:9" s="152" customFormat="1" ht="15">
      <c r="A52" s="158"/>
      <c r="B52" s="1787"/>
      <c r="C52" s="1787"/>
      <c r="D52" s="1787"/>
      <c r="E52" s="1787"/>
      <c r="F52" s="1787"/>
      <c r="G52" s="1464"/>
      <c r="H52" s="1464"/>
      <c r="I52" s="158"/>
    </row>
    <row r="53" spans="1:9" ht="15.75">
      <c r="A53" s="140"/>
      <c r="B53" s="140"/>
      <c r="C53" s="140"/>
      <c r="D53" s="140"/>
      <c r="E53" s="140"/>
      <c r="F53" s="140"/>
      <c r="G53" s="140"/>
      <c r="H53" s="140"/>
      <c r="I53" s="140"/>
    </row>
    <row r="55" spans="1:9">
      <c r="D55" s="1745"/>
    </row>
  </sheetData>
  <customSheetViews>
    <customSheetView guid="{B321D76C-CDE5-48BB-9CDE-80FF97D58FCF}" scale="80" colorId="22" showPageBreaks="1" showGridLines="0" fitToPage="1" printArea="1" view="pageBreakPreview">
      <selection activeCell="A7" sqref="A7:H7"/>
      <pageMargins left="0.5" right="0.5" top="1" bottom="1" header="0.5" footer="0.5"/>
      <printOptions horizontalCentered="1"/>
      <pageSetup scale="58" orientation="landscape" r:id="rId1"/>
      <headerFooter alignWithMargins="0"/>
    </customSheetView>
  </customSheetViews>
  <mergeCells count="5">
    <mergeCell ref="A5:H5"/>
    <mergeCell ref="A6:H6"/>
    <mergeCell ref="A7:H7"/>
    <mergeCell ref="A10:H10"/>
    <mergeCell ref="B51:F52"/>
  </mergeCells>
  <phoneticPr fontId="0" type="noConversion"/>
  <printOptions horizontalCentered="1"/>
  <pageMargins left="0.5" right="0.5" top="1" bottom="1" header="0.5" footer="0.5"/>
  <pageSetup scale="56" orientation="landscape"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A1:P25"/>
  <sheetViews>
    <sheetView tabSelected="1" view="pageBreakPreview" zoomScaleNormal="100" zoomScaleSheetLayoutView="100" workbookViewId="0">
      <selection activeCell="C30" sqref="C30"/>
    </sheetView>
  </sheetViews>
  <sheetFormatPr defaultColWidth="9" defaultRowHeight="12.75"/>
  <cols>
    <col min="1" max="1" width="6.75" style="533" customWidth="1"/>
    <col min="2" max="2" width="7.5" style="533" bestFit="1" customWidth="1"/>
    <col min="3" max="3" width="5" style="533" customWidth="1"/>
    <col min="4" max="4" width="35.5" style="533" bestFit="1" customWidth="1"/>
    <col min="5" max="5" width="14.5" style="533" bestFit="1" customWidth="1"/>
    <col min="6" max="6" width="3.5" style="533" customWidth="1"/>
    <col min="7" max="7" width="2.125" style="533" customWidth="1"/>
    <col min="8" max="8" width="15.25" style="533" bestFit="1" customWidth="1"/>
    <col min="9" max="9" width="8.5" style="533" customWidth="1"/>
    <col min="10" max="10" width="13.375" style="533" bestFit="1" customWidth="1"/>
    <col min="11" max="11" width="29.125" style="533" customWidth="1"/>
    <col min="12" max="12" width="41.375" style="533" customWidth="1"/>
    <col min="13" max="13" width="10" style="533" bestFit="1" customWidth="1"/>
    <col min="14" max="14" width="17.125" style="533" bestFit="1" customWidth="1"/>
    <col min="15" max="16384" width="9" style="533"/>
  </cols>
  <sheetData>
    <row r="1" spans="1:16" s="535" customFormat="1" ht="15.75">
      <c r="A1" s="14" t="s">
        <v>953</v>
      </c>
      <c r="B1" s="109"/>
      <c r="C1" s="109"/>
      <c r="D1" s="542"/>
      <c r="E1" s="542"/>
      <c r="F1" s="542"/>
      <c r="G1" s="542"/>
      <c r="H1" s="542"/>
      <c r="I1" s="109"/>
      <c r="J1" s="109"/>
      <c r="K1" s="109"/>
      <c r="L1" s="169"/>
      <c r="P1" s="170"/>
    </row>
    <row r="3" spans="1:16" ht="18">
      <c r="A3" s="112"/>
      <c r="B3" s="113"/>
      <c r="C3" s="113"/>
      <c r="D3" s="554"/>
      <c r="E3" s="554"/>
      <c r="F3" s="554"/>
      <c r="G3" s="554"/>
      <c r="H3" s="554"/>
      <c r="I3" s="113"/>
      <c r="J3" s="113"/>
      <c r="K3" s="113"/>
      <c r="L3" s="113"/>
      <c r="M3" s="113"/>
      <c r="N3" s="113"/>
      <c r="O3" s="113"/>
      <c r="P3" s="430"/>
    </row>
    <row r="4" spans="1:16" ht="18">
      <c r="A4" s="1835" t="s">
        <v>200</v>
      </c>
      <c r="B4" s="1835"/>
      <c r="C4" s="1835"/>
      <c r="D4" s="1835"/>
      <c r="E4" s="1835"/>
      <c r="F4" s="1835"/>
      <c r="G4" s="1835"/>
      <c r="H4" s="1835"/>
      <c r="I4" s="172"/>
      <c r="J4" s="172"/>
      <c r="K4" s="172"/>
      <c r="L4" s="172"/>
      <c r="M4" s="172"/>
      <c r="N4" s="172"/>
      <c r="O4" s="172"/>
      <c r="P4" s="172"/>
    </row>
    <row r="5" spans="1:16" ht="18">
      <c r="A5" s="1835" t="s">
        <v>103</v>
      </c>
      <c r="B5" s="1835"/>
      <c r="C5" s="1835"/>
      <c r="D5" s="1835"/>
      <c r="E5" s="1835"/>
      <c r="F5" s="1835"/>
      <c r="G5" s="1835"/>
      <c r="H5" s="1835"/>
      <c r="I5" s="172"/>
      <c r="J5" s="172"/>
      <c r="K5" s="172"/>
      <c r="L5" s="172"/>
      <c r="M5" s="172"/>
      <c r="N5" s="172"/>
      <c r="O5" s="172"/>
      <c r="P5" s="172"/>
    </row>
    <row r="6" spans="1:16" ht="18">
      <c r="A6" s="1836" t="str">
        <f>SUMMARY!A7</f>
        <v>YEAR ENDING DECEMBER 31, 2018</v>
      </c>
      <c r="B6" s="1836"/>
      <c r="C6" s="1836"/>
      <c r="D6" s="1836"/>
      <c r="E6" s="1836"/>
      <c r="F6" s="1836"/>
      <c r="G6" s="1836"/>
      <c r="H6" s="1836"/>
      <c r="I6" s="172"/>
      <c r="J6" s="172"/>
      <c r="K6" s="172"/>
      <c r="L6" s="172"/>
      <c r="M6" s="172"/>
      <c r="N6" s="172"/>
      <c r="O6" s="172"/>
      <c r="P6" s="172"/>
    </row>
    <row r="7" spans="1:16" ht="12" customHeight="1">
      <c r="A7" s="113"/>
      <c r="B7" s="113"/>
      <c r="C7" s="113"/>
      <c r="D7" s="116"/>
      <c r="E7" s="116"/>
      <c r="F7" s="116"/>
      <c r="G7" s="116"/>
      <c r="H7" s="116"/>
      <c r="I7" s="113"/>
      <c r="J7" s="113"/>
      <c r="K7" s="113"/>
      <c r="L7" s="113"/>
      <c r="M7" s="113"/>
      <c r="N7" s="113"/>
      <c r="O7" s="113"/>
      <c r="P7" s="113"/>
    </row>
    <row r="8" spans="1:16" ht="18">
      <c r="A8" s="1837" t="s">
        <v>954</v>
      </c>
      <c r="B8" s="1837"/>
      <c r="C8" s="1837"/>
      <c r="D8" s="1837"/>
      <c r="E8" s="1837"/>
      <c r="F8" s="1837"/>
      <c r="G8" s="1837"/>
      <c r="H8" s="1837"/>
      <c r="I8" s="173"/>
      <c r="J8" s="173"/>
      <c r="K8" s="173"/>
      <c r="L8" s="173"/>
      <c r="M8" s="173"/>
      <c r="N8" s="173"/>
      <c r="O8" s="173"/>
      <c r="P8" s="173"/>
    </row>
    <row r="9" spans="1:16" ht="18">
      <c r="A9" s="1835" t="s">
        <v>825</v>
      </c>
      <c r="B9" s="1835"/>
      <c r="C9" s="1835"/>
      <c r="D9" s="1835"/>
      <c r="E9" s="1835"/>
      <c r="F9" s="1835"/>
      <c r="G9" s="1835"/>
      <c r="H9" s="1835"/>
      <c r="I9" s="172"/>
      <c r="J9" s="172"/>
      <c r="K9" s="172"/>
      <c r="L9" s="172"/>
      <c r="M9" s="172"/>
      <c r="N9" s="172"/>
      <c r="O9" s="172"/>
      <c r="P9" s="172"/>
    </row>
    <row r="10" spans="1:16" ht="18">
      <c r="A10" s="430"/>
      <c r="B10" s="430"/>
      <c r="C10" s="430"/>
      <c r="D10" s="1323" t="s">
        <v>192</v>
      </c>
      <c r="E10" s="71"/>
      <c r="F10" s="1324"/>
      <c r="G10" s="71"/>
      <c r="H10" s="1322" t="s">
        <v>193</v>
      </c>
      <c r="I10" s="430"/>
      <c r="J10" s="430"/>
      <c r="K10" s="430"/>
      <c r="L10" s="430"/>
      <c r="M10" s="430"/>
      <c r="N10" s="172"/>
      <c r="O10" s="172"/>
      <c r="P10" s="172"/>
    </row>
    <row r="11" spans="1:16" ht="15.75">
      <c r="B11" s="561" t="s">
        <v>1</v>
      </c>
      <c r="C11" s="516"/>
      <c r="D11" s="561" t="s">
        <v>229</v>
      </c>
      <c r="E11" s="535"/>
      <c r="F11" s="535"/>
      <c r="G11" s="541"/>
      <c r="H11" s="562" t="s">
        <v>338</v>
      </c>
      <c r="I11" s="563"/>
    </row>
    <row r="12" spans="1:16" ht="15">
      <c r="B12" s="517"/>
      <c r="C12" s="517"/>
      <c r="D12" s="100"/>
      <c r="E12" s="100"/>
      <c r="F12" s="100"/>
      <c r="G12" s="100"/>
      <c r="H12" s="479"/>
      <c r="I12" s="563"/>
    </row>
    <row r="13" spans="1:16" ht="15.75">
      <c r="B13" s="429">
        <v>1</v>
      </c>
      <c r="C13" s="429"/>
      <c r="D13" s="535" t="s">
        <v>1069</v>
      </c>
      <c r="E13" s="100"/>
      <c r="F13" s="100"/>
      <c r="G13" s="100"/>
      <c r="H13" s="1778">
        <v>2470945</v>
      </c>
      <c r="I13" s="563"/>
    </row>
    <row r="14" spans="1:16" ht="15.75">
      <c r="B14" s="429"/>
      <c r="C14" s="429"/>
      <c r="D14" s="535"/>
      <c r="E14" s="100"/>
      <c r="F14" s="100"/>
      <c r="G14" s="100"/>
      <c r="H14" s="564"/>
      <c r="I14" s="563"/>
    </row>
    <row r="15" spans="1:16" ht="15.75">
      <c r="B15" s="429">
        <v>2</v>
      </c>
      <c r="C15" s="429"/>
      <c r="D15" s="535" t="s">
        <v>826</v>
      </c>
      <c r="E15" s="565"/>
      <c r="F15" s="565"/>
      <c r="G15" s="565"/>
      <c r="H15" s="682">
        <v>579413</v>
      </c>
      <c r="I15" s="563"/>
    </row>
    <row r="16" spans="1:16" ht="15.75">
      <c r="B16" s="429"/>
      <c r="C16" s="429"/>
      <c r="D16" s="535"/>
      <c r="E16" s="565"/>
      <c r="F16" s="565"/>
      <c r="G16" s="565"/>
      <c r="H16" s="576"/>
      <c r="I16" s="563"/>
    </row>
    <row r="17" spans="1:9" ht="15.75">
      <c r="B17" s="429">
        <v>3</v>
      </c>
      <c r="C17" s="429"/>
      <c r="D17" s="535" t="s">
        <v>766</v>
      </c>
      <c r="E17" s="566" t="s">
        <v>765</v>
      </c>
      <c r="F17" s="565"/>
      <c r="G17" s="565"/>
      <c r="H17" s="576">
        <f>H13-H15</f>
        <v>1891532</v>
      </c>
      <c r="I17" s="563"/>
    </row>
    <row r="18" spans="1:9" ht="15.75">
      <c r="B18" s="429"/>
      <c r="C18" s="429"/>
      <c r="D18" s="535"/>
      <c r="E18" s="565"/>
      <c r="F18" s="565"/>
      <c r="G18" s="565"/>
      <c r="H18" s="576"/>
      <c r="I18" s="563"/>
    </row>
    <row r="19" spans="1:9" ht="15.75">
      <c r="B19" s="429">
        <v>4</v>
      </c>
      <c r="C19" s="429"/>
      <c r="D19" s="535" t="s">
        <v>762</v>
      </c>
      <c r="E19" s="565"/>
      <c r="F19" s="565"/>
      <c r="G19" s="565"/>
      <c r="H19" s="1576">
        <v>35797785</v>
      </c>
      <c r="I19" s="563"/>
    </row>
    <row r="20" spans="1:9" ht="15.75">
      <c r="B20" s="429"/>
      <c r="C20" s="429"/>
      <c r="D20" s="535"/>
      <c r="E20" s="100"/>
      <c r="F20" s="100"/>
      <c r="G20" s="100"/>
      <c r="H20" s="547"/>
      <c r="I20" s="563"/>
    </row>
    <row r="21" spans="1:9" ht="15.75">
      <c r="B21" s="429">
        <v>5</v>
      </c>
      <c r="C21" s="429"/>
      <c r="D21" s="536" t="s">
        <v>747</v>
      </c>
      <c r="E21" s="567" t="s">
        <v>764</v>
      </c>
      <c r="F21" s="568"/>
      <c r="G21" s="568"/>
      <c r="H21" s="547">
        <f>H19-H17</f>
        <v>33906253</v>
      </c>
      <c r="I21" s="563"/>
    </row>
    <row r="22" spans="1:9" ht="15.75">
      <c r="B22" s="322"/>
      <c r="C22" s="322"/>
      <c r="D22" s="100"/>
      <c r="E22" s="100"/>
      <c r="F22" s="100"/>
      <c r="G22" s="100"/>
      <c r="H22" s="547"/>
      <c r="I22" s="20"/>
    </row>
    <row r="23" spans="1:9" ht="15.75">
      <c r="B23" s="322"/>
      <c r="C23" s="322"/>
      <c r="D23" s="100"/>
      <c r="E23" s="100"/>
      <c r="F23" s="100"/>
      <c r="G23" s="100"/>
      <c r="H23" s="547"/>
      <c r="I23" s="563"/>
    </row>
    <row r="24" spans="1:9" ht="15.75">
      <c r="A24" s="533" t="s">
        <v>1647</v>
      </c>
      <c r="B24" s="429"/>
      <c r="C24" s="429"/>
      <c r="D24" s="100"/>
      <c r="E24" s="100"/>
      <c r="F24" s="100"/>
      <c r="G24" s="100"/>
      <c r="H24" s="547"/>
      <c r="I24" s="563"/>
    </row>
    <row r="25" spans="1:9" ht="15.75">
      <c r="B25" s="429"/>
      <c r="C25" s="429"/>
      <c r="D25" s="100"/>
      <c r="E25" s="100"/>
      <c r="F25" s="100"/>
      <c r="G25" s="100"/>
      <c r="H25" s="471"/>
      <c r="I25" s="100"/>
    </row>
  </sheetData>
  <customSheetViews>
    <customSheetView guid="{B321D76C-CDE5-48BB-9CDE-80FF97D58FCF}" showPageBreaks="1" fitToPage="1" printArea="1" view="pageBreakPreview" topLeftCell="A7">
      <selection activeCell="D33" sqref="D33"/>
      <pageMargins left="0.7" right="0.7" top="0.75" bottom="0.75" header="0.3" footer="0.3"/>
      <printOptions horizontalCentered="1"/>
      <pageSetup scale="93" orientation="portrait" r:id="rId1"/>
    </customSheetView>
  </customSheetViews>
  <mergeCells count="5">
    <mergeCell ref="A4:H4"/>
    <mergeCell ref="A5:H5"/>
    <mergeCell ref="A6:H6"/>
    <mergeCell ref="A8:H8"/>
    <mergeCell ref="A9:H9"/>
  </mergeCells>
  <printOptions horizontalCentered="1"/>
  <pageMargins left="0.7" right="0.7" top="0.75" bottom="0.75" header="0.3" footer="0.3"/>
  <pageSetup scale="93"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pageSetUpPr fitToPage="1"/>
  </sheetPr>
  <dimension ref="A1:R48"/>
  <sheetViews>
    <sheetView tabSelected="1" view="pageBreakPreview" zoomScale="85" zoomScaleNormal="80" zoomScaleSheetLayoutView="85" workbookViewId="0">
      <selection activeCell="C30" sqref="C30"/>
    </sheetView>
  </sheetViews>
  <sheetFormatPr defaultColWidth="9" defaultRowHeight="12"/>
  <cols>
    <col min="1" max="1" width="1.5" style="179" customWidth="1"/>
    <col min="2" max="2" width="7.5" style="179" bestFit="1" customWidth="1"/>
    <col min="3" max="3" width="2.125" style="179" customWidth="1"/>
    <col min="4" max="4" width="49.75" style="179" bestFit="1" customWidth="1"/>
    <col min="5" max="5" width="3.75" style="179" customWidth="1"/>
    <col min="6" max="6" width="12.5" style="179" customWidth="1"/>
    <col min="7" max="7" width="3.25" style="179" customWidth="1"/>
    <col min="8" max="8" width="10.125" style="179" bestFit="1" customWidth="1"/>
    <col min="9" max="9" width="2" style="179" customWidth="1"/>
    <col min="10" max="10" width="14.75" style="179" bestFit="1" customWidth="1"/>
    <col min="11" max="11" width="29.125" style="179" customWidth="1"/>
    <col min="12" max="12" width="49.5" style="179" bestFit="1" customWidth="1"/>
    <col min="13" max="13" width="2.5" style="179" customWidth="1"/>
    <col min="14" max="16384" width="9" style="179"/>
  </cols>
  <sheetData>
    <row r="1" spans="1:18" s="111" customFormat="1" ht="15.75">
      <c r="A1" s="14" t="s">
        <v>955</v>
      </c>
      <c r="B1" s="109"/>
      <c r="C1" s="109"/>
      <c r="D1" s="110"/>
      <c r="E1" s="110"/>
      <c r="F1" s="109"/>
      <c r="G1" s="109"/>
      <c r="H1" s="109"/>
      <c r="I1" s="109"/>
      <c r="J1" s="109"/>
      <c r="K1" s="109"/>
      <c r="L1" s="169"/>
      <c r="R1" s="170"/>
    </row>
    <row r="2" spans="1:18" s="115" customFormat="1"/>
    <row r="3" spans="1:18" s="115" customFormat="1" ht="18">
      <c r="A3" s="112"/>
      <c r="B3" s="113"/>
      <c r="C3" s="113"/>
      <c r="D3" s="114"/>
      <c r="E3" s="114"/>
      <c r="F3" s="113"/>
      <c r="G3" s="113"/>
      <c r="H3" s="113"/>
      <c r="I3" s="113"/>
      <c r="J3" s="113"/>
      <c r="K3" s="113"/>
      <c r="L3" s="113"/>
      <c r="M3" s="113"/>
      <c r="N3" s="113"/>
      <c r="O3" s="113"/>
      <c r="P3" s="113"/>
      <c r="Q3" s="171"/>
      <c r="R3" s="168"/>
    </row>
    <row r="4" spans="1:18" s="115" customFormat="1" ht="18">
      <c r="A4" s="1835" t="s">
        <v>200</v>
      </c>
      <c r="B4" s="1835"/>
      <c r="C4" s="1835"/>
      <c r="D4" s="1835"/>
      <c r="E4" s="1835"/>
      <c r="F4" s="1835"/>
      <c r="G4" s="1835"/>
      <c r="H4" s="1835"/>
      <c r="I4" s="1835"/>
      <c r="J4" s="1835"/>
      <c r="K4" s="1835"/>
      <c r="L4" s="1835"/>
      <c r="M4" s="1835"/>
      <c r="N4" s="172"/>
      <c r="O4" s="172"/>
      <c r="P4" s="172"/>
      <c r="Q4" s="172"/>
      <c r="R4" s="172"/>
    </row>
    <row r="5" spans="1:18" s="115" customFormat="1" ht="18">
      <c r="A5" s="1835" t="s">
        <v>103</v>
      </c>
      <c r="B5" s="1835"/>
      <c r="C5" s="1835"/>
      <c r="D5" s="1835"/>
      <c r="E5" s="1835"/>
      <c r="F5" s="1835"/>
      <c r="G5" s="1835"/>
      <c r="H5" s="1835"/>
      <c r="I5" s="1835"/>
      <c r="J5" s="1835"/>
      <c r="K5" s="1835"/>
      <c r="L5" s="1835"/>
      <c r="M5" s="1835"/>
      <c r="N5" s="172"/>
      <c r="O5" s="172"/>
      <c r="P5" s="172"/>
      <c r="Q5" s="172"/>
      <c r="R5" s="172"/>
    </row>
    <row r="6" spans="1:18" s="115" customFormat="1" ht="18">
      <c r="A6" s="1836" t="str">
        <f>SUMMARY!A7</f>
        <v>YEAR ENDING DECEMBER 31, 2018</v>
      </c>
      <c r="B6" s="1836"/>
      <c r="C6" s="1836"/>
      <c r="D6" s="1836"/>
      <c r="E6" s="1836"/>
      <c r="F6" s="1836"/>
      <c r="G6" s="1836"/>
      <c r="H6" s="1836"/>
      <c r="I6" s="1836"/>
      <c r="J6" s="1836"/>
      <c r="K6" s="1836"/>
      <c r="L6" s="1836"/>
      <c r="M6" s="1836"/>
      <c r="N6" s="172"/>
      <c r="O6" s="172"/>
      <c r="P6" s="172"/>
      <c r="Q6" s="172"/>
      <c r="R6" s="172"/>
    </row>
    <row r="7" spans="1:18" s="115" customFormat="1" ht="12" customHeight="1">
      <c r="A7" s="113"/>
      <c r="B7" s="113"/>
      <c r="C7" s="113"/>
      <c r="D7" s="116"/>
      <c r="E7" s="116"/>
      <c r="F7" s="113"/>
      <c r="G7" s="113"/>
      <c r="H7" s="113"/>
      <c r="I7" s="113"/>
      <c r="J7" s="113"/>
      <c r="K7" s="113"/>
      <c r="L7" s="113"/>
      <c r="M7" s="113"/>
      <c r="N7" s="113"/>
      <c r="O7" s="113"/>
      <c r="P7" s="113"/>
      <c r="Q7" s="113"/>
      <c r="R7" s="113"/>
    </row>
    <row r="8" spans="1:18" s="115" customFormat="1" ht="18">
      <c r="A8" s="1837" t="s">
        <v>956</v>
      </c>
      <c r="B8" s="1837"/>
      <c r="C8" s="1837"/>
      <c r="D8" s="1837"/>
      <c r="E8" s="1837"/>
      <c r="F8" s="1837"/>
      <c r="G8" s="1837"/>
      <c r="H8" s="1837"/>
      <c r="I8" s="1837"/>
      <c r="J8" s="1837"/>
      <c r="K8" s="1837"/>
      <c r="L8" s="1837"/>
      <c r="M8" s="1837"/>
      <c r="N8" s="173"/>
      <c r="O8" s="173"/>
      <c r="P8" s="173"/>
      <c r="Q8" s="173"/>
      <c r="R8" s="173"/>
    </row>
    <row r="9" spans="1:18" s="115" customFormat="1" ht="18">
      <c r="A9" s="1835" t="s">
        <v>335</v>
      </c>
      <c r="B9" s="1835"/>
      <c r="C9" s="1835"/>
      <c r="D9" s="1835"/>
      <c r="E9" s="1835"/>
      <c r="F9" s="1835"/>
      <c r="G9" s="1835"/>
      <c r="H9" s="1835"/>
      <c r="I9" s="1835"/>
      <c r="J9" s="1835"/>
      <c r="K9" s="1835"/>
      <c r="L9" s="1835"/>
      <c r="M9" s="1835"/>
      <c r="N9" s="172"/>
      <c r="O9" s="172"/>
      <c r="P9" s="172"/>
      <c r="Q9" s="172"/>
      <c r="R9" s="172"/>
    </row>
    <row r="10" spans="1:18" s="176" customFormat="1" ht="18.75">
      <c r="A10" s="174"/>
      <c r="B10" s="174"/>
      <c r="C10" s="174"/>
      <c r="D10" s="174"/>
      <c r="E10" s="174"/>
      <c r="F10" s="174"/>
      <c r="G10" s="174"/>
      <c r="H10" s="174"/>
      <c r="I10" s="174"/>
      <c r="J10" s="174"/>
      <c r="K10" s="174"/>
      <c r="L10" s="174"/>
      <c r="M10" s="174"/>
      <c r="N10" s="175"/>
      <c r="O10" s="175"/>
      <c r="P10" s="175"/>
      <c r="Q10" s="175"/>
      <c r="R10" s="175"/>
    </row>
    <row r="11" spans="1:18" s="533" customFormat="1" ht="15" customHeight="1">
      <c r="J11" s="534" t="s">
        <v>336</v>
      </c>
    </row>
    <row r="12" spans="1:18" s="533" customFormat="1" ht="15" customHeight="1">
      <c r="J12" s="534" t="s">
        <v>282</v>
      </c>
    </row>
    <row r="13" spans="1:18" s="535" customFormat="1" ht="15" customHeight="1">
      <c r="C13" s="534"/>
      <c r="D13" s="536"/>
      <c r="E13" s="536"/>
      <c r="J13" s="534" t="s">
        <v>337</v>
      </c>
    </row>
    <row r="14" spans="1:18" s="535" customFormat="1" ht="15" customHeight="1">
      <c r="B14" s="537" t="s">
        <v>1</v>
      </c>
      <c r="C14" s="538"/>
      <c r="D14" s="539" t="s">
        <v>231</v>
      </c>
      <c r="F14" s="540" t="s">
        <v>338</v>
      </c>
      <c r="G14" s="541"/>
      <c r="H14" s="540" t="s">
        <v>147</v>
      </c>
      <c r="I14" s="541"/>
      <c r="J14" s="538" t="s">
        <v>340</v>
      </c>
      <c r="K14" s="538"/>
      <c r="L14" s="542" t="s">
        <v>341</v>
      </c>
    </row>
    <row r="15" spans="1:18" s="535" customFormat="1" ht="15">
      <c r="B15" s="543"/>
      <c r="C15" s="541"/>
      <c r="F15" s="518" t="s">
        <v>192</v>
      </c>
      <c r="G15" s="100"/>
      <c r="H15" s="518" t="s">
        <v>193</v>
      </c>
      <c r="I15" s="100"/>
      <c r="J15" s="518" t="s">
        <v>194</v>
      </c>
      <c r="K15" s="100"/>
      <c r="L15" s="544" t="s">
        <v>374</v>
      </c>
    </row>
    <row r="16" spans="1:18" s="535" customFormat="1" ht="15">
      <c r="B16" s="543"/>
      <c r="C16" s="541"/>
      <c r="F16" s="518"/>
      <c r="G16" s="100"/>
      <c r="H16" s="518"/>
      <c r="I16" s="100"/>
      <c r="J16" s="518"/>
      <c r="K16" s="100"/>
      <c r="L16" s="544"/>
    </row>
    <row r="17" spans="2:12" s="535" customFormat="1" ht="15">
      <c r="B17" s="479" t="s">
        <v>471</v>
      </c>
      <c r="D17" s="712" t="s">
        <v>1923</v>
      </c>
      <c r="F17" s="749">
        <v>537493.01</v>
      </c>
      <c r="J17" s="545"/>
      <c r="L17" s="712"/>
    </row>
    <row r="18" spans="2:12" s="535" customFormat="1" ht="15">
      <c r="B18" s="479"/>
      <c r="D18" s="712"/>
      <c r="F18" s="749"/>
      <c r="G18" s="519"/>
      <c r="H18" s="519"/>
      <c r="I18" s="519"/>
      <c r="J18" s="545"/>
      <c r="K18" s="519"/>
      <c r="L18" s="712"/>
    </row>
    <row r="19" spans="2:12" s="535" customFormat="1" ht="15">
      <c r="B19" s="479" t="s">
        <v>473</v>
      </c>
      <c r="C19" s="541"/>
      <c r="D19" s="712" t="s">
        <v>1924</v>
      </c>
      <c r="F19" s="749">
        <v>1047217.4</v>
      </c>
      <c r="G19" s="519"/>
      <c r="H19" s="519"/>
      <c r="I19" s="519"/>
      <c r="J19" s="471"/>
      <c r="K19" s="519"/>
      <c r="L19" s="712"/>
    </row>
    <row r="20" spans="2:12" s="535" customFormat="1" ht="15">
      <c r="B20" s="479"/>
      <c r="C20" s="541"/>
      <c r="D20" s="712"/>
      <c r="F20" s="749"/>
      <c r="G20" s="519"/>
      <c r="H20" s="519"/>
      <c r="I20" s="519"/>
      <c r="J20" s="471"/>
      <c r="L20" s="712"/>
    </row>
    <row r="21" spans="2:12" s="535" customFormat="1" ht="15">
      <c r="B21" s="479" t="s">
        <v>494</v>
      </c>
      <c r="C21" s="541"/>
      <c r="D21" s="712" t="s">
        <v>1925</v>
      </c>
      <c r="F21" s="749">
        <v>1664694.58</v>
      </c>
      <c r="J21" s="471"/>
      <c r="L21" s="712"/>
    </row>
    <row r="22" spans="2:12" s="535" customFormat="1" ht="15">
      <c r="B22" s="479"/>
      <c r="C22" s="541"/>
      <c r="D22" s="712"/>
      <c r="F22" s="719"/>
      <c r="J22" s="471"/>
      <c r="L22" s="712"/>
    </row>
    <row r="23" spans="2:12" s="535" customFormat="1" ht="15">
      <c r="B23" s="479" t="s">
        <v>495</v>
      </c>
      <c r="C23" s="541"/>
      <c r="D23" s="712" t="s">
        <v>1926</v>
      </c>
      <c r="F23" s="749">
        <v>612270.44802882744</v>
      </c>
      <c r="J23" s="546"/>
      <c r="L23" s="712"/>
    </row>
    <row r="24" spans="2:12" s="535" customFormat="1" ht="15">
      <c r="B24" s="479"/>
      <c r="C24" s="541"/>
      <c r="D24" s="712"/>
      <c r="F24" s="1437"/>
      <c r="J24" s="546"/>
      <c r="L24" s="712"/>
    </row>
    <row r="25" spans="2:12" s="535" customFormat="1" ht="15">
      <c r="B25" s="479" t="s">
        <v>541</v>
      </c>
      <c r="C25" s="541"/>
      <c r="D25" s="1438"/>
      <c r="F25" s="1439"/>
      <c r="J25" s="471"/>
      <c r="L25" s="712"/>
    </row>
    <row r="26" spans="2:12" s="535" customFormat="1" ht="30.75">
      <c r="B26" s="541">
        <v>2</v>
      </c>
      <c r="C26" s="541"/>
      <c r="D26" s="536" t="s">
        <v>1115</v>
      </c>
      <c r="F26" s="547">
        <f>SUM(F17:F25)</f>
        <v>3861675.4380288278</v>
      </c>
      <c r="H26" s="548">
        <f>'WP-AI'!I24</f>
        <v>0.18432774114692671</v>
      </c>
      <c r="J26" s="547">
        <f>F26*H26</f>
        <v>711813.91053442261</v>
      </c>
      <c r="L26" s="1260" t="s">
        <v>1116</v>
      </c>
    </row>
    <row r="27" spans="2:12" s="535" customFormat="1" ht="15">
      <c r="B27" s="541"/>
      <c r="C27" s="541"/>
      <c r="F27" s="471"/>
      <c r="J27" s="471"/>
      <c r="L27" s="1261"/>
    </row>
    <row r="28" spans="2:12" s="535" customFormat="1" ht="15">
      <c r="B28" s="541"/>
      <c r="C28" s="541"/>
      <c r="F28" s="471"/>
      <c r="J28" s="471"/>
      <c r="L28" s="712"/>
    </row>
    <row r="29" spans="2:12" s="535" customFormat="1" ht="15">
      <c r="B29" s="541" t="s">
        <v>1277</v>
      </c>
      <c r="C29" s="541"/>
      <c r="D29" s="712" t="s">
        <v>1927</v>
      </c>
      <c r="F29" s="749">
        <v>413070.8</v>
      </c>
      <c r="J29" s="471"/>
      <c r="L29" s="712"/>
    </row>
    <row r="30" spans="2:12" s="535" customFormat="1" ht="15">
      <c r="B30" s="541"/>
      <c r="C30" s="541"/>
      <c r="D30" s="712"/>
      <c r="F30" s="749"/>
      <c r="J30" s="471"/>
      <c r="L30" s="712"/>
    </row>
    <row r="31" spans="2:12" s="535" customFormat="1" ht="15">
      <c r="B31" s="541" t="s">
        <v>1278</v>
      </c>
      <c r="C31" s="541"/>
      <c r="D31" s="712" t="s">
        <v>1928</v>
      </c>
      <c r="F31" s="749">
        <v>75403.070000000007</v>
      </c>
      <c r="J31" s="471"/>
      <c r="L31" s="712"/>
    </row>
    <row r="32" spans="2:12" s="535" customFormat="1" ht="15">
      <c r="B32" s="541"/>
      <c r="C32" s="541"/>
      <c r="D32" s="712"/>
      <c r="F32" s="703"/>
      <c r="J32" s="471"/>
      <c r="L32" s="712"/>
    </row>
    <row r="33" spans="2:12" s="535" customFormat="1" ht="15">
      <c r="B33" s="479" t="s">
        <v>541</v>
      </c>
      <c r="C33" s="541"/>
      <c r="D33" s="1438"/>
      <c r="F33" s="1439"/>
      <c r="J33" s="471"/>
      <c r="L33" s="712"/>
    </row>
    <row r="34" spans="2:12" s="535" customFormat="1" ht="15">
      <c r="B34" s="479"/>
      <c r="C34" s="541"/>
      <c r="D34" s="1438"/>
      <c r="F34" s="1440"/>
      <c r="J34" s="471"/>
      <c r="L34" s="712"/>
    </row>
    <row r="35" spans="2:12" s="535" customFormat="1" ht="15.75">
      <c r="B35" s="541">
        <v>4</v>
      </c>
      <c r="C35" s="541"/>
      <c r="D35" s="536" t="s">
        <v>354</v>
      </c>
      <c r="F35" s="547">
        <f>SUM(F29:F34)</f>
        <v>488473.87</v>
      </c>
      <c r="H35" s="548">
        <v>1</v>
      </c>
      <c r="J35" s="549">
        <f>F35*H35</f>
        <v>488473.87</v>
      </c>
      <c r="K35" s="550"/>
      <c r="L35" s="713"/>
    </row>
    <row r="36" spans="2:12" s="535" customFormat="1" ht="16.5" thickBot="1">
      <c r="B36" s="541"/>
      <c r="C36" s="541"/>
      <c r="J36" s="547"/>
    </row>
    <row r="37" spans="2:12" s="535" customFormat="1" ht="16.5" thickBot="1">
      <c r="B37" s="541">
        <v>5</v>
      </c>
      <c r="C37" s="541"/>
      <c r="D37" s="536" t="s">
        <v>5</v>
      </c>
      <c r="J37" s="552">
        <f>SUM(J26:J35)</f>
        <v>1200287.7805344225</v>
      </c>
    </row>
    <row r="38" spans="2:12" s="535" customFormat="1" ht="15">
      <c r="B38" s="541"/>
      <c r="C38" s="541"/>
      <c r="E38" s="551"/>
      <c r="J38" s="471"/>
    </row>
    <row r="39" spans="2:12" s="535" customFormat="1" ht="15">
      <c r="B39" s="541"/>
      <c r="C39" s="541"/>
      <c r="D39" s="551"/>
      <c r="E39" s="551"/>
      <c r="J39" s="471"/>
    </row>
    <row r="40" spans="2:12" s="535" customFormat="1" ht="15">
      <c r="B40" s="541"/>
      <c r="C40" s="541"/>
      <c r="E40" s="551"/>
      <c r="F40" s="533"/>
      <c r="G40" s="533"/>
      <c r="H40" s="533"/>
      <c r="I40" s="533"/>
    </row>
    <row r="41" spans="2:12" s="535" customFormat="1" ht="15.75">
      <c r="F41" s="536"/>
      <c r="G41" s="521"/>
      <c r="H41" s="521"/>
      <c r="I41" s="521"/>
    </row>
    <row r="42" spans="2:12" s="535" customFormat="1" ht="15.75">
      <c r="J42" s="553"/>
    </row>
    <row r="43" spans="2:12" s="177" customFormat="1" ht="15.75">
      <c r="J43" s="178"/>
    </row>
    <row r="44" spans="2:12" s="177" customFormat="1" ht="15.75"/>
    <row r="45" spans="2:12" s="176" customFormat="1" ht="15.75">
      <c r="J45" s="178"/>
    </row>
    <row r="48" spans="2:12" ht="15.75">
      <c r="E48" s="177"/>
    </row>
  </sheetData>
  <customSheetViews>
    <customSheetView guid="{B321D76C-CDE5-48BB-9CDE-80FF97D58FCF}" scale="85" showPageBreaks="1" fitToPage="1" printArea="1" view="pageBreakPreview">
      <selection activeCell="D33" sqref="D33"/>
      <pageMargins left="0.7" right="0.7" top="0.75" bottom="0.75" header="0.3" footer="0.3"/>
      <printOptions horizontalCentered="1"/>
      <pageSetup scale="66" orientation="landscape" r:id="rId1"/>
    </customSheetView>
  </customSheetViews>
  <mergeCells count="5">
    <mergeCell ref="A4:M4"/>
    <mergeCell ref="A5:M5"/>
    <mergeCell ref="A6:M6"/>
    <mergeCell ref="A8:M8"/>
    <mergeCell ref="A9:M9"/>
  </mergeCells>
  <printOptions horizontalCentered="1"/>
  <pageMargins left="0.7" right="0.7" top="0.75" bottom="0.75" header="0.3" footer="0.3"/>
  <pageSetup scale="66"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pageSetUpPr fitToPage="1"/>
  </sheetPr>
  <dimension ref="A1:O40"/>
  <sheetViews>
    <sheetView tabSelected="1" view="pageBreakPreview" zoomScale="85" zoomScaleNormal="90" zoomScaleSheetLayoutView="85" workbookViewId="0">
      <selection activeCell="C30" sqref="C30"/>
    </sheetView>
  </sheetViews>
  <sheetFormatPr defaultColWidth="9" defaultRowHeight="12.75"/>
  <cols>
    <col min="1" max="1" width="1.5" style="533" customWidth="1"/>
    <col min="2" max="2" width="8.75" style="533" customWidth="1"/>
    <col min="3" max="3" width="3.75" style="533" customWidth="1"/>
    <col min="4" max="4" width="25.125" style="533" customWidth="1"/>
    <col min="5" max="5" width="2.5" style="533" customWidth="1"/>
    <col min="6" max="6" width="12.5" style="533" bestFit="1" customWidth="1"/>
    <col min="7" max="7" width="2" style="533" customWidth="1"/>
    <col min="8" max="8" width="12.5" style="533" bestFit="1" customWidth="1"/>
    <col min="9" max="9" width="4.75" style="533" customWidth="1"/>
    <col min="10" max="10" width="13.375" style="533" bestFit="1" customWidth="1"/>
    <col min="11" max="11" width="29.125" style="533" customWidth="1"/>
    <col min="12" max="12" width="46.5" style="533" bestFit="1" customWidth="1"/>
    <col min="13" max="13" width="17.125" style="533" bestFit="1" customWidth="1"/>
    <col min="14" max="16384" width="9" style="533"/>
  </cols>
  <sheetData>
    <row r="1" spans="1:15" s="535" customFormat="1" ht="15.75">
      <c r="A1" s="14" t="s">
        <v>958</v>
      </c>
      <c r="B1" s="109"/>
      <c r="C1" s="109"/>
      <c r="D1" s="542"/>
      <c r="E1" s="542"/>
      <c r="F1" s="109"/>
      <c r="G1" s="109"/>
      <c r="H1" s="109"/>
      <c r="I1" s="109"/>
      <c r="J1" s="109"/>
      <c r="K1" s="109"/>
      <c r="L1" s="169"/>
      <c r="O1" s="170"/>
    </row>
    <row r="3" spans="1:15" ht="18">
      <c r="A3" s="112"/>
      <c r="B3" s="113"/>
      <c r="C3" s="113"/>
      <c r="D3" s="554"/>
      <c r="E3" s="554"/>
      <c r="F3" s="113"/>
      <c r="G3" s="113"/>
      <c r="H3" s="113"/>
      <c r="I3" s="113"/>
      <c r="J3" s="113"/>
      <c r="K3" s="113"/>
      <c r="L3" s="113"/>
      <c r="M3" s="113"/>
      <c r="N3" s="113"/>
      <c r="O3" s="430"/>
    </row>
    <row r="4" spans="1:15" ht="18">
      <c r="A4" s="1835" t="s">
        <v>200</v>
      </c>
      <c r="B4" s="1835"/>
      <c r="C4" s="1835"/>
      <c r="D4" s="1835"/>
      <c r="E4" s="1835"/>
      <c r="F4" s="1835"/>
      <c r="G4" s="1835"/>
      <c r="H4" s="1835"/>
      <c r="I4" s="1835"/>
      <c r="J4" s="1835"/>
      <c r="K4" s="1835"/>
      <c r="L4" s="1835"/>
      <c r="M4" s="172"/>
      <c r="N4" s="172"/>
      <c r="O4" s="172"/>
    </row>
    <row r="5" spans="1:15" ht="18">
      <c r="A5" s="1835" t="s">
        <v>103</v>
      </c>
      <c r="B5" s="1835"/>
      <c r="C5" s="1835"/>
      <c r="D5" s="1835"/>
      <c r="E5" s="1835"/>
      <c r="F5" s="1835"/>
      <c r="G5" s="1835"/>
      <c r="H5" s="1835"/>
      <c r="I5" s="1835"/>
      <c r="J5" s="1835"/>
      <c r="K5" s="1835"/>
      <c r="L5" s="1835"/>
      <c r="M5" s="172"/>
      <c r="N5" s="172"/>
      <c r="O5" s="172"/>
    </row>
    <row r="6" spans="1:15" ht="18">
      <c r="A6" s="1836" t="str">
        <f>SUMMARY!A7</f>
        <v>YEAR ENDING DECEMBER 31, 2018</v>
      </c>
      <c r="B6" s="1836"/>
      <c r="C6" s="1836"/>
      <c r="D6" s="1836"/>
      <c r="E6" s="1836"/>
      <c r="F6" s="1836"/>
      <c r="G6" s="1836"/>
      <c r="H6" s="1836"/>
      <c r="I6" s="1836"/>
      <c r="J6" s="1836"/>
      <c r="K6" s="1836"/>
      <c r="L6" s="1836"/>
      <c r="M6" s="172"/>
      <c r="N6" s="172"/>
      <c r="O6" s="172"/>
    </row>
    <row r="7" spans="1:15" ht="12" customHeight="1">
      <c r="A7" s="113"/>
      <c r="B7" s="113"/>
      <c r="C7" s="113"/>
      <c r="D7" s="116"/>
      <c r="E7" s="116"/>
      <c r="F7" s="113"/>
      <c r="G7" s="113"/>
      <c r="H7" s="113"/>
      <c r="I7" s="113"/>
      <c r="J7" s="113"/>
      <c r="K7" s="113"/>
      <c r="L7" s="113"/>
      <c r="M7" s="113"/>
      <c r="N7" s="113"/>
      <c r="O7" s="113"/>
    </row>
    <row r="8" spans="1:15" ht="18">
      <c r="A8" s="1837" t="s">
        <v>957</v>
      </c>
      <c r="B8" s="1837"/>
      <c r="C8" s="1837"/>
      <c r="D8" s="1837"/>
      <c r="E8" s="1837"/>
      <c r="F8" s="1837"/>
      <c r="G8" s="1837"/>
      <c r="H8" s="1837"/>
      <c r="I8" s="1837"/>
      <c r="J8" s="1837"/>
      <c r="K8" s="1837"/>
      <c r="L8" s="1837"/>
      <c r="M8" s="173"/>
      <c r="N8" s="173"/>
      <c r="O8" s="173"/>
    </row>
    <row r="9" spans="1:15" ht="18">
      <c r="A9" s="1835" t="s">
        <v>344</v>
      </c>
      <c r="B9" s="1835"/>
      <c r="C9" s="1835"/>
      <c r="D9" s="1835"/>
      <c r="E9" s="1835"/>
      <c r="F9" s="1835"/>
      <c r="G9" s="1835"/>
      <c r="H9" s="1835"/>
      <c r="I9" s="1835"/>
      <c r="J9" s="1835"/>
      <c r="K9" s="1835"/>
      <c r="L9" s="1835"/>
      <c r="M9" s="172"/>
      <c r="N9" s="172"/>
      <c r="O9" s="172"/>
    </row>
    <row r="10" spans="1:15" ht="18">
      <c r="A10" s="430"/>
      <c r="B10" s="430"/>
      <c r="C10" s="430"/>
      <c r="D10" s="430"/>
      <c r="E10" s="430"/>
      <c r="F10" s="430"/>
      <c r="G10" s="430"/>
      <c r="H10" s="430"/>
      <c r="I10" s="430"/>
      <c r="J10" s="430"/>
      <c r="K10" s="430"/>
      <c r="L10" s="430"/>
      <c r="M10" s="172"/>
      <c r="N10" s="172"/>
      <c r="O10" s="172"/>
    </row>
    <row r="11" spans="1:15" ht="18">
      <c r="A11" s="430"/>
      <c r="B11" s="430"/>
      <c r="C11" s="430"/>
      <c r="D11" s="430"/>
      <c r="E11" s="430"/>
      <c r="F11" s="430"/>
      <c r="G11" s="430"/>
      <c r="H11" s="430"/>
      <c r="I11" s="430"/>
      <c r="J11" s="430"/>
      <c r="K11" s="430"/>
      <c r="L11" s="430"/>
      <c r="M11" s="172"/>
      <c r="N11" s="172"/>
      <c r="O11" s="172"/>
    </row>
    <row r="12" spans="1:15" ht="15" customHeight="1">
      <c r="H12" s="534"/>
      <c r="I12" s="430"/>
      <c r="J12" s="534" t="s">
        <v>336</v>
      </c>
    </row>
    <row r="13" spans="1:15" ht="15" customHeight="1">
      <c r="H13" s="534"/>
      <c r="I13" s="430"/>
      <c r="J13" s="534" t="s">
        <v>342</v>
      </c>
    </row>
    <row r="14" spans="1:15" ht="15" customHeight="1">
      <c r="H14" s="534"/>
      <c r="I14" s="430"/>
      <c r="J14" s="534" t="s">
        <v>282</v>
      </c>
    </row>
    <row r="15" spans="1:15" s="535" customFormat="1" ht="15" customHeight="1">
      <c r="C15" s="534"/>
      <c r="D15" s="536"/>
      <c r="E15" s="536"/>
      <c r="H15" s="534"/>
      <c r="I15" s="430"/>
      <c r="J15" s="534" t="s">
        <v>337</v>
      </c>
    </row>
    <row r="16" spans="1:15" s="535" customFormat="1" ht="15" customHeight="1">
      <c r="B16" s="539" t="s">
        <v>1</v>
      </c>
      <c r="C16" s="516"/>
      <c r="D16" s="539" t="s">
        <v>231</v>
      </c>
      <c r="F16" s="540" t="s">
        <v>338</v>
      </c>
      <c r="G16" s="541"/>
      <c r="H16" s="540" t="s">
        <v>339</v>
      </c>
      <c r="I16" s="541"/>
      <c r="J16" s="538" t="s">
        <v>340</v>
      </c>
      <c r="K16" s="538"/>
      <c r="L16" s="539" t="s">
        <v>341</v>
      </c>
    </row>
    <row r="17" spans="2:12" s="535" customFormat="1" ht="15">
      <c r="B17" s="555"/>
      <c r="C17" s="479"/>
      <c r="F17" s="518" t="s">
        <v>192</v>
      </c>
      <c r="G17" s="100"/>
      <c r="H17" s="518" t="s">
        <v>193</v>
      </c>
      <c r="I17" s="100"/>
      <c r="J17" s="518" t="s">
        <v>194</v>
      </c>
      <c r="K17" s="100"/>
      <c r="L17" s="544" t="s">
        <v>374</v>
      </c>
    </row>
    <row r="18" spans="2:12" s="535" customFormat="1" ht="15">
      <c r="B18" s="555"/>
      <c r="C18" s="479"/>
      <c r="F18" s="518"/>
      <c r="G18" s="100"/>
      <c r="H18" s="518"/>
      <c r="I18" s="100"/>
      <c r="J18" s="518"/>
      <c r="K18" s="100"/>
      <c r="L18" s="544"/>
    </row>
    <row r="19" spans="2:12" s="535" customFormat="1" ht="15">
      <c r="B19" s="479" t="s">
        <v>471</v>
      </c>
      <c r="C19" s="100"/>
      <c r="D19" s="712" t="s">
        <v>1923</v>
      </c>
      <c r="F19" s="714">
        <v>405960.68</v>
      </c>
      <c r="J19" s="545"/>
      <c r="L19" s="712"/>
    </row>
    <row r="20" spans="2:12" s="535" customFormat="1" ht="15">
      <c r="B20" s="479"/>
      <c r="C20" s="100"/>
      <c r="F20" s="545"/>
      <c r="G20" s="519"/>
      <c r="H20" s="519"/>
      <c r="I20" s="519"/>
      <c r="J20" s="545"/>
      <c r="K20" s="519"/>
    </row>
    <row r="21" spans="2:12" s="535" customFormat="1" ht="15">
      <c r="B21" s="479" t="s">
        <v>473</v>
      </c>
      <c r="C21" s="479"/>
      <c r="D21" s="712" t="s">
        <v>1924</v>
      </c>
      <c r="F21" s="714">
        <v>475905.91</v>
      </c>
      <c r="G21" s="519"/>
      <c r="H21" s="519"/>
      <c r="I21" s="519"/>
      <c r="J21" s="545"/>
      <c r="K21" s="519"/>
      <c r="L21" s="712"/>
    </row>
    <row r="22" spans="2:12" s="535" customFormat="1" ht="15">
      <c r="B22" s="479"/>
      <c r="C22" s="479"/>
      <c r="F22" s="545"/>
      <c r="G22" s="519"/>
      <c r="H22" s="519"/>
      <c r="I22" s="519"/>
      <c r="J22" s="545"/>
    </row>
    <row r="23" spans="2:12" s="535" customFormat="1" ht="15">
      <c r="B23" s="479" t="s">
        <v>494</v>
      </c>
      <c r="C23" s="479"/>
      <c r="D23" s="712" t="s">
        <v>1925</v>
      </c>
      <c r="F23" s="714">
        <v>1431155.31</v>
      </c>
      <c r="J23" s="545"/>
      <c r="L23" s="712"/>
    </row>
    <row r="24" spans="2:12" s="535" customFormat="1" ht="15">
      <c r="B24" s="479"/>
      <c r="C24" s="479"/>
      <c r="F24" s="1452"/>
      <c r="J24" s="545"/>
    </row>
    <row r="25" spans="2:12" s="535" customFormat="1" ht="15">
      <c r="B25" s="479" t="s">
        <v>495</v>
      </c>
      <c r="C25" s="100"/>
      <c r="D25" s="712" t="s">
        <v>1926</v>
      </c>
      <c r="F25" s="714">
        <v>856524.07842811989</v>
      </c>
      <c r="H25" s="556"/>
      <c r="J25" s="471"/>
      <c r="L25" s="712"/>
    </row>
    <row r="26" spans="2:12" s="535" customFormat="1" ht="15">
      <c r="B26" s="479"/>
      <c r="C26" s="100"/>
      <c r="F26" s="1453"/>
      <c r="H26" s="556"/>
      <c r="J26" s="471"/>
    </row>
    <row r="27" spans="2:12" s="535" customFormat="1" ht="15">
      <c r="B27" s="479" t="s">
        <v>541</v>
      </c>
      <c r="C27" s="479"/>
      <c r="D27" s="1438"/>
      <c r="F27" s="1439"/>
      <c r="J27" s="471"/>
      <c r="L27" s="712"/>
    </row>
    <row r="28" spans="2:12" s="535" customFormat="1" ht="30.75">
      <c r="B28" s="479">
        <v>2</v>
      </c>
      <c r="C28" s="479"/>
      <c r="D28" s="536" t="s">
        <v>353</v>
      </c>
      <c r="F28" s="547">
        <f>SUM(F19:F27)</f>
        <v>3169545.9784281198</v>
      </c>
      <c r="H28" s="1262">
        <f>'E1-Labor Ratio'!H21*100</f>
        <v>29.502901668219966</v>
      </c>
      <c r="J28" s="1641">
        <f>F28*(H28/100)</f>
        <v>935108.03334466857</v>
      </c>
      <c r="L28" s="565" t="s">
        <v>1117</v>
      </c>
    </row>
    <row r="29" spans="2:12" s="535" customFormat="1" ht="15">
      <c r="B29" s="479"/>
      <c r="C29" s="479"/>
      <c r="H29" s="1605"/>
      <c r="J29" s="471"/>
    </row>
    <row r="30" spans="2:12" s="535" customFormat="1" ht="15.75">
      <c r="B30" s="479" t="s">
        <v>1277</v>
      </c>
      <c r="C30" s="479"/>
      <c r="D30" s="712" t="s">
        <v>1927</v>
      </c>
      <c r="F30" s="714">
        <v>385481.41</v>
      </c>
      <c r="G30" s="533"/>
      <c r="H30" s="1310"/>
      <c r="J30" s="576"/>
      <c r="L30" s="712"/>
    </row>
    <row r="31" spans="2:12" s="535" customFormat="1" ht="15.75">
      <c r="B31" s="479"/>
      <c r="C31" s="479"/>
      <c r="F31" s="545"/>
      <c r="G31" s="533"/>
      <c r="H31" s="1310"/>
      <c r="J31" s="576"/>
    </row>
    <row r="32" spans="2:12" s="535" customFormat="1" ht="15">
      <c r="B32" s="479" t="s">
        <v>541</v>
      </c>
      <c r="C32" s="479"/>
      <c r="D32" s="1438"/>
      <c r="F32" s="1439"/>
      <c r="G32" s="533"/>
      <c r="H32" s="1310"/>
      <c r="J32" s="1449"/>
      <c r="L32" s="712"/>
    </row>
    <row r="33" spans="2:12" s="535" customFormat="1" ht="15">
      <c r="B33" s="479"/>
      <c r="C33" s="479"/>
      <c r="D33" s="1450"/>
      <c r="F33" s="1451"/>
      <c r="G33" s="533"/>
      <c r="H33" s="1310"/>
      <c r="J33" s="1449"/>
    </row>
    <row r="34" spans="2:12" s="535" customFormat="1" ht="15.75">
      <c r="B34" s="479"/>
      <c r="C34" s="100"/>
      <c r="F34" s="547">
        <f>SUM(F30:F32)</f>
        <v>385481.41</v>
      </c>
      <c r="G34" s="521"/>
      <c r="H34" s="1262">
        <v>100</v>
      </c>
      <c r="J34" s="547">
        <f>(F34*H34/100)</f>
        <v>385481.41</v>
      </c>
    </row>
    <row r="35" spans="2:12" s="535" customFormat="1" ht="16.5" thickBot="1">
      <c r="B35" s="479"/>
      <c r="C35" s="100"/>
      <c r="G35" s="521"/>
      <c r="H35" s="1606"/>
      <c r="J35" s="471"/>
    </row>
    <row r="36" spans="2:12" ht="16.5" thickBot="1">
      <c r="B36" s="479">
        <v>4</v>
      </c>
      <c r="C36" s="27"/>
      <c r="D36" s="536" t="s">
        <v>5</v>
      </c>
      <c r="F36" s="545"/>
      <c r="J36" s="552">
        <f>SUM(J19:J34)</f>
        <v>1320589.4433446685</v>
      </c>
      <c r="K36" s="535"/>
      <c r="L36" s="551"/>
    </row>
    <row r="37" spans="2:12" ht="15.75">
      <c r="B37" s="541"/>
      <c r="D37" s="535"/>
      <c r="E37" s="535"/>
      <c r="H37" s="556"/>
      <c r="I37" s="535"/>
      <c r="J37" s="547"/>
      <c r="K37" s="535"/>
      <c r="L37" s="535"/>
    </row>
    <row r="38" spans="2:12" ht="15.75">
      <c r="B38" s="541"/>
      <c r="H38" s="535"/>
      <c r="I38" s="535"/>
      <c r="J38" s="495"/>
      <c r="K38" s="550"/>
      <c r="L38" s="550"/>
    </row>
    <row r="39" spans="2:12" ht="15">
      <c r="J39" s="495"/>
      <c r="K39" s="535"/>
      <c r="L39" s="535"/>
    </row>
    <row r="40" spans="2:12" ht="15">
      <c r="J40" s="495"/>
      <c r="K40" s="535"/>
      <c r="L40" s="535"/>
    </row>
  </sheetData>
  <customSheetViews>
    <customSheetView guid="{B321D76C-CDE5-48BB-9CDE-80FF97D58FCF}" scale="85" showPageBreaks="1" fitToPage="1" printArea="1" view="pageBreakPreview" topLeftCell="A13">
      <selection activeCell="D33" sqref="D33"/>
      <pageMargins left="0.7" right="0.7" top="0.75" bottom="0.75" header="0.3" footer="0.3"/>
      <printOptions horizontalCentered="1"/>
      <pageSetup scale="76" orientation="landscape" r:id="rId1"/>
    </customSheetView>
  </customSheetViews>
  <mergeCells count="5">
    <mergeCell ref="A4:L4"/>
    <mergeCell ref="A5:L5"/>
    <mergeCell ref="A6:L6"/>
    <mergeCell ref="A8:L8"/>
    <mergeCell ref="A9:L9"/>
  </mergeCells>
  <printOptions horizontalCentered="1"/>
  <pageMargins left="0.7" right="0.7" top="0.75" bottom="0.75" header="0.3" footer="0.3"/>
  <pageSetup scale="76"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5">
    <tabColor rgb="FF92D050"/>
    <pageSetUpPr fitToPage="1"/>
  </sheetPr>
  <dimension ref="A1:K32"/>
  <sheetViews>
    <sheetView showGridLines="0" tabSelected="1" defaultGridColor="0" view="pageBreakPreview" colorId="22" zoomScale="85" zoomScaleNormal="100" zoomScaleSheetLayoutView="85" workbookViewId="0">
      <selection activeCell="C30" sqref="C30"/>
    </sheetView>
  </sheetViews>
  <sheetFormatPr defaultColWidth="14.5" defaultRowHeight="12"/>
  <cols>
    <col min="1" max="1" width="7" customWidth="1"/>
    <col min="2" max="2" width="39.75" bestFit="1" customWidth="1"/>
    <col min="3" max="3" width="4.75" customWidth="1"/>
    <col min="4" max="4" width="21.875" customWidth="1"/>
    <col min="5" max="5" width="22.375" customWidth="1"/>
    <col min="6" max="6" width="3.75" customWidth="1"/>
    <col min="7" max="7" width="19.25" customWidth="1"/>
    <col min="8" max="8" width="3" customWidth="1"/>
    <col min="9" max="9" width="14.25" bestFit="1" customWidth="1"/>
    <col min="10" max="10" width="2.75" customWidth="1"/>
    <col min="11" max="11" width="29.125" customWidth="1"/>
  </cols>
  <sheetData>
    <row r="1" spans="1:10" s="8" customFormat="1" ht="15.75">
      <c r="A1" s="14" t="s">
        <v>960</v>
      </c>
      <c r="C1" s="101"/>
      <c r="D1" s="4"/>
      <c r="E1" s="4"/>
      <c r="F1" s="4"/>
      <c r="G1" s="4"/>
      <c r="H1" s="4"/>
      <c r="J1" s="158"/>
    </row>
    <row r="2" spans="1:10" ht="15.75">
      <c r="A2" s="4"/>
      <c r="C2" s="4"/>
      <c r="D2" s="4"/>
      <c r="E2" s="4"/>
      <c r="F2" s="4"/>
      <c r="G2" s="4"/>
      <c r="H2" s="4"/>
      <c r="I2" s="4"/>
      <c r="J2" s="6"/>
    </row>
    <row r="3" spans="1:10" ht="15">
      <c r="A3" s="4"/>
      <c r="B3" s="4"/>
      <c r="C3" s="4"/>
      <c r="E3" s="4"/>
      <c r="F3" s="4"/>
      <c r="G3" s="4"/>
      <c r="H3" s="4"/>
      <c r="I3" s="4"/>
      <c r="J3" s="4"/>
    </row>
    <row r="4" spans="1:10" ht="15">
      <c r="J4" s="4"/>
    </row>
    <row r="5" spans="1:10" ht="18">
      <c r="A5" s="1839" t="s">
        <v>199</v>
      </c>
      <c r="B5" s="1839"/>
      <c r="C5" s="1839"/>
      <c r="D5" s="1839"/>
      <c r="E5" s="1839"/>
      <c r="F5" s="1839"/>
      <c r="G5" s="1839"/>
      <c r="H5" s="1839"/>
      <c r="I5" s="1839"/>
      <c r="J5" s="1839"/>
    </row>
    <row r="6" spans="1:10" ht="18">
      <c r="A6" s="1840" t="s">
        <v>103</v>
      </c>
      <c r="B6" s="1840"/>
      <c r="C6" s="1840"/>
      <c r="D6" s="1840"/>
      <c r="E6" s="1840"/>
      <c r="F6" s="1840"/>
      <c r="G6" s="1840"/>
      <c r="H6" s="1840"/>
      <c r="I6" s="1840"/>
      <c r="J6" s="1840"/>
    </row>
    <row r="7" spans="1:10" ht="18">
      <c r="A7" s="1838" t="str">
        <f>SUMMARY!A7</f>
        <v>YEAR ENDING DECEMBER 31, 2018</v>
      </c>
      <c r="B7" s="1838"/>
      <c r="C7" s="1838"/>
      <c r="D7" s="1838"/>
      <c r="E7" s="1838"/>
      <c r="F7" s="1838"/>
      <c r="G7" s="1838"/>
      <c r="H7" s="1838"/>
      <c r="I7" s="1838"/>
      <c r="J7" s="1838"/>
    </row>
    <row r="8" spans="1:10" ht="15.75">
      <c r="A8" s="181"/>
      <c r="B8" s="181"/>
      <c r="C8" s="181"/>
      <c r="D8" s="181"/>
      <c r="E8" s="181"/>
      <c r="F8" s="181"/>
      <c r="G8" s="181"/>
      <c r="H8" s="181"/>
      <c r="I8" s="181"/>
      <c r="J8" s="181"/>
    </row>
    <row r="9" spans="1:10" ht="15.75">
      <c r="A9" s="1786" t="s">
        <v>959</v>
      </c>
      <c r="B9" s="1786"/>
      <c r="C9" s="1786"/>
      <c r="D9" s="1786"/>
      <c r="E9" s="1786"/>
      <c r="F9" s="1786"/>
      <c r="G9" s="1786"/>
      <c r="H9" s="1786"/>
      <c r="I9" s="1786"/>
      <c r="J9" s="1786"/>
    </row>
    <row r="10" spans="1:10" ht="15.75">
      <c r="A10" s="1784" t="s">
        <v>782</v>
      </c>
      <c r="B10" s="1784"/>
      <c r="C10" s="1784"/>
      <c r="D10" s="1784"/>
      <c r="E10" s="1784"/>
      <c r="F10" s="1784"/>
      <c r="G10" s="1784"/>
      <c r="H10" s="1784"/>
      <c r="I10" s="1784"/>
      <c r="J10" s="1784"/>
    </row>
    <row r="11" spans="1:10" ht="15.75">
      <c r="A11" s="1784"/>
      <c r="B11" s="1784"/>
      <c r="C11" s="1784"/>
      <c r="D11" s="1784"/>
      <c r="E11" s="1784"/>
      <c r="F11" s="1784"/>
      <c r="G11" s="1784"/>
      <c r="H11" s="1784"/>
      <c r="I11" s="1784"/>
      <c r="J11" s="1784"/>
    </row>
    <row r="12" spans="1:10" ht="15.75">
      <c r="A12" s="184"/>
      <c r="B12" s="184"/>
      <c r="C12" s="184"/>
      <c r="D12" s="184"/>
      <c r="E12" s="184"/>
      <c r="F12" s="184"/>
      <c r="G12" s="184"/>
      <c r="H12" s="184"/>
      <c r="I12" s="184"/>
      <c r="J12" s="184"/>
    </row>
    <row r="14" spans="1:10" ht="12.75">
      <c r="F14" s="10"/>
      <c r="J14" s="152"/>
    </row>
    <row r="15" spans="1:10" s="152" customFormat="1" ht="12.75"/>
    <row r="16" spans="1:10" s="152" customFormat="1" ht="15">
      <c r="A16" s="4"/>
      <c r="B16" s="4"/>
      <c r="C16" s="4"/>
      <c r="D16" s="522"/>
      <c r="E16" s="522"/>
      <c r="F16" s="522"/>
      <c r="G16" s="4"/>
      <c r="H16" s="4"/>
      <c r="I16" s="4"/>
    </row>
    <row r="17" spans="1:11" s="152" customFormat="1" ht="15">
      <c r="F17" s="523"/>
      <c r="J17" s="4"/>
    </row>
    <row r="18" spans="1:11" s="152" customFormat="1" ht="15.75">
      <c r="A18" s="4"/>
      <c r="B18" s="4"/>
      <c r="C18" s="4"/>
      <c r="E18" s="4"/>
      <c r="F18" s="522"/>
      <c r="G18" s="4"/>
      <c r="H18" s="4"/>
      <c r="I18" s="426" t="s">
        <v>737</v>
      </c>
    </row>
    <row r="19" spans="1:11" s="152" customFormat="1" ht="15.75">
      <c r="C19" s="4"/>
      <c r="D19" s="711" t="s">
        <v>2056</v>
      </c>
      <c r="E19" s="711" t="s">
        <v>2004</v>
      </c>
      <c r="F19" s="4"/>
      <c r="G19" s="524" t="s">
        <v>66</v>
      </c>
      <c r="H19" s="4"/>
      <c r="I19" s="524" t="s">
        <v>738</v>
      </c>
      <c r="J19" s="426"/>
      <c r="K19" s="516" t="s">
        <v>455</v>
      </c>
    </row>
    <row r="20" spans="1:11" s="152" customFormat="1" ht="15.75">
      <c r="A20" s="4"/>
      <c r="B20" s="4"/>
      <c r="C20" s="4"/>
      <c r="D20" s="525" t="s">
        <v>6</v>
      </c>
      <c r="E20" s="525" t="s">
        <v>7</v>
      </c>
      <c r="F20" s="4"/>
      <c r="G20" s="525" t="s">
        <v>8</v>
      </c>
      <c r="H20" s="4"/>
      <c r="I20" s="525" t="s">
        <v>9</v>
      </c>
      <c r="J20" s="524"/>
      <c r="K20" s="518" t="s">
        <v>196</v>
      </c>
    </row>
    <row r="21" spans="1:11" s="152" customFormat="1" ht="15">
      <c r="J21" s="525"/>
      <c r="K21" s="100"/>
    </row>
    <row r="22" spans="1:11" s="152" customFormat="1" ht="15.75">
      <c r="A22" s="525">
        <v>1</v>
      </c>
      <c r="B22" s="526" t="s">
        <v>53</v>
      </c>
      <c r="C22" s="4"/>
      <c r="D22" s="1567">
        <f>'WP-BC'!G165+'WP-BC'!G104+SUM('WP-BC'!G35:G52)-'WP-BC'!G101-'WP-BC'!G161-'WP-BC'!G162</f>
        <v>3623734731.8999996</v>
      </c>
      <c r="E22" s="1567">
        <f>'WP-BC'!K165+'WP-BC'!K104+SUM('WP-BC'!K35:K52)-'WP-BC'!K101-'WP-BC'!K161-'WP-BC'!K162</f>
        <v>3602966509.999999</v>
      </c>
      <c r="F22" s="1263"/>
      <c r="G22" s="1568">
        <f>(E22+D22)/2</f>
        <v>3613350620.9499993</v>
      </c>
      <c r="H22" s="1569"/>
      <c r="I22" s="1688">
        <f>G22/G26</f>
        <v>0.81567225885307337</v>
      </c>
      <c r="K22" s="100" t="s">
        <v>1137</v>
      </c>
    </row>
    <row r="23" spans="1:11" s="152" customFormat="1" ht="16.5" thickBot="1">
      <c r="A23" s="528"/>
      <c r="B23" s="528"/>
      <c r="D23" s="1571"/>
      <c r="E23" s="1571"/>
      <c r="F23" s="1264"/>
      <c r="G23" s="1572"/>
      <c r="H23" s="1573"/>
      <c r="I23" s="1570"/>
      <c r="J23" s="530"/>
      <c r="K23" s="100"/>
    </row>
    <row r="24" spans="1:11" s="152" customFormat="1" ht="16.5" thickBot="1">
      <c r="A24" s="525">
        <v>2</v>
      </c>
      <c r="B24" s="526" t="s">
        <v>604</v>
      </c>
      <c r="C24" s="4"/>
      <c r="D24" s="1574">
        <f>'WP-BC'!G170+'WP-BC'!G181+'WP-BC'!G185+'WP-BC'!G193+'WP-BC'!G194+'WP-BC'!G200+'WP-BC'!G206</f>
        <v>819288021.43000007</v>
      </c>
      <c r="E24" s="1574">
        <f>'WP-BC'!K170+'WP-BC'!K181+'WP-BC'!K185+'WP-BC'!K193+'WP-BC'!K194+'WP-BC'!K200+'WP-BC'!K206</f>
        <v>813820744.26000011</v>
      </c>
      <c r="F24" s="1263"/>
      <c r="G24" s="1575">
        <f>(E24+D24)/2</f>
        <v>816554382.84500003</v>
      </c>
      <c r="H24" s="1569"/>
      <c r="I24" s="1689">
        <f>G24/G26</f>
        <v>0.18432774114692671</v>
      </c>
      <c r="J24" s="531"/>
      <c r="K24" s="100" t="s">
        <v>1137</v>
      </c>
    </row>
    <row r="25" spans="1:11" s="152" customFormat="1" ht="15.75">
      <c r="A25" s="528"/>
      <c r="D25" s="1264"/>
      <c r="E25" s="1264"/>
      <c r="F25" s="1264"/>
      <c r="G25" s="1263"/>
      <c r="H25" s="1573"/>
      <c r="I25" s="1573"/>
      <c r="J25" s="530"/>
      <c r="K25" s="100"/>
    </row>
    <row r="26" spans="1:11" s="152" customFormat="1" ht="15.75">
      <c r="A26" s="525">
        <v>3</v>
      </c>
      <c r="B26" s="5" t="s">
        <v>32</v>
      </c>
      <c r="C26" s="4"/>
      <c r="D26" s="1568">
        <f>SUM(D22:D25)</f>
        <v>4443022753.3299999</v>
      </c>
      <c r="E26" s="1568">
        <f>SUM(E22:E25)</f>
        <v>4416787254.2599993</v>
      </c>
      <c r="F26" s="1263"/>
      <c r="G26" s="1568">
        <f>SUM(G22:G25)</f>
        <v>4429905003.7949991</v>
      </c>
      <c r="H26" s="1569"/>
      <c r="I26" s="1688">
        <f>G26/G26</f>
        <v>1</v>
      </c>
      <c r="J26" s="529"/>
      <c r="K26" s="100"/>
    </row>
    <row r="27" spans="1:11" s="152" customFormat="1" ht="15.75">
      <c r="D27" s="527"/>
      <c r="E27" s="527"/>
      <c r="F27" s="527"/>
      <c r="G27" s="532"/>
      <c r="H27" s="527"/>
      <c r="I27" s="527"/>
      <c r="J27" s="527"/>
      <c r="K27" s="100"/>
    </row>
    <row r="28" spans="1:11" s="133" customFormat="1" ht="12.75">
      <c r="A28"/>
      <c r="B28"/>
      <c r="C28"/>
      <c r="D28"/>
      <c r="E28"/>
      <c r="F28"/>
      <c r="G28"/>
      <c r="H28"/>
      <c r="I28"/>
      <c r="J28" s="152"/>
    </row>
    <row r="29" spans="1:11" ht="12.75">
      <c r="J29" s="152"/>
    </row>
    <row r="30" spans="1:11" ht="12.75">
      <c r="J30" s="152"/>
    </row>
    <row r="31" spans="1:11" ht="12.75">
      <c r="J31" s="152"/>
    </row>
    <row r="32" spans="1:11" ht="12.75">
      <c r="J32" s="152"/>
    </row>
  </sheetData>
  <customSheetViews>
    <customSheetView guid="{B321D76C-CDE5-48BB-9CDE-80FF97D58FCF}" scale="85" colorId="22" showPageBreaks="1" showGridLines="0" fitToPage="1" printArea="1" view="pageBreakPreview" topLeftCell="A4">
      <selection activeCell="D33" sqref="D33"/>
      <colBreaks count="1" manualBreakCount="1">
        <brk id="12" max="1048575" man="1"/>
      </colBreaks>
      <pageMargins left="0.5" right="0.25" top="0.25" bottom="0.25" header="0.5" footer="0.5"/>
      <printOptions horizontalCentered="1"/>
      <pageSetup scale="85" orientation="landscape" r:id="rId1"/>
      <headerFooter alignWithMargins="0"/>
    </customSheetView>
  </customSheetViews>
  <mergeCells count="6">
    <mergeCell ref="A11:J11"/>
    <mergeCell ref="A7:J7"/>
    <mergeCell ref="A9:J9"/>
    <mergeCell ref="A5:J5"/>
    <mergeCell ref="A6:J6"/>
    <mergeCell ref="A10:J10"/>
  </mergeCells>
  <phoneticPr fontId="0" type="noConversion"/>
  <printOptions horizontalCentered="1"/>
  <pageMargins left="0.5" right="0.25" top="0.25" bottom="0.25" header="0.5" footer="0.5"/>
  <pageSetup scale="79" orientation="landscape" r:id="rId2"/>
  <headerFooter alignWithMargins="0"/>
  <colBreaks count="1" manualBreakCount="1">
    <brk id="12" max="1048575" man="1"/>
  </colBreak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N234"/>
  <sheetViews>
    <sheetView showGridLines="0" tabSelected="1" defaultGridColor="0" view="pageBreakPreview" topLeftCell="B9" colorId="22" zoomScale="85" zoomScaleNormal="85" zoomScaleSheetLayoutView="85" workbookViewId="0">
      <selection activeCell="C30" sqref="C30"/>
    </sheetView>
  </sheetViews>
  <sheetFormatPr defaultColWidth="13.5" defaultRowHeight="12"/>
  <cols>
    <col min="1" max="1" width="12.125" style="1291" hidden="1" customWidth="1"/>
    <col min="2" max="2" width="11.125" style="1343" customWidth="1"/>
    <col min="3" max="3" width="25.75" style="13" customWidth="1"/>
    <col min="4" max="4" width="21.75" style="103" customWidth="1"/>
    <col min="5" max="5" width="2.375" style="13" customWidth="1"/>
    <col min="6" max="6" width="0.75" style="13" customWidth="1"/>
    <col min="7" max="7" width="18.5" style="13" customWidth="1"/>
    <col min="8" max="8" width="2.75" style="13" customWidth="1"/>
    <col min="9" max="9" width="25.5" style="13" customWidth="1"/>
    <col min="10" max="10" width="2.5" style="13" customWidth="1"/>
    <col min="11" max="11" width="29.125" style="185" customWidth="1"/>
    <col min="12" max="12" width="1.125" style="13" customWidth="1"/>
    <col min="13" max="13" width="5.5" style="13" hidden="1" customWidth="1"/>
    <col min="14" max="14" width="5.5" style="13" customWidth="1"/>
    <col min="15" max="16384" width="13.5" style="13"/>
  </cols>
  <sheetData>
    <row r="1" spans="1:14" s="17" customFormat="1" ht="15.75">
      <c r="A1" s="1290"/>
      <c r="B1" s="1342" t="s">
        <v>961</v>
      </c>
      <c r="C1" s="81"/>
      <c r="D1" s="187"/>
      <c r="E1" s="81"/>
      <c r="F1" s="81"/>
      <c r="G1" s="81"/>
      <c r="H1" s="81"/>
      <c r="I1" s="81"/>
      <c r="J1" s="81"/>
      <c r="K1" s="199"/>
      <c r="L1" s="81"/>
      <c r="M1" s="81"/>
      <c r="N1" s="159"/>
    </row>
    <row r="2" spans="1:14" ht="18">
      <c r="B2" s="13"/>
      <c r="D2" s="188"/>
      <c r="E2" s="11"/>
      <c r="G2" s="11"/>
      <c r="H2" s="11"/>
      <c r="I2" s="11"/>
      <c r="J2" s="11"/>
      <c r="K2" s="200"/>
      <c r="L2" s="11"/>
      <c r="M2" s="11"/>
      <c r="N2" s="11"/>
    </row>
    <row r="3" spans="1:14" ht="18">
      <c r="B3" s="1790" t="s">
        <v>199</v>
      </c>
      <c r="C3" s="1790"/>
      <c r="D3" s="1790"/>
      <c r="E3" s="1790"/>
      <c r="F3" s="1790"/>
      <c r="G3" s="1790"/>
      <c r="H3" s="1790"/>
      <c r="I3" s="1790"/>
      <c r="J3" s="1790"/>
      <c r="K3" s="1790"/>
      <c r="L3" s="1790"/>
      <c r="M3" s="1790"/>
      <c r="N3" s="1790"/>
    </row>
    <row r="4" spans="1:14" ht="18">
      <c r="B4" s="1790" t="s">
        <v>103</v>
      </c>
      <c r="C4" s="1790"/>
      <c r="D4" s="1790"/>
      <c r="E4" s="1790"/>
      <c r="F4" s="1790"/>
      <c r="G4" s="1790"/>
      <c r="H4" s="1790"/>
      <c r="I4" s="1790"/>
      <c r="J4" s="1790"/>
      <c r="K4" s="1790"/>
      <c r="L4" s="1790"/>
      <c r="M4" s="1790"/>
      <c r="N4" s="1790"/>
    </row>
    <row r="5" spans="1:14" ht="18">
      <c r="B5" s="1838" t="str">
        <f>SUMMARY!A7</f>
        <v>YEAR ENDING DECEMBER 31, 2018</v>
      </c>
      <c r="C5" s="1838"/>
      <c r="D5" s="1838"/>
      <c r="E5" s="1838"/>
      <c r="F5" s="1838"/>
      <c r="G5" s="1838"/>
      <c r="H5" s="1838"/>
      <c r="I5" s="1838"/>
      <c r="J5" s="1838"/>
      <c r="K5" s="1838"/>
      <c r="L5" s="1838"/>
      <c r="M5" s="1838"/>
      <c r="N5" s="1838"/>
    </row>
    <row r="6" spans="1:14" ht="18">
      <c r="B6" s="1344"/>
      <c r="D6" s="189"/>
      <c r="E6" s="11"/>
      <c r="F6" s="11"/>
      <c r="G6" s="11"/>
      <c r="H6" s="11"/>
      <c r="I6" s="11"/>
      <c r="J6" s="11"/>
      <c r="K6" s="200"/>
      <c r="L6" s="11"/>
      <c r="M6" s="11"/>
      <c r="N6" s="11"/>
    </row>
    <row r="7" spans="1:14" ht="18">
      <c r="B7" s="1790" t="s">
        <v>962</v>
      </c>
      <c r="C7" s="1790"/>
      <c r="D7" s="1790"/>
      <c r="E7" s="1790"/>
      <c r="F7" s="1790"/>
      <c r="G7" s="1790"/>
      <c r="H7" s="1790"/>
      <c r="I7" s="1790"/>
      <c r="J7" s="1790"/>
      <c r="K7" s="1790"/>
      <c r="L7" s="1790"/>
      <c r="M7" s="1790"/>
      <c r="N7" s="1790"/>
    </row>
    <row r="8" spans="1:14" ht="18">
      <c r="B8" s="1790" t="s">
        <v>257</v>
      </c>
      <c r="C8" s="1790"/>
      <c r="D8" s="1790"/>
      <c r="E8" s="1790"/>
      <c r="F8" s="1790"/>
      <c r="G8" s="1790"/>
      <c r="H8" s="1790"/>
      <c r="I8" s="1790"/>
      <c r="J8" s="1790"/>
      <c r="K8" s="1790"/>
      <c r="L8" s="1790"/>
      <c r="M8" s="1790"/>
      <c r="N8" s="1790"/>
    </row>
    <row r="9" spans="1:14" ht="18">
      <c r="B9" s="1338"/>
      <c r="C9" s="743"/>
      <c r="D9" s="190"/>
      <c r="E9" s="743"/>
      <c r="F9" s="743"/>
      <c r="G9" s="743"/>
      <c r="H9" s="743"/>
      <c r="I9" s="743"/>
      <c r="J9" s="743"/>
      <c r="K9" s="201"/>
      <c r="L9" s="743"/>
      <c r="M9" s="743"/>
      <c r="N9" s="743"/>
    </row>
    <row r="10" spans="1:14" s="82" customFormat="1" ht="15.75">
      <c r="A10" s="1292"/>
      <c r="B10" s="1841" t="s">
        <v>2057</v>
      </c>
      <c r="C10" s="1841"/>
      <c r="D10" s="1841"/>
      <c r="E10" s="1841"/>
      <c r="F10" s="1841"/>
      <c r="G10" s="1841"/>
      <c r="H10" s="1841"/>
      <c r="I10" s="1841"/>
      <c r="J10" s="1841"/>
      <c r="K10" s="1841"/>
      <c r="L10" s="1841"/>
      <c r="M10" s="1841"/>
      <c r="N10" s="1841"/>
    </row>
    <row r="11" spans="1:14" s="83" customFormat="1" ht="15.75">
      <c r="A11" s="1293"/>
      <c r="D11" s="1286" t="s">
        <v>192</v>
      </c>
      <c r="E11" s="1286"/>
      <c r="F11" s="1286"/>
      <c r="G11" s="1286" t="s">
        <v>193</v>
      </c>
      <c r="H11" s="84"/>
      <c r="I11" s="1286" t="s">
        <v>194</v>
      </c>
      <c r="J11" s="84"/>
      <c r="K11" s="1286" t="s">
        <v>195</v>
      </c>
      <c r="L11" s="84"/>
    </row>
    <row r="12" spans="1:14" s="83" customFormat="1" ht="15.75">
      <c r="A12" s="1293"/>
      <c r="D12" s="191"/>
      <c r="F12" s="84"/>
      <c r="G12" s="353" t="s">
        <v>230</v>
      </c>
      <c r="H12" s="84"/>
      <c r="I12" s="84"/>
      <c r="J12" s="84"/>
      <c r="K12" s="202"/>
      <c r="L12" s="84"/>
      <c r="M12" s="93"/>
    </row>
    <row r="13" spans="1:14" s="83" customFormat="1" ht="15.75">
      <c r="A13" s="1293"/>
      <c r="D13" s="192" t="s">
        <v>231</v>
      </c>
      <c r="E13" s="96"/>
      <c r="F13" s="84"/>
      <c r="G13" s="354" t="s">
        <v>228</v>
      </c>
      <c r="H13" s="97"/>
      <c r="I13" s="94" t="s">
        <v>229</v>
      </c>
      <c r="J13" s="84"/>
      <c r="K13" s="203" t="s">
        <v>280</v>
      </c>
      <c r="L13" s="84"/>
      <c r="M13" s="95"/>
    </row>
    <row r="14" spans="1:14" s="82" customFormat="1" ht="12.75">
      <c r="A14" s="1292"/>
      <c r="D14" s="193"/>
      <c r="G14" s="148"/>
      <c r="K14" s="204"/>
    </row>
    <row r="15" spans="1:14" s="772" customFormat="1" ht="15.75">
      <c r="A15" s="1294"/>
      <c r="B15" s="770" t="s">
        <v>1</v>
      </c>
      <c r="C15" s="770" t="s">
        <v>35</v>
      </c>
      <c r="D15" s="770" t="s">
        <v>258</v>
      </c>
      <c r="G15" s="773"/>
      <c r="K15" s="774"/>
    </row>
    <row r="16" spans="1:14" s="772" customFormat="1" ht="12.75">
      <c r="A16" s="1295" t="str">
        <f t="shared" ref="A16:A87" si="0">CONCATENATE(D16,G16,I16)</f>
        <v>BLENHEIM - GILBOA390Structures &amp; Improvements</v>
      </c>
      <c r="B16" s="1325" t="s">
        <v>471</v>
      </c>
      <c r="C16" s="707" t="str">
        <f>CONCATENATE("WP-BC, column 8, line ",VLOOKUP(A16,'WP-BC'!A18:N353, 2, FALSE))</f>
        <v>WP-BC, column 8, line 12a</v>
      </c>
      <c r="D16" s="775" t="s">
        <v>1929</v>
      </c>
      <c r="E16" s="775"/>
      <c r="F16" s="775"/>
      <c r="G16" s="1341">
        <v>390</v>
      </c>
      <c r="H16" s="1287"/>
      <c r="I16" s="778" t="s">
        <v>69</v>
      </c>
      <c r="J16" s="779"/>
      <c r="K16" s="1348">
        <f>IFERROR(VLOOKUP(A16,'WP-BC'!A$18:AI$346,10,FALSE),0)</f>
        <v>513060.83</v>
      </c>
      <c r="L16" s="780"/>
      <c r="M16" s="772" t="s">
        <v>227</v>
      </c>
    </row>
    <row r="17" spans="1:13" s="772" customFormat="1" ht="12.75">
      <c r="A17" s="1295" t="str">
        <f t="shared" si="0"/>
        <v>HEADQUARTERS390Structures &amp; Improvements</v>
      </c>
      <c r="B17" s="1325" t="s">
        <v>473</v>
      </c>
      <c r="C17" s="707" t="str">
        <f>CONCATENATE("WP-BC, column 8, line ",VLOOKUP(A17,'WP-BC'!A19:N354, 2, FALSE))</f>
        <v>WP-BC, column 8, line 12n</v>
      </c>
      <c r="D17" s="775" t="s">
        <v>1936</v>
      </c>
      <c r="E17" s="775"/>
      <c r="F17" s="775"/>
      <c r="G17" s="1341">
        <v>390</v>
      </c>
      <c r="H17" s="1287"/>
      <c r="I17" s="778" t="s">
        <v>69</v>
      </c>
      <c r="J17" s="779"/>
      <c r="K17" s="1348">
        <f>IFERROR(VLOOKUP(A17,'WP-BC'!A$18:AI$346,10,FALSE),0)</f>
        <v>1008067.05</v>
      </c>
      <c r="L17" s="780"/>
      <c r="M17" s="772" t="s">
        <v>227</v>
      </c>
    </row>
    <row r="18" spans="1:13" s="772" customFormat="1" ht="12.75">
      <c r="A18" s="1295" t="str">
        <f t="shared" si="0"/>
        <v>MARCY-SOUTH390Structures &amp; Improvements</v>
      </c>
      <c r="B18" s="1325" t="s">
        <v>494</v>
      </c>
      <c r="C18" s="707" t="str">
        <f>CONCATENATE("WP-BC, column 8, line ",VLOOKUP(A18,'WP-BC'!A20:N355, 2, FALSE))</f>
        <v>WP-BC, column 8, line 12w</v>
      </c>
      <c r="D18" s="775" t="s">
        <v>1933</v>
      </c>
      <c r="E18" s="775"/>
      <c r="F18" s="775"/>
      <c r="G18" s="1341">
        <v>390</v>
      </c>
      <c r="H18" s="1287"/>
      <c r="I18" s="778" t="s">
        <v>69</v>
      </c>
      <c r="J18" s="779"/>
      <c r="K18" s="1348">
        <f>IFERROR(VLOOKUP(A18,'WP-BC'!A$18:AI$346,10,FALSE),0)</f>
        <v>0</v>
      </c>
      <c r="L18" s="780"/>
      <c r="M18" s="772" t="s">
        <v>227</v>
      </c>
    </row>
    <row r="19" spans="1:13" s="772" customFormat="1" ht="12.75">
      <c r="A19" s="1295" t="str">
        <f t="shared" si="0"/>
        <v>MASSENA - MARCY  (Clark)390Structures &amp; Improvements</v>
      </c>
      <c r="B19" s="1346" t="s">
        <v>495</v>
      </c>
      <c r="C19" s="707" t="str">
        <f>CONCATENATE("WP-BC, column 8, line ",VLOOKUP(A19,'WP-BC'!A21:N356, 2, FALSE))</f>
        <v>WP-BC, column 8, line 12z</v>
      </c>
      <c r="D19" s="775" t="s">
        <v>1934</v>
      </c>
      <c r="E19" s="775"/>
      <c r="F19" s="775"/>
      <c r="G19" s="1341">
        <v>390</v>
      </c>
      <c r="H19" s="1287"/>
      <c r="I19" s="778" t="s">
        <v>69</v>
      </c>
      <c r="J19" s="779"/>
      <c r="K19" s="1348">
        <f>IFERROR(VLOOKUP(A19,'WP-BC'!A$18:AI$346,10,FALSE),0)</f>
        <v>54259.77</v>
      </c>
      <c r="L19" s="780"/>
      <c r="M19" s="772" t="s">
        <v>227</v>
      </c>
    </row>
    <row r="20" spans="1:13" s="772" customFormat="1" ht="12.75">
      <c r="A20" s="1295" t="str">
        <f t="shared" si="0"/>
        <v>NIAGARA390Structures &amp; Improvements</v>
      </c>
      <c r="B20" s="1346" t="s">
        <v>496</v>
      </c>
      <c r="C20" s="707" t="str">
        <f>CONCATENATE("WP-BC, column 8, line ",VLOOKUP(A20,'WP-BC'!A22:N357, 2, FALSE))</f>
        <v>WP-BC, column 8, line 12al</v>
      </c>
      <c r="D20" s="775" t="s">
        <v>30</v>
      </c>
      <c r="E20" s="775"/>
      <c r="F20" s="775"/>
      <c r="G20" s="1341">
        <v>390</v>
      </c>
      <c r="H20" s="1287"/>
      <c r="I20" s="778" t="s">
        <v>69</v>
      </c>
      <c r="J20" s="779"/>
      <c r="K20" s="1348">
        <f>IFERROR(VLOOKUP(A20,'WP-BC'!A$18:AI$346,10,FALSE),0)</f>
        <v>616970.93000000005</v>
      </c>
      <c r="L20" s="780"/>
      <c r="M20" s="772" t="s">
        <v>227</v>
      </c>
    </row>
    <row r="21" spans="1:13" s="772" customFormat="1" ht="12.75">
      <c r="A21" s="1295" t="str">
        <f t="shared" si="0"/>
        <v>St.  LAWRENCE / FDR390Structures &amp; Improvements</v>
      </c>
      <c r="B21" s="1346" t="s">
        <v>497</v>
      </c>
      <c r="C21" s="707" t="str">
        <f>CONCATENATE("WP-BC, column 8, line ",VLOOKUP(A21,'WP-BC'!A23:N358, 2, FALSE))</f>
        <v>WP-BC, column 8, line 12ax</v>
      </c>
      <c r="D21" s="775" t="s">
        <v>1935</v>
      </c>
      <c r="E21" s="775"/>
      <c r="F21" s="775"/>
      <c r="G21" s="1341">
        <v>390</v>
      </c>
      <c r="H21" s="1287"/>
      <c r="I21" s="778" t="s">
        <v>69</v>
      </c>
      <c r="J21" s="779"/>
      <c r="K21" s="1348">
        <f>IFERROR(VLOOKUP(A21,'WP-BC'!A$18:AI$346,10,FALSE),0)</f>
        <v>440093</v>
      </c>
      <c r="L21" s="780"/>
      <c r="M21" s="772" t="s">
        <v>227</v>
      </c>
    </row>
    <row r="22" spans="1:13" s="772" customFormat="1" ht="15">
      <c r="A22" s="1295" t="str">
        <f t="shared" si="0"/>
        <v>390</v>
      </c>
      <c r="B22" s="1346" t="s">
        <v>541</v>
      </c>
      <c r="C22" s="1350"/>
      <c r="D22" s="1352"/>
      <c r="E22" s="775"/>
      <c r="F22" s="775"/>
      <c r="G22" s="1341">
        <v>390</v>
      </c>
      <c r="H22" s="1287"/>
      <c r="I22" s="1351"/>
      <c r="J22" s="779"/>
      <c r="K22" s="1349">
        <f>IFERROR(VLOOKUP(A22,'WP-BC'!A$18:AI$353,10,FALSE),0)</f>
        <v>0</v>
      </c>
      <c r="L22" s="780"/>
    </row>
    <row r="23" spans="1:13" s="772" customFormat="1" ht="12.75">
      <c r="A23" s="1295" t="str">
        <f t="shared" si="0"/>
        <v>390</v>
      </c>
      <c r="B23" s="1346">
        <v>2</v>
      </c>
      <c r="C23" s="1339"/>
      <c r="D23" s="1345"/>
      <c r="E23" s="1340"/>
      <c r="F23" s="788"/>
      <c r="G23" s="1341">
        <v>390</v>
      </c>
      <c r="H23" s="782" t="s">
        <v>261</v>
      </c>
      <c r="I23" s="779"/>
      <c r="J23" s="779"/>
      <c r="K23" s="783">
        <f>SUM(K16:K22)</f>
        <v>2632451.58</v>
      </c>
      <c r="L23" s="780"/>
    </row>
    <row r="24" spans="1:13" s="772" customFormat="1" ht="12.75">
      <c r="A24" s="1295" t="str">
        <f t="shared" si="0"/>
        <v/>
      </c>
      <c r="B24" s="1346" t="s">
        <v>1225</v>
      </c>
      <c r="C24" s="1339"/>
      <c r="D24" s="1345"/>
      <c r="E24" s="1340"/>
      <c r="F24" s="788"/>
      <c r="G24" s="1341"/>
      <c r="H24" s="779"/>
      <c r="I24" s="779"/>
      <c r="J24" s="779"/>
      <c r="K24" s="784"/>
      <c r="L24" s="780"/>
    </row>
    <row r="25" spans="1:13" s="772" customFormat="1" ht="12.75">
      <c r="A25" s="1295" t="str">
        <f t="shared" si="0"/>
        <v>BLENHEIM - GILBOA391Office Furniture &amp; Equipment</v>
      </c>
      <c r="B25" s="1346" t="s">
        <v>1277</v>
      </c>
      <c r="C25" s="707" t="str">
        <f>CONCATENATE("WP-BC, column 8, line ",VLOOKUP(A25,'WP-BC'!A28:N363, 2, FALSE))</f>
        <v>WP-BC, column 8, line 12b</v>
      </c>
      <c r="D25" s="775" t="s">
        <v>1929</v>
      </c>
      <c r="E25" s="775"/>
      <c r="F25" s="775"/>
      <c r="G25" s="1341">
        <v>391</v>
      </c>
      <c r="H25" s="1287"/>
      <c r="I25" s="778" t="s">
        <v>76</v>
      </c>
      <c r="J25" s="779"/>
      <c r="K25" s="1670">
        <f>IFERROR(VLOOKUP(A25,'WP-BC'!A$18:AI$346,10,FALSE),0)</f>
        <v>775</v>
      </c>
      <c r="L25" s="780"/>
      <c r="M25" s="772" t="s">
        <v>227</v>
      </c>
    </row>
    <row r="26" spans="1:13" s="772" customFormat="1" ht="12.75">
      <c r="A26" s="1295" t="str">
        <f t="shared" si="0"/>
        <v>HEADQUARTERS391Office Furniture &amp; Equipment</v>
      </c>
      <c r="B26" s="1346" t="s">
        <v>1278</v>
      </c>
      <c r="C26" s="707" t="str">
        <f>CONCATENATE("WP-BC, column 8, line ",VLOOKUP(A26,'WP-BC'!A29:N364, 2, FALSE))</f>
        <v>WP-BC, column 8, line 12m</v>
      </c>
      <c r="D26" s="775" t="s">
        <v>1936</v>
      </c>
      <c r="E26" s="775"/>
      <c r="F26" s="775"/>
      <c r="G26" s="1341">
        <v>391</v>
      </c>
      <c r="H26" s="1287"/>
      <c r="I26" s="778" t="s">
        <v>76</v>
      </c>
      <c r="J26" s="779"/>
      <c r="K26" s="1670">
        <f>IFERROR(VLOOKUP(A26,'WP-BC'!A$18:AI$346,10,FALSE),0)</f>
        <v>660047</v>
      </c>
      <c r="L26" s="780"/>
      <c r="M26" s="772" t="s">
        <v>227</v>
      </c>
    </row>
    <row r="27" spans="1:13" s="772" customFormat="1" ht="12.75">
      <c r="A27" s="1295" t="str">
        <f t="shared" si="0"/>
        <v>MASSENA - MARCY  (Clark)391Office Furniture &amp; Equipment</v>
      </c>
      <c r="B27" s="1346" t="s">
        <v>1279</v>
      </c>
      <c r="C27" s="707" t="str">
        <f>CONCATENATE("WP-BC, column 8, line ",VLOOKUP(A27,'WP-BC'!A30:N365, 2, FALSE))</f>
        <v>WP-BC, column 8, line 12aa</v>
      </c>
      <c r="D27" s="775" t="s">
        <v>1934</v>
      </c>
      <c r="E27" s="775"/>
      <c r="F27" s="775"/>
      <c r="G27" s="1341">
        <v>391</v>
      </c>
      <c r="H27" s="1287"/>
      <c r="I27" s="778" t="s">
        <v>76</v>
      </c>
      <c r="J27" s="779"/>
      <c r="K27" s="1670">
        <f>IFERROR(VLOOKUP(A27,'WP-BC'!A$18:AI$346,10,FALSE),0)</f>
        <v>2066</v>
      </c>
      <c r="L27" s="780"/>
      <c r="M27" s="772" t="s">
        <v>227</v>
      </c>
    </row>
    <row r="28" spans="1:13" s="772" customFormat="1" ht="12.75">
      <c r="A28" s="1295" t="str">
        <f t="shared" si="0"/>
        <v>NIAGARA391Office Furniture &amp; Equipment</v>
      </c>
      <c r="B28" s="1346" t="s">
        <v>1280</v>
      </c>
      <c r="C28" s="707" t="str">
        <f>CONCATENATE("WP-BC, column 8, line ",VLOOKUP(A28,'WP-BC'!A31:N366, 2, FALSE))</f>
        <v>WP-BC, column 8, line 12am</v>
      </c>
      <c r="D28" s="775" t="s">
        <v>30</v>
      </c>
      <c r="E28" s="775"/>
      <c r="F28" s="775"/>
      <c r="G28" s="1341">
        <v>391</v>
      </c>
      <c r="H28" s="1287"/>
      <c r="I28" s="778" t="s">
        <v>76</v>
      </c>
      <c r="J28" s="779"/>
      <c r="K28" s="1670">
        <f>IFERROR(VLOOKUP(A28,'WP-BC'!A$18:AI$346,10,FALSE),0)</f>
        <v>117</v>
      </c>
      <c r="L28" s="780"/>
      <c r="M28" s="772" t="s">
        <v>227</v>
      </c>
    </row>
    <row r="29" spans="1:13" s="772" customFormat="1" ht="12.75">
      <c r="A29" s="1295" t="str">
        <f t="shared" si="0"/>
        <v>St.  LAWRENCE / FDR391Office Furniture &amp; Equipment</v>
      </c>
      <c r="B29" s="1346" t="s">
        <v>1281</v>
      </c>
      <c r="C29" s="707" t="str">
        <f>CONCATENATE("WP-BC, column 8, line ",VLOOKUP(A29,'WP-BC'!A32:N367, 2, FALSE))</f>
        <v>WP-BC, column 8, line 12ay</v>
      </c>
      <c r="D29" s="775" t="s">
        <v>1935</v>
      </c>
      <c r="E29" s="775"/>
      <c r="F29" s="775"/>
      <c r="G29" s="1341">
        <v>391</v>
      </c>
      <c r="H29" s="1287"/>
      <c r="I29" s="778" t="s">
        <v>76</v>
      </c>
      <c r="J29" s="779"/>
      <c r="K29" s="1670">
        <f>IFERROR(VLOOKUP(A29,'WP-BC'!A$18:AI$346,10,FALSE),0)</f>
        <v>2766</v>
      </c>
      <c r="L29" s="780"/>
      <c r="M29" s="772" t="s">
        <v>227</v>
      </c>
    </row>
    <row r="30" spans="1:13" s="772" customFormat="1" ht="12.75">
      <c r="A30" s="1295" t="str">
        <f t="shared" si="0"/>
        <v>BLENHEIM - GILBOA391.2Computer Equipment 5 yr</v>
      </c>
      <c r="B30" s="1346" t="s">
        <v>1315</v>
      </c>
      <c r="C30" s="707" t="str">
        <f>CONCATENATE("WP-BC, column 8, line ",VLOOKUP(A30,'WP-BC'!A33:N368, 2, FALSE))</f>
        <v>WP-BC, column 8, line 12c</v>
      </c>
      <c r="D30" s="775" t="s">
        <v>1929</v>
      </c>
      <c r="E30" s="775"/>
      <c r="F30" s="775"/>
      <c r="G30" s="1341">
        <v>391.2</v>
      </c>
      <c r="H30" s="1287"/>
      <c r="I30" s="778" t="s">
        <v>1827</v>
      </c>
      <c r="J30" s="779"/>
      <c r="K30" s="1670">
        <f>IFERROR(VLOOKUP(A30,'WP-BC'!A$18:AI$346,10,FALSE),0)</f>
        <v>28947</v>
      </c>
      <c r="L30" s="780"/>
    </row>
    <row r="31" spans="1:13" s="772" customFormat="1" ht="12.75">
      <c r="A31" s="1295" t="str">
        <f t="shared" si="0"/>
        <v>HEADQUARTERS391.2Computer Equipment 5 yr</v>
      </c>
      <c r="B31" s="1346" t="s">
        <v>1316</v>
      </c>
      <c r="C31" s="707" t="str">
        <f>CONCATENATE("WP-BC, column 8, line ",VLOOKUP(A31,'WP-BC'!A34:N369, 2, FALSE))</f>
        <v>WP-BC, column 8, line 12o</v>
      </c>
      <c r="D31" s="775" t="s">
        <v>1936</v>
      </c>
      <c r="E31" s="775"/>
      <c r="F31" s="775"/>
      <c r="G31" s="1341">
        <v>391.2</v>
      </c>
      <c r="H31" s="1287"/>
      <c r="I31" s="778" t="s">
        <v>1827</v>
      </c>
      <c r="J31" s="779"/>
      <c r="K31" s="1670">
        <f>IFERROR(VLOOKUP(A31,'WP-BC'!A$18:AI$346,10,FALSE),0)</f>
        <v>2604149.2999999998</v>
      </c>
      <c r="L31" s="780"/>
    </row>
    <row r="32" spans="1:13" s="772" customFormat="1" ht="12.75">
      <c r="A32" s="1295" t="str">
        <f t="shared" si="0"/>
        <v>MASSENA - MARCY  (Clark)391.2Computer Equipment 5 yr</v>
      </c>
      <c r="B32" s="1346" t="s">
        <v>1609</v>
      </c>
      <c r="C32" s="707" t="str">
        <f>CONCATENATE("WP-BC, column 8, line ",VLOOKUP(A32,'WP-BC'!A35:N370, 2, FALSE))</f>
        <v>WP-BC, column 8, line 12ab</v>
      </c>
      <c r="D32" s="775" t="s">
        <v>1934</v>
      </c>
      <c r="E32" s="775"/>
      <c r="F32" s="775"/>
      <c r="G32" s="1341">
        <v>391.2</v>
      </c>
      <c r="H32" s="1287"/>
      <c r="I32" s="778" t="s">
        <v>1827</v>
      </c>
      <c r="J32" s="779"/>
      <c r="K32" s="1670">
        <f>IFERROR(VLOOKUP(A32,'WP-BC'!A$18:AI$346,10,FALSE),0)</f>
        <v>70867</v>
      </c>
      <c r="L32" s="780"/>
    </row>
    <row r="33" spans="1:13" s="772" customFormat="1" ht="12.75">
      <c r="A33" s="1295" t="str">
        <f t="shared" si="0"/>
        <v>NIAGARA391.2Computer Equipment 5 yr</v>
      </c>
      <c r="B33" s="1346" t="s">
        <v>1610</v>
      </c>
      <c r="C33" s="707" t="str">
        <f>CONCATENATE("WP-BC, column 8, line ",VLOOKUP(A33,'WP-BC'!A36:N371, 2, FALSE))</f>
        <v>WP-BC, column 8, line 12an</v>
      </c>
      <c r="D33" s="775" t="s">
        <v>30</v>
      </c>
      <c r="E33" s="775"/>
      <c r="F33" s="775"/>
      <c r="G33" s="1341">
        <v>391.2</v>
      </c>
      <c r="H33" s="1287"/>
      <c r="I33" s="778" t="s">
        <v>1827</v>
      </c>
      <c r="J33" s="779"/>
      <c r="K33" s="1670">
        <f>IFERROR(VLOOKUP(A33,'WP-BC'!A$18:AI$346,10,FALSE),0)</f>
        <v>49268</v>
      </c>
      <c r="L33" s="780"/>
    </row>
    <row r="34" spans="1:13" s="772" customFormat="1" ht="12.75">
      <c r="A34" s="1295" t="str">
        <f t="shared" si="0"/>
        <v>St.  LAWRENCE / FDR391.2Computer Equipment 5 yr</v>
      </c>
      <c r="B34" s="1346" t="s">
        <v>1612</v>
      </c>
      <c r="C34" s="707" t="str">
        <f>CONCATENATE("WP-BC, column 8, line ",VLOOKUP(A34,'WP-BC'!A37:N372, 2, FALSE))</f>
        <v>WP-BC, column 8, line 12az</v>
      </c>
      <c r="D34" s="775" t="s">
        <v>1935</v>
      </c>
      <c r="E34" s="775"/>
      <c r="F34" s="775"/>
      <c r="G34" s="1341">
        <v>391.2</v>
      </c>
      <c r="H34" s="1287"/>
      <c r="I34" s="778" t="s">
        <v>1827</v>
      </c>
      <c r="J34" s="779"/>
      <c r="K34" s="1670">
        <f>IFERROR(VLOOKUP(A34,'WP-BC'!A$18:AI$346,10,FALSE),0)</f>
        <v>60748</v>
      </c>
      <c r="L34" s="780"/>
    </row>
    <row r="35" spans="1:13" s="772" customFormat="1" ht="12.75">
      <c r="A35" s="1295" t="str">
        <f t="shared" si="0"/>
        <v>BLENHEIM - GILBOA391.3Computer Equipment 10 yr</v>
      </c>
      <c r="B35" s="1346" t="s">
        <v>1611</v>
      </c>
      <c r="C35" s="707" t="str">
        <f>CONCATENATE("WP-BC, column 8, line ",VLOOKUP(A35,'WP-BC'!A38:N373, 2, FALSE))</f>
        <v>WP-BC, column 8, line 12d</v>
      </c>
      <c r="D35" s="775" t="s">
        <v>1929</v>
      </c>
      <c r="E35" s="775"/>
      <c r="F35" s="775"/>
      <c r="G35" s="1341">
        <v>391.3</v>
      </c>
      <c r="H35" s="1287"/>
      <c r="I35" s="778" t="s">
        <v>1828</v>
      </c>
      <c r="J35" s="779"/>
      <c r="K35" s="1670">
        <f>IFERROR(VLOOKUP(A35,'WP-BC'!A$18:AI$346,10,FALSE),0)</f>
        <v>0</v>
      </c>
      <c r="L35" s="780"/>
    </row>
    <row r="36" spans="1:13" s="772" customFormat="1" ht="12.75">
      <c r="A36" s="1295" t="str">
        <f t="shared" ref="A36:A39" si="1">CONCATENATE(D36,G36,I36)</f>
        <v>HEADQUARTERS391.3Computer Equipment 10 yr</v>
      </c>
      <c r="B36" s="1346" t="s">
        <v>1613</v>
      </c>
      <c r="C36" s="707" t="str">
        <f>CONCATENATE("WP-BC, column 8, line ",VLOOKUP(A36,'WP-BC'!A39:N374, 2, FALSE))</f>
        <v>WP-BC, column 8, line 12p</v>
      </c>
      <c r="D36" s="775" t="s">
        <v>1936</v>
      </c>
      <c r="E36" s="775"/>
      <c r="F36" s="775"/>
      <c r="G36" s="1341">
        <v>391.3</v>
      </c>
      <c r="H36" s="1287"/>
      <c r="I36" s="778" t="s">
        <v>1828</v>
      </c>
      <c r="J36" s="779"/>
      <c r="K36" s="1670">
        <f>IFERROR(VLOOKUP(A36,'WP-BC'!A$18:AI$346,10,FALSE),0)</f>
        <v>5768972.9800000004</v>
      </c>
      <c r="L36" s="780"/>
    </row>
    <row r="37" spans="1:13" s="772" customFormat="1" ht="12.75">
      <c r="A37" s="1295" t="str">
        <f t="shared" si="1"/>
        <v>MASSENA - MARCY  (Clark)391.3Computer Equipment 10 yr</v>
      </c>
      <c r="B37" s="1346" t="s">
        <v>1614</v>
      </c>
      <c r="C37" s="707" t="str">
        <f>CONCATENATE("WP-BC, column 8, line ",VLOOKUP(A37,'WP-BC'!A40:N375, 2, FALSE))</f>
        <v>WP-BC, column 8, line 12ac</v>
      </c>
      <c r="D37" s="775" t="s">
        <v>1934</v>
      </c>
      <c r="E37" s="775"/>
      <c r="F37" s="775"/>
      <c r="G37" s="1341">
        <v>391.3</v>
      </c>
      <c r="H37" s="1287"/>
      <c r="I37" s="778" t="s">
        <v>1828</v>
      </c>
      <c r="J37" s="779"/>
      <c r="K37" s="1670">
        <f>IFERROR(VLOOKUP(A37,'WP-BC'!A$18:AI$346,10,FALSE),0)</f>
        <v>932064</v>
      </c>
      <c r="L37" s="780"/>
    </row>
    <row r="38" spans="1:13" s="772" customFormat="1" ht="12.75">
      <c r="A38" s="1295" t="str">
        <f t="shared" si="1"/>
        <v>NIAGARA391.3Computer Equipment 10 yr</v>
      </c>
      <c r="B38" s="1346" t="s">
        <v>2028</v>
      </c>
      <c r="C38" s="707" t="str">
        <f>CONCATENATE("WP-BC, column 8, line ",VLOOKUP(A38,'WP-BC'!A41:N376, 2, FALSE))</f>
        <v>WP-BC, column 8, line 12ao</v>
      </c>
      <c r="D38" s="775" t="s">
        <v>30</v>
      </c>
      <c r="E38" s="775"/>
      <c r="F38" s="775"/>
      <c r="G38" s="1341">
        <v>391.3</v>
      </c>
      <c r="H38" s="1287"/>
      <c r="I38" s="778" t="s">
        <v>1828</v>
      </c>
      <c r="J38" s="779"/>
      <c r="K38" s="1670">
        <f>IFERROR(VLOOKUP(A38,'WP-BC'!A$18:AI$346,10,FALSE),0)</f>
        <v>13495.35</v>
      </c>
      <c r="L38" s="780"/>
    </row>
    <row r="39" spans="1:13" s="772" customFormat="1" ht="12.75">
      <c r="A39" s="1295" t="str">
        <f t="shared" si="1"/>
        <v>St.  LAWRENCE / FDR391.3Computer Equipment 10 yr</v>
      </c>
      <c r="B39" s="1346" t="s">
        <v>2029</v>
      </c>
      <c r="C39" s="707" t="str">
        <f>CONCATENATE("WP-BC, column 8, line ",VLOOKUP(A39,'WP-BC'!A42:N377, 2, FALSE))</f>
        <v>WP-BC, column 8, line 12ba</v>
      </c>
      <c r="D39" s="775" t="s">
        <v>1935</v>
      </c>
      <c r="E39" s="775"/>
      <c r="F39" s="775"/>
      <c r="G39" s="1341">
        <v>391.3</v>
      </c>
      <c r="H39" s="1287"/>
      <c r="I39" s="778" t="s">
        <v>1828</v>
      </c>
      <c r="J39" s="779"/>
      <c r="K39" s="1670">
        <f>IFERROR(VLOOKUP(A39,'WP-BC'!A$18:AI$346,10,FALSE),0)</f>
        <v>809023</v>
      </c>
      <c r="L39" s="780"/>
    </row>
    <row r="40" spans="1:13" s="772" customFormat="1" ht="15">
      <c r="A40" s="1295" t="str">
        <f t="shared" si="0"/>
        <v/>
      </c>
      <c r="B40" s="1346" t="s">
        <v>541</v>
      </c>
      <c r="C40" s="1350"/>
      <c r="D40" s="1350"/>
      <c r="E40" s="775"/>
      <c r="F40" s="775"/>
      <c r="G40" s="1341"/>
      <c r="H40" s="1287"/>
      <c r="I40" s="1350"/>
      <c r="J40" s="779"/>
      <c r="K40" s="1349">
        <f>IFERROR(VLOOKUP(A40,'WP-BC'!A$18:AI$353,10,FALSE),0)</f>
        <v>0</v>
      </c>
      <c r="L40" s="780"/>
    </row>
    <row r="41" spans="1:13" s="772" customFormat="1" ht="12.75">
      <c r="A41" s="1295" t="str">
        <f t="shared" si="0"/>
        <v>391</v>
      </c>
      <c r="B41" s="1346">
        <v>4</v>
      </c>
      <c r="C41" s="1339"/>
      <c r="D41" s="1345"/>
      <c r="E41" s="776"/>
      <c r="F41" s="781"/>
      <c r="G41" s="1341">
        <v>391</v>
      </c>
      <c r="H41" s="782" t="s">
        <v>262</v>
      </c>
      <c r="I41" s="779"/>
      <c r="J41" s="779"/>
      <c r="K41" s="1353">
        <f>SUM(K25:K40)</f>
        <v>11003305.630000001</v>
      </c>
      <c r="L41" s="780"/>
    </row>
    <row r="42" spans="1:13" s="772" customFormat="1" ht="12.75">
      <c r="A42" s="1295" t="str">
        <f t="shared" si="0"/>
        <v/>
      </c>
      <c r="B42" s="1346" t="s">
        <v>1225</v>
      </c>
      <c r="C42" s="1339"/>
      <c r="D42" s="1345"/>
      <c r="E42" s="776"/>
      <c r="F42" s="781"/>
      <c r="G42" s="1341"/>
      <c r="H42" s="779"/>
      <c r="I42" s="779"/>
      <c r="J42" s="779"/>
      <c r="K42" s="1348"/>
      <c r="L42" s="780"/>
    </row>
    <row r="43" spans="1:13" s="772" customFormat="1" ht="12.75">
      <c r="A43" s="1295" t="str">
        <f t="shared" si="0"/>
        <v>BLENHEIM - GILBOA392Transportation Equipment</v>
      </c>
      <c r="B43" s="1346" t="s">
        <v>1274</v>
      </c>
      <c r="C43" s="707" t="str">
        <f>CONCATENATE("WP-BC, column 8, line ",VLOOKUP(A43,'WP-BC'!A46:N381, 2, FALSE))</f>
        <v>WP-BC, column 8, line 12e</v>
      </c>
      <c r="D43" s="775" t="s">
        <v>1929</v>
      </c>
      <c r="E43" s="775"/>
      <c r="F43" s="775"/>
      <c r="G43" s="1341">
        <v>392</v>
      </c>
      <c r="H43" s="1287"/>
      <c r="I43" s="778" t="s">
        <v>77</v>
      </c>
      <c r="J43" s="779"/>
      <c r="K43" s="1348">
        <f>IFERROR(VLOOKUP(A43,'WP-BC'!A$18:AI$346,10,FALSE),0)</f>
        <v>373367.35</v>
      </c>
      <c r="L43" s="780"/>
      <c r="M43" s="772" t="s">
        <v>227</v>
      </c>
    </row>
    <row r="44" spans="1:13" s="772" customFormat="1" ht="12.75">
      <c r="A44" s="1295" t="str">
        <f t="shared" si="0"/>
        <v>HEADQUARTERS392Transportation Equipment</v>
      </c>
      <c r="B44" s="1346" t="s">
        <v>1275</v>
      </c>
      <c r="C44" s="707" t="str">
        <f>CONCATENATE("WP-BC, column 8, line ",VLOOKUP(A44,'WP-BC'!A47:N382, 2, FALSE))</f>
        <v>WP-BC, column 8, line 12q</v>
      </c>
      <c r="D44" s="775" t="s">
        <v>1936</v>
      </c>
      <c r="E44" s="775"/>
      <c r="F44" s="775"/>
      <c r="G44" s="1341">
        <v>392</v>
      </c>
      <c r="H44" s="1287"/>
      <c r="I44" s="778" t="s">
        <v>77</v>
      </c>
      <c r="J44" s="779"/>
      <c r="K44" s="1348">
        <f>IFERROR(VLOOKUP(A44,'WP-BC'!A$18:AI$346,10,FALSE),0)</f>
        <v>190958.4</v>
      </c>
      <c r="L44" s="780"/>
      <c r="M44" s="772" t="s">
        <v>227</v>
      </c>
    </row>
    <row r="45" spans="1:13" s="772" customFormat="1" ht="12.75">
      <c r="A45" s="1295" t="str">
        <f t="shared" si="0"/>
        <v>MASSENA - MARCY  (Clark)392Transportation Equipment</v>
      </c>
      <c r="B45" s="1346" t="s">
        <v>1276</v>
      </c>
      <c r="C45" s="707" t="str">
        <f>CONCATENATE("WP-BC, column 8, line ",VLOOKUP(A45,'WP-BC'!A48:N383, 2, FALSE))</f>
        <v>WP-BC, column 8, line 12ad</v>
      </c>
      <c r="D45" s="775" t="s">
        <v>1934</v>
      </c>
      <c r="E45" s="775"/>
      <c r="F45" s="775"/>
      <c r="G45" s="1341">
        <v>392</v>
      </c>
      <c r="H45" s="1287"/>
      <c r="I45" s="778" t="s">
        <v>77</v>
      </c>
      <c r="J45" s="779"/>
      <c r="K45" s="1348">
        <f>IFERROR(VLOOKUP(A45,'WP-BC'!A$18:AI$346,10,FALSE),0)</f>
        <v>348841.64</v>
      </c>
      <c r="L45" s="780"/>
      <c r="M45" s="772" t="s">
        <v>227</v>
      </c>
    </row>
    <row r="46" spans="1:13" s="772" customFormat="1" ht="12.75">
      <c r="A46" s="1295" t="str">
        <f t="shared" si="0"/>
        <v>NIAGARA392Transportation Equipment</v>
      </c>
      <c r="B46" s="1346" t="s">
        <v>1282</v>
      </c>
      <c r="C46" s="707" t="str">
        <f>CONCATENATE("WP-BC, column 8, line ",VLOOKUP(A46,'WP-BC'!A49:N384, 2, FALSE))</f>
        <v>WP-BC, column 8, line 12ap</v>
      </c>
      <c r="D46" s="775" t="s">
        <v>30</v>
      </c>
      <c r="E46" s="775"/>
      <c r="F46" s="775"/>
      <c r="G46" s="1341">
        <v>392</v>
      </c>
      <c r="H46" s="1287"/>
      <c r="I46" s="778" t="s">
        <v>77</v>
      </c>
      <c r="J46" s="779"/>
      <c r="K46" s="1348">
        <f>IFERROR(VLOOKUP(A46,'WP-BC'!A$18:AI$346,10,FALSE),0)</f>
        <v>296832.73</v>
      </c>
      <c r="L46" s="780"/>
      <c r="M46" s="772" t="s">
        <v>227</v>
      </c>
    </row>
    <row r="47" spans="1:13" s="772" customFormat="1" ht="12.75">
      <c r="A47" s="1295" t="str">
        <f t="shared" si="0"/>
        <v>St.  LAWRENCE / FDR392Transportation Equipment</v>
      </c>
      <c r="B47" s="1346" t="s">
        <v>1283</v>
      </c>
      <c r="C47" s="707" t="str">
        <f>CONCATENATE("WP-BC, column 8, line ",VLOOKUP(A47,'WP-BC'!A50:N385, 2, FALSE))</f>
        <v>WP-BC, column 8, line 12bb</v>
      </c>
      <c r="D47" s="775" t="s">
        <v>1935</v>
      </c>
      <c r="E47" s="775"/>
      <c r="F47" s="775"/>
      <c r="G47" s="1341">
        <v>392</v>
      </c>
      <c r="H47" s="1287"/>
      <c r="I47" s="778" t="s">
        <v>77</v>
      </c>
      <c r="J47" s="779"/>
      <c r="K47" s="1348">
        <f>IFERROR(VLOOKUP(A47,'WP-BC'!A$18:AI$346,10,FALSE),0)</f>
        <v>795734.63</v>
      </c>
      <c r="L47" s="780"/>
      <c r="M47" s="772" t="s">
        <v>227</v>
      </c>
    </row>
    <row r="48" spans="1:13" s="772" customFormat="1" ht="12.75">
      <c r="A48" s="1295" t="str">
        <f t="shared" si="0"/>
        <v>392</v>
      </c>
      <c r="B48" s="1346" t="s">
        <v>541</v>
      </c>
      <c r="C48" s="1350"/>
      <c r="D48" s="1350"/>
      <c r="E48" s="775"/>
      <c r="F48" s="775"/>
      <c r="G48" s="1341">
        <v>392</v>
      </c>
      <c r="H48" s="1287"/>
      <c r="I48" s="1350"/>
      <c r="J48" s="779"/>
      <c r="K48" s="1348">
        <f>IFERROR(VLOOKUP(A48,'WP-BC'!A$18:AI$346,10,FALSE),0)</f>
        <v>0</v>
      </c>
      <c r="L48" s="780"/>
    </row>
    <row r="49" spans="1:13" s="772" customFormat="1" ht="15">
      <c r="A49" s="1295" t="str">
        <f t="shared" si="0"/>
        <v>392</v>
      </c>
      <c r="B49" s="1346" t="s">
        <v>541</v>
      </c>
      <c r="C49" s="1350"/>
      <c r="D49" s="1350"/>
      <c r="E49" s="775"/>
      <c r="F49" s="775"/>
      <c r="G49" s="1341">
        <v>392</v>
      </c>
      <c r="H49" s="1287"/>
      <c r="I49" s="1350"/>
      <c r="J49" s="779"/>
      <c r="K49" s="1349">
        <f>IFERROR(VLOOKUP(A49,'WP-BC'!A$18:AI$353,10,FALSE),0)</f>
        <v>0</v>
      </c>
      <c r="L49" s="780"/>
    </row>
    <row r="50" spans="1:13" s="772" customFormat="1" ht="12.75">
      <c r="A50" s="1295" t="str">
        <f t="shared" si="0"/>
        <v>392</v>
      </c>
      <c r="B50" s="1346">
        <v>6</v>
      </c>
      <c r="D50" s="1345"/>
      <c r="E50" s="776"/>
      <c r="F50" s="781"/>
      <c r="G50" s="1341">
        <v>392</v>
      </c>
      <c r="H50" s="782" t="s">
        <v>263</v>
      </c>
      <c r="I50" s="779"/>
      <c r="J50" s="779"/>
      <c r="K50" s="1354">
        <f>SUM(K43:K49)</f>
        <v>2005734.75</v>
      </c>
      <c r="L50" s="780"/>
    </row>
    <row r="51" spans="1:13" s="772" customFormat="1" ht="12.75">
      <c r="A51" s="1295" t="str">
        <f t="shared" si="0"/>
        <v/>
      </c>
      <c r="B51" s="1346" t="s">
        <v>1225</v>
      </c>
      <c r="D51" s="1345"/>
      <c r="E51" s="776"/>
      <c r="F51" s="781"/>
      <c r="G51" s="1341"/>
      <c r="H51" s="779"/>
      <c r="I51" s="779"/>
      <c r="J51" s="779"/>
      <c r="K51" s="1348"/>
      <c r="L51" s="780"/>
    </row>
    <row r="52" spans="1:13" s="772" customFormat="1" ht="12.75">
      <c r="A52" s="1295" t="str">
        <f t="shared" si="0"/>
        <v>BLENHEIM - GILBOA393Stores Equipment</v>
      </c>
      <c r="B52" s="1347" t="s">
        <v>1284</v>
      </c>
      <c r="C52" s="707" t="str">
        <f>CONCATENATE("WP-BC, column 8, line ",VLOOKUP(A52,'WP-BC'!A55:N390, 2, FALSE))</f>
        <v>WP-BC, column 8, line 12f</v>
      </c>
      <c r="D52" s="775" t="s">
        <v>1929</v>
      </c>
      <c r="E52" s="775"/>
      <c r="F52" s="775"/>
      <c r="G52" s="1341">
        <v>393</v>
      </c>
      <c r="H52" s="1287"/>
      <c r="I52" s="778" t="s">
        <v>78</v>
      </c>
      <c r="J52" s="779"/>
      <c r="K52" s="1348">
        <f>IFERROR(VLOOKUP(A52,'WP-BC'!A$18:AI$346,10,FALSE),0)</f>
        <v>16350</v>
      </c>
      <c r="L52" s="780"/>
      <c r="M52" s="772" t="s">
        <v>227</v>
      </c>
    </row>
    <row r="53" spans="1:13" s="772" customFormat="1" ht="12.75">
      <c r="A53" s="1295" t="str">
        <f t="shared" si="0"/>
        <v>MASSENA - MARCY  (Clark)393Stores Equipment</v>
      </c>
      <c r="B53" s="1347" t="s">
        <v>1285</v>
      </c>
      <c r="C53" s="707" t="str">
        <f>CONCATENATE("WP-BC, column 8, line ",VLOOKUP(A53,'WP-BC'!A56:N391, 2, FALSE))</f>
        <v>WP-BC, column 8, line 12ae</v>
      </c>
      <c r="D53" s="775" t="s">
        <v>1934</v>
      </c>
      <c r="E53" s="775"/>
      <c r="F53" s="775"/>
      <c r="G53" s="1341">
        <v>393</v>
      </c>
      <c r="H53" s="1287"/>
      <c r="I53" s="778" t="s">
        <v>78</v>
      </c>
      <c r="J53" s="779"/>
      <c r="K53" s="1348">
        <f>IFERROR(VLOOKUP(A53,'WP-BC'!A$18:AI$346,10,FALSE),0)</f>
        <v>9904</v>
      </c>
      <c r="L53" s="780"/>
      <c r="M53" s="772" t="s">
        <v>227</v>
      </c>
    </row>
    <row r="54" spans="1:13" s="772" customFormat="1" ht="12.75">
      <c r="A54" s="1295" t="str">
        <f t="shared" si="0"/>
        <v>NIAGARA393Stores Equipment</v>
      </c>
      <c r="B54" s="1347" t="s">
        <v>1286</v>
      </c>
      <c r="C54" s="707" t="str">
        <f>CONCATENATE("WP-BC, column 8, line ",VLOOKUP(A54,'WP-BC'!A57:N392, 2, FALSE))</f>
        <v>WP-BC, column 8, line 12aq</v>
      </c>
      <c r="D54" s="775" t="s">
        <v>30</v>
      </c>
      <c r="E54" s="775"/>
      <c r="F54" s="775"/>
      <c r="G54" s="1341">
        <v>393</v>
      </c>
      <c r="H54" s="1287"/>
      <c r="I54" s="778" t="s">
        <v>78</v>
      </c>
      <c r="J54" s="779"/>
      <c r="K54" s="1348">
        <f>IFERROR(VLOOKUP(A54,'WP-BC'!A$18:AI$346,10,FALSE),0)</f>
        <v>0</v>
      </c>
      <c r="L54" s="780"/>
      <c r="M54" s="772" t="s">
        <v>227</v>
      </c>
    </row>
    <row r="55" spans="1:13" s="772" customFormat="1" ht="12.75">
      <c r="A55" s="1295" t="str">
        <f t="shared" si="0"/>
        <v>St.  LAWRENCE / FDR393Stores Equipment</v>
      </c>
      <c r="B55" s="1347" t="s">
        <v>1287</v>
      </c>
      <c r="C55" s="707" t="str">
        <f>CONCATENATE("WP-BC, column 8, line ",VLOOKUP(A55,'WP-BC'!A58:N393, 2, FALSE))</f>
        <v>WP-BC, column 8, line 12bc</v>
      </c>
      <c r="D55" s="775" t="s">
        <v>1935</v>
      </c>
      <c r="E55" s="775"/>
      <c r="F55" s="775"/>
      <c r="G55" s="1341">
        <v>393</v>
      </c>
      <c r="H55" s="1287"/>
      <c r="I55" s="778" t="s">
        <v>78</v>
      </c>
      <c r="J55" s="779"/>
      <c r="K55" s="1348">
        <f>IFERROR(VLOOKUP(A55,'WP-BC'!A$18:AI$346,10,FALSE),0)</f>
        <v>9237</v>
      </c>
      <c r="L55" s="780"/>
      <c r="M55" s="772" t="s">
        <v>227</v>
      </c>
    </row>
    <row r="56" spans="1:13" s="772" customFormat="1" ht="12.75">
      <c r="A56" s="1295" t="str">
        <f t="shared" si="0"/>
        <v>393</v>
      </c>
      <c r="B56" s="1346" t="s">
        <v>541</v>
      </c>
      <c r="C56" s="1350"/>
      <c r="D56" s="1350"/>
      <c r="E56" s="775"/>
      <c r="F56" s="775"/>
      <c r="G56" s="1341">
        <v>393</v>
      </c>
      <c r="H56" s="1287"/>
      <c r="I56" s="1350"/>
      <c r="J56" s="779"/>
      <c r="K56" s="1348">
        <f>IFERROR(VLOOKUP(A56,'WP-BC'!A$18:AI$346,10,FALSE),0)</f>
        <v>0</v>
      </c>
      <c r="L56" s="780"/>
    </row>
    <row r="57" spans="1:13" s="772" customFormat="1" ht="15">
      <c r="A57" s="1295" t="str">
        <f t="shared" si="0"/>
        <v>393</v>
      </c>
      <c r="B57" s="1346" t="s">
        <v>541</v>
      </c>
      <c r="C57" s="1350"/>
      <c r="D57" s="1350"/>
      <c r="E57" s="775"/>
      <c r="F57" s="775"/>
      <c r="G57" s="1341">
        <v>393</v>
      </c>
      <c r="H57" s="1287"/>
      <c r="I57" s="1350"/>
      <c r="J57" s="779"/>
      <c r="K57" s="1349">
        <f>IFERROR(VLOOKUP(A57,'WP-BC'!A$18:AI$353,10,FALSE),0)</f>
        <v>0</v>
      </c>
      <c r="L57" s="780"/>
    </row>
    <row r="58" spans="1:13" s="772" customFormat="1" ht="12.75">
      <c r="A58" s="1295" t="str">
        <f t="shared" si="0"/>
        <v>393</v>
      </c>
      <c r="B58" s="1346">
        <v>8</v>
      </c>
      <c r="D58" s="1345"/>
      <c r="E58" s="776"/>
      <c r="F58" s="781"/>
      <c r="G58" s="1341">
        <v>393</v>
      </c>
      <c r="H58" s="782" t="s">
        <v>264</v>
      </c>
      <c r="I58" s="779"/>
      <c r="J58" s="779"/>
      <c r="K58" s="1354">
        <f>SUM(K52:K57)</f>
        <v>35491</v>
      </c>
      <c r="L58" s="780"/>
    </row>
    <row r="59" spans="1:13" s="772" customFormat="1" ht="12.75">
      <c r="A59" s="1295" t="str">
        <f t="shared" si="0"/>
        <v/>
      </c>
      <c r="B59" s="1346" t="s">
        <v>1225</v>
      </c>
      <c r="D59" s="1345"/>
      <c r="E59" s="776"/>
      <c r="F59" s="781"/>
      <c r="G59" s="1341"/>
      <c r="H59" s="779"/>
      <c r="I59" s="779"/>
      <c r="J59" s="779"/>
      <c r="K59" s="1348"/>
      <c r="L59" s="780"/>
    </row>
    <row r="60" spans="1:13" s="772" customFormat="1" ht="12.75">
      <c r="A60" s="1295" t="str">
        <f t="shared" si="0"/>
        <v>BLENHEIM - GILBOA394Tools, Shop &amp; Garage Equipment</v>
      </c>
      <c r="B60" s="1346" t="s">
        <v>1288</v>
      </c>
      <c r="C60" s="707" t="str">
        <f>CONCATENATE("WP-BC, column 8, line ",VLOOKUP(A60,'WP-BC'!A63:N398, 2, FALSE))</f>
        <v>WP-BC, column 8, line 12g</v>
      </c>
      <c r="D60" s="775" t="s">
        <v>1929</v>
      </c>
      <c r="E60" s="775"/>
      <c r="F60" s="775"/>
      <c r="G60" s="1341">
        <v>394</v>
      </c>
      <c r="H60" s="1287"/>
      <c r="I60" s="778" t="s">
        <v>79</v>
      </c>
      <c r="J60" s="779"/>
      <c r="K60" s="1348">
        <f>IFERROR(VLOOKUP(A60,'WP-BC'!A$18:AI$346,10,FALSE),0)</f>
        <v>77641.460000000006</v>
      </c>
      <c r="L60" s="780"/>
      <c r="M60" s="772" t="s">
        <v>227</v>
      </c>
    </row>
    <row r="61" spans="1:13" s="772" customFormat="1" ht="12.75">
      <c r="A61" s="1295" t="str">
        <f t="shared" si="0"/>
        <v>HEADQUARTERS394Tools, Shop &amp; Garage Equipment</v>
      </c>
      <c r="B61" s="1346" t="s">
        <v>1289</v>
      </c>
      <c r="C61" s="707" t="str">
        <f>CONCATENATE("WP-BC, column 8, line ",VLOOKUP(A61,'WP-BC'!A64:N399, 2, FALSE))</f>
        <v>WP-BC, column 8, line 12r</v>
      </c>
      <c r="D61" s="775" t="s">
        <v>1936</v>
      </c>
      <c r="E61" s="775"/>
      <c r="F61" s="775"/>
      <c r="G61" s="1341">
        <v>394</v>
      </c>
      <c r="H61" s="1287"/>
      <c r="I61" s="778" t="s">
        <v>79</v>
      </c>
      <c r="J61" s="779"/>
      <c r="K61" s="1348">
        <f>IFERROR(VLOOKUP(A61,'WP-BC'!A$18:AI$346,10,FALSE),0)</f>
        <v>21344</v>
      </c>
      <c r="L61" s="780"/>
      <c r="M61" s="772" t="s">
        <v>227</v>
      </c>
    </row>
    <row r="62" spans="1:13" s="772" customFormat="1" ht="12.75">
      <c r="A62" s="1295" t="str">
        <f t="shared" si="0"/>
        <v>MASSENA - MARCY  (Clark)394Tools, Shop &amp; Garage Equipment</v>
      </c>
      <c r="B62" s="1346" t="s">
        <v>1290</v>
      </c>
      <c r="C62" s="707" t="str">
        <f>CONCATENATE("WP-BC, column 8, line ",VLOOKUP(A62,'WP-BC'!A65:N400, 2, FALSE))</f>
        <v>WP-BC, column 8, line 12af</v>
      </c>
      <c r="D62" s="775" t="s">
        <v>1934</v>
      </c>
      <c r="E62" s="775"/>
      <c r="F62" s="775"/>
      <c r="G62" s="1341">
        <v>394</v>
      </c>
      <c r="H62" s="1287"/>
      <c r="I62" s="778" t="s">
        <v>79</v>
      </c>
      <c r="J62" s="779"/>
      <c r="K62" s="1348">
        <f>IFERROR(VLOOKUP(A62,'WP-BC'!A$18:AI$346,10,FALSE),0)</f>
        <v>18611.439999999999</v>
      </c>
      <c r="L62" s="780"/>
      <c r="M62" s="772" t="s">
        <v>227</v>
      </c>
    </row>
    <row r="63" spans="1:13" s="772" customFormat="1" ht="12.75">
      <c r="A63" s="1295" t="str">
        <f t="shared" si="0"/>
        <v>NIAGARA394Tools, Shop &amp; Garage Equipment</v>
      </c>
      <c r="B63" s="1346" t="s">
        <v>1291</v>
      </c>
      <c r="C63" s="707" t="str">
        <f>CONCATENATE("WP-BC, column 8, line ",VLOOKUP(A63,'WP-BC'!A66:N401, 2, FALSE))</f>
        <v>WP-BC, column 8, line 12ar</v>
      </c>
      <c r="D63" s="775" t="s">
        <v>30</v>
      </c>
      <c r="E63" s="775"/>
      <c r="F63" s="775"/>
      <c r="G63" s="1341">
        <v>394</v>
      </c>
      <c r="H63" s="1287"/>
      <c r="I63" s="778" t="s">
        <v>79</v>
      </c>
      <c r="J63" s="779"/>
      <c r="K63" s="1348">
        <f>IFERROR(VLOOKUP(A63,'WP-BC'!A$18:AI$346,10,FALSE),0)</f>
        <v>264240.53999999998</v>
      </c>
      <c r="L63" s="780"/>
      <c r="M63" s="772" t="s">
        <v>227</v>
      </c>
    </row>
    <row r="64" spans="1:13" s="772" customFormat="1" ht="12.75">
      <c r="A64" s="1295" t="str">
        <f t="shared" si="0"/>
        <v>St.  LAWRENCE / FDR394Tools, Shop &amp; Garage Equipment</v>
      </c>
      <c r="B64" s="1346" t="s">
        <v>1292</v>
      </c>
      <c r="C64" s="707" t="str">
        <f>CONCATENATE("WP-BC, column 8, line ",VLOOKUP(A64,'WP-BC'!A67:N402, 2, FALSE))</f>
        <v>WP-BC, column 8, line 12bd</v>
      </c>
      <c r="D64" s="775" t="s">
        <v>1935</v>
      </c>
      <c r="E64" s="775"/>
      <c r="F64" s="775"/>
      <c r="G64" s="1341">
        <v>394</v>
      </c>
      <c r="H64" s="1287"/>
      <c r="I64" s="778" t="s">
        <v>79</v>
      </c>
      <c r="J64" s="779"/>
      <c r="K64" s="1348">
        <f>IFERROR(VLOOKUP(A64,'WP-BC'!A$18:AI$346,10,FALSE),0)</f>
        <v>447749.31</v>
      </c>
      <c r="L64" s="780"/>
      <c r="M64" s="772" t="s">
        <v>227</v>
      </c>
    </row>
    <row r="65" spans="1:13" s="772" customFormat="1" ht="12.75">
      <c r="A65" s="1295" t="str">
        <f t="shared" si="0"/>
        <v>394</v>
      </c>
      <c r="B65" s="1346" t="s">
        <v>541</v>
      </c>
      <c r="C65" s="1350"/>
      <c r="D65" s="1350"/>
      <c r="E65" s="775"/>
      <c r="F65" s="775"/>
      <c r="G65" s="1341">
        <v>394</v>
      </c>
      <c r="H65" s="1287"/>
      <c r="I65" s="1350"/>
      <c r="J65" s="779"/>
      <c r="K65" s="1348">
        <f>IFERROR(VLOOKUP(A65,'WP-BC'!A$18:AI$346,10,FALSE),0)</f>
        <v>0</v>
      </c>
      <c r="L65" s="780"/>
    </row>
    <row r="66" spans="1:13" s="772" customFormat="1" ht="15">
      <c r="A66" s="1295" t="str">
        <f t="shared" si="0"/>
        <v>394</v>
      </c>
      <c r="B66" s="1346" t="s">
        <v>541</v>
      </c>
      <c r="C66" s="1350"/>
      <c r="D66" s="1350"/>
      <c r="E66" s="775"/>
      <c r="F66" s="775"/>
      <c r="G66" s="1341">
        <v>394</v>
      </c>
      <c r="H66" s="1287"/>
      <c r="I66" s="1350"/>
      <c r="J66" s="779"/>
      <c r="K66" s="1349">
        <f>IFERROR(VLOOKUP(A66,'WP-BC'!A$18:AI$353,10,FALSE),0)</f>
        <v>0</v>
      </c>
      <c r="L66" s="780"/>
    </row>
    <row r="67" spans="1:13" s="772" customFormat="1" ht="12.75">
      <c r="A67" s="1295" t="str">
        <f t="shared" si="0"/>
        <v>394</v>
      </c>
      <c r="B67" s="1346">
        <v>10</v>
      </c>
      <c r="D67" s="1345"/>
      <c r="E67" s="776"/>
      <c r="F67" s="781"/>
      <c r="G67" s="1341">
        <v>394</v>
      </c>
      <c r="H67" s="782" t="s">
        <v>265</v>
      </c>
      <c r="I67" s="779"/>
      <c r="J67" s="779"/>
      <c r="K67" s="1354">
        <f>SUM(K60:K66)</f>
        <v>829586.75</v>
      </c>
      <c r="L67" s="780"/>
    </row>
    <row r="68" spans="1:13" s="772" customFormat="1" ht="12.75">
      <c r="A68" s="1295" t="str">
        <f t="shared" si="0"/>
        <v/>
      </c>
      <c r="B68" s="1346" t="s">
        <v>1225</v>
      </c>
      <c r="D68" s="1345"/>
      <c r="E68" s="776"/>
      <c r="F68" s="781"/>
      <c r="G68" s="1341"/>
      <c r="H68" s="779"/>
      <c r="I68" s="779"/>
      <c r="J68" s="779"/>
      <c r="K68" s="1348"/>
      <c r="L68" s="780"/>
    </row>
    <row r="69" spans="1:13" s="772" customFormat="1" ht="12.75">
      <c r="A69" s="1295" t="str">
        <f t="shared" si="0"/>
        <v>BLENHEIM - GILBOA395Laboratory Equipment</v>
      </c>
      <c r="B69" s="1346" t="s">
        <v>1079</v>
      </c>
      <c r="C69" s="707" t="str">
        <f>CONCATENATE("WP-BC, column 8, line ",VLOOKUP(A69,'WP-BC'!A72:N407, 2, FALSE))</f>
        <v>WP-BC, column 8, line 12h</v>
      </c>
      <c r="D69" s="775" t="s">
        <v>1929</v>
      </c>
      <c r="E69" s="775"/>
      <c r="F69" s="775"/>
      <c r="G69" s="1341">
        <v>395</v>
      </c>
      <c r="H69" s="1287"/>
      <c r="I69" s="778" t="s">
        <v>80</v>
      </c>
      <c r="J69" s="779"/>
      <c r="K69" s="1348">
        <f>IFERROR(VLOOKUP(A69,'WP-BC'!A$18:AI$346,10,FALSE),0)</f>
        <v>29467.25</v>
      </c>
      <c r="L69" s="780"/>
      <c r="M69" s="772" t="s">
        <v>227</v>
      </c>
    </row>
    <row r="70" spans="1:13" s="772" customFormat="1" ht="12.75">
      <c r="A70" s="1295" t="str">
        <f t="shared" si="0"/>
        <v>HEADQUARTERS395Laboratory Equipment</v>
      </c>
      <c r="B70" s="1346" t="s">
        <v>1080</v>
      </c>
      <c r="C70" s="707" t="str">
        <f>CONCATENATE("WP-BC, column 8, line ",VLOOKUP(A70,'WP-BC'!A73:N408, 2, FALSE))</f>
        <v>WP-BC, column 8, line 12s</v>
      </c>
      <c r="D70" s="775" t="s">
        <v>1936</v>
      </c>
      <c r="E70" s="775"/>
      <c r="F70" s="775"/>
      <c r="G70" s="1341">
        <v>395</v>
      </c>
      <c r="H70" s="1287"/>
      <c r="I70" s="778" t="s">
        <v>80</v>
      </c>
      <c r="J70" s="779"/>
      <c r="K70" s="1348">
        <f>IFERROR(VLOOKUP(A70,'WP-BC'!A$18:AI$346,10,FALSE),0)</f>
        <v>35841</v>
      </c>
      <c r="L70" s="780"/>
      <c r="M70" s="772" t="s">
        <v>227</v>
      </c>
    </row>
    <row r="71" spans="1:13" s="772" customFormat="1" ht="12.75">
      <c r="A71" s="1295" t="str">
        <f t="shared" si="0"/>
        <v>MASSENA - MARCY  (Clark)395Laboratory Equipment</v>
      </c>
      <c r="B71" s="1346" t="s">
        <v>1081</v>
      </c>
      <c r="C71" s="707" t="str">
        <f>CONCATENATE("WP-BC, column 8, line ",VLOOKUP(A71,'WP-BC'!A74:N409, 2, FALSE))</f>
        <v>WP-BC, column 8, line 12ag</v>
      </c>
      <c r="D71" s="775" t="s">
        <v>1934</v>
      </c>
      <c r="E71" s="775"/>
      <c r="F71" s="775"/>
      <c r="G71" s="1341">
        <v>395</v>
      </c>
      <c r="H71" s="1287"/>
      <c r="I71" s="778" t="s">
        <v>80</v>
      </c>
      <c r="J71" s="779"/>
      <c r="K71" s="1348">
        <f>IFERROR(VLOOKUP(A71,'WP-BC'!A$18:AI$346,10,FALSE),0)</f>
        <v>18769.099999999999</v>
      </c>
      <c r="L71" s="780"/>
      <c r="M71" s="772" t="s">
        <v>227</v>
      </c>
    </row>
    <row r="72" spans="1:13" s="772" customFormat="1" ht="12.75">
      <c r="A72" s="1295" t="str">
        <f t="shared" si="0"/>
        <v>NIAGARA395Laboratory Equipment</v>
      </c>
      <c r="B72" s="1346" t="s">
        <v>1293</v>
      </c>
      <c r="C72" s="707" t="str">
        <f>CONCATENATE("WP-BC, column 8, line ",VLOOKUP(A72,'WP-BC'!A75:N410, 2, FALSE))</f>
        <v>WP-BC, column 8, line 12as</v>
      </c>
      <c r="D72" s="775" t="s">
        <v>30</v>
      </c>
      <c r="E72" s="775"/>
      <c r="F72" s="775"/>
      <c r="G72" s="1341">
        <v>395</v>
      </c>
      <c r="H72" s="1287"/>
      <c r="I72" s="778" t="s">
        <v>80</v>
      </c>
      <c r="J72" s="779"/>
      <c r="K72" s="1348">
        <f>IFERROR(VLOOKUP(A72,'WP-BC'!A$18:AI$346,10,FALSE),0)</f>
        <v>26322</v>
      </c>
      <c r="L72" s="780"/>
      <c r="M72" s="772" t="s">
        <v>227</v>
      </c>
    </row>
    <row r="73" spans="1:13" s="772" customFormat="1" ht="12.75">
      <c r="A73" s="1295" t="str">
        <f t="shared" si="0"/>
        <v>St.  LAWRENCE / FDR395Laboratory Equipment</v>
      </c>
      <c r="B73" s="1346" t="s">
        <v>1294</v>
      </c>
      <c r="C73" s="707" t="str">
        <f>CONCATENATE("WP-BC, column 8, line ",VLOOKUP(A73,'WP-BC'!A76:N411, 2, FALSE))</f>
        <v>WP-BC, column 8, line 12be</v>
      </c>
      <c r="D73" s="775" t="s">
        <v>1935</v>
      </c>
      <c r="E73" s="775"/>
      <c r="F73" s="775"/>
      <c r="G73" s="1341">
        <v>395</v>
      </c>
      <c r="H73" s="1287"/>
      <c r="I73" s="778" t="s">
        <v>80</v>
      </c>
      <c r="J73" s="779"/>
      <c r="K73" s="1348">
        <f>IFERROR(VLOOKUP(A73,'WP-BC'!A$18:AI$346,10,FALSE),0)</f>
        <v>145759</v>
      </c>
      <c r="L73" s="780"/>
      <c r="M73" s="772" t="s">
        <v>227</v>
      </c>
    </row>
    <row r="74" spans="1:13" s="772" customFormat="1" ht="12.75">
      <c r="A74" s="1295" t="str">
        <f t="shared" si="0"/>
        <v>395</v>
      </c>
      <c r="B74" s="1346" t="s">
        <v>541</v>
      </c>
      <c r="C74" s="1350"/>
      <c r="D74" s="1350"/>
      <c r="E74" s="775"/>
      <c r="F74" s="775"/>
      <c r="G74" s="1341">
        <v>395</v>
      </c>
      <c r="H74" s="1287"/>
      <c r="I74" s="1350"/>
      <c r="J74" s="779"/>
      <c r="K74" s="1348">
        <f>IFERROR(VLOOKUP(A74,'WP-BC'!A$18:AI$346,10,FALSE),0)</f>
        <v>0</v>
      </c>
      <c r="L74" s="780"/>
    </row>
    <row r="75" spans="1:13" s="772" customFormat="1" ht="15">
      <c r="A75" s="1295" t="str">
        <f t="shared" si="0"/>
        <v>395</v>
      </c>
      <c r="B75" s="1346" t="s">
        <v>541</v>
      </c>
      <c r="C75" s="1350"/>
      <c r="D75" s="1350"/>
      <c r="E75" s="775"/>
      <c r="F75" s="775"/>
      <c r="G75" s="1341">
        <v>395</v>
      </c>
      <c r="H75" s="1287"/>
      <c r="I75" s="1350"/>
      <c r="J75" s="779"/>
      <c r="K75" s="1349">
        <f>IFERROR(VLOOKUP(A75,'WP-BC'!A$18:AI$353,10,FALSE),0)</f>
        <v>0</v>
      </c>
      <c r="L75" s="780"/>
    </row>
    <row r="76" spans="1:13" s="772" customFormat="1" ht="12.75">
      <c r="A76" s="1295" t="str">
        <f t="shared" si="0"/>
        <v>395</v>
      </c>
      <c r="B76" s="1346">
        <v>12</v>
      </c>
      <c r="D76" s="1345"/>
      <c r="E76" s="776"/>
      <c r="F76" s="781"/>
      <c r="G76" s="1341">
        <v>395</v>
      </c>
      <c r="H76" s="782" t="s">
        <v>266</v>
      </c>
      <c r="I76" s="779"/>
      <c r="J76" s="779"/>
      <c r="K76" s="1354">
        <f>SUM(K69:K75)</f>
        <v>256158.35</v>
      </c>
      <c r="L76" s="780"/>
    </row>
    <row r="77" spans="1:13" s="772" customFormat="1" ht="12.75">
      <c r="A77" s="1295" t="str">
        <f t="shared" si="0"/>
        <v/>
      </c>
      <c r="B77" s="1346" t="s">
        <v>1225</v>
      </c>
      <c r="D77" s="1345"/>
      <c r="E77" s="776"/>
      <c r="F77" s="781"/>
      <c r="G77" s="1341"/>
      <c r="H77" s="779"/>
      <c r="I77" s="779"/>
      <c r="J77" s="779"/>
      <c r="K77" s="1348"/>
      <c r="L77" s="780"/>
    </row>
    <row r="78" spans="1:13" s="772" customFormat="1" ht="12.75">
      <c r="A78" s="1295" t="str">
        <f t="shared" si="0"/>
        <v>BLENHEIM - GILBOA396Power Operated Equipment</v>
      </c>
      <c r="B78" s="1346" t="s">
        <v>1295</v>
      </c>
      <c r="C78" s="707" t="str">
        <f>CONCATENATE("WP-BC, column 8, line ",VLOOKUP(A78,'WP-BC'!A81:N416, 2, FALSE))</f>
        <v>WP-BC, column 8, line 12i</v>
      </c>
      <c r="D78" s="775" t="s">
        <v>1929</v>
      </c>
      <c r="E78" s="775"/>
      <c r="F78" s="775"/>
      <c r="G78" s="1341">
        <v>396</v>
      </c>
      <c r="H78" s="1287"/>
      <c r="I78" s="778" t="s">
        <v>81</v>
      </c>
      <c r="J78" s="779"/>
      <c r="K78" s="1348">
        <f>IFERROR(VLOOKUP(A78,'WP-BC'!A$18:AI$346,10,FALSE),0)</f>
        <v>241276.52</v>
      </c>
      <c r="L78" s="780"/>
      <c r="M78" s="772" t="s">
        <v>227</v>
      </c>
    </row>
    <row r="79" spans="1:13" s="772" customFormat="1" ht="12.75">
      <c r="A79" s="1295" t="str">
        <f t="shared" si="0"/>
        <v>MARCY-SOUTH396Power Operated Equipment</v>
      </c>
      <c r="B79" s="1346" t="s">
        <v>1296</v>
      </c>
      <c r="C79" s="707" t="str">
        <f>CONCATENATE("WP-BC, column 8, line ",VLOOKUP(A79,'WP-BC'!A82:N417, 2, FALSE))</f>
        <v>WP-BC, column 8, line 12x</v>
      </c>
      <c r="D79" s="775" t="s">
        <v>1933</v>
      </c>
      <c r="E79" s="775"/>
      <c r="F79" s="775"/>
      <c r="G79" s="1341">
        <v>396</v>
      </c>
      <c r="H79" s="1287"/>
      <c r="I79" s="778" t="s">
        <v>81</v>
      </c>
      <c r="J79" s="779"/>
      <c r="K79" s="1348">
        <f>IFERROR(VLOOKUP(A79,'WP-BC'!A$18:AI$346,10,FALSE),0)</f>
        <v>0</v>
      </c>
      <c r="L79" s="780"/>
      <c r="M79" s="772" t="s">
        <v>227</v>
      </c>
    </row>
    <row r="80" spans="1:13" s="772" customFormat="1" ht="12.75">
      <c r="A80" s="1295" t="str">
        <f t="shared" si="0"/>
        <v>MASSENA - MARCY  (Clark)396Power Operated Equipment</v>
      </c>
      <c r="B80" s="1346" t="s">
        <v>1297</v>
      </c>
      <c r="C80" s="707" t="str">
        <f>CONCATENATE("WP-BC, column 8, line ",VLOOKUP(A80,'WP-BC'!A83:N418, 2, FALSE))</f>
        <v>WP-BC, column 8, line 12ah</v>
      </c>
      <c r="D80" s="775" t="s">
        <v>1934</v>
      </c>
      <c r="E80" s="775"/>
      <c r="F80" s="775"/>
      <c r="G80" s="1341">
        <v>396</v>
      </c>
      <c r="H80" s="1287"/>
      <c r="I80" s="778" t="s">
        <v>81</v>
      </c>
      <c r="J80" s="779"/>
      <c r="K80" s="1348">
        <f>IFERROR(VLOOKUP(A80,'WP-BC'!A$18:AI$346,10,FALSE),0)</f>
        <v>208585.08</v>
      </c>
      <c r="L80" s="780"/>
      <c r="M80" s="772" t="s">
        <v>227</v>
      </c>
    </row>
    <row r="81" spans="1:13" s="772" customFormat="1" ht="12.75">
      <c r="A81" s="1295" t="str">
        <f t="shared" si="0"/>
        <v>NIAGARA396Power Operated Equipment</v>
      </c>
      <c r="B81" s="1346" t="s">
        <v>1298</v>
      </c>
      <c r="C81" s="707" t="str">
        <f>CONCATENATE("WP-BC, column 8, line ",VLOOKUP(A81,'WP-BC'!A84:N419, 2, FALSE))</f>
        <v>WP-BC, column 8, line 12at</v>
      </c>
      <c r="D81" s="775" t="s">
        <v>30</v>
      </c>
      <c r="E81" s="775"/>
      <c r="F81" s="775"/>
      <c r="G81" s="1341">
        <v>396</v>
      </c>
      <c r="H81" s="1287"/>
      <c r="I81" s="778" t="s">
        <v>81</v>
      </c>
      <c r="J81" s="779"/>
      <c r="K81" s="1348">
        <f>IFERROR(VLOOKUP(A81,'WP-BC'!A$18:AI$346,10,FALSE),0)</f>
        <v>303410.58</v>
      </c>
      <c r="L81" s="780"/>
      <c r="M81" s="772" t="s">
        <v>227</v>
      </c>
    </row>
    <row r="82" spans="1:13" s="772" customFormat="1" ht="12.75">
      <c r="A82" s="1295" t="str">
        <f t="shared" si="0"/>
        <v>St.  LAWRENCE / FDR396Power Operated Equipment</v>
      </c>
      <c r="B82" s="1346" t="s">
        <v>1299</v>
      </c>
      <c r="C82" s="707" t="str">
        <f>CONCATENATE("WP-BC, column 8, line ",VLOOKUP(A82,'WP-BC'!A85:N420, 2, FALSE))</f>
        <v>WP-BC, column 8, line 12bh</v>
      </c>
      <c r="D82" s="775" t="s">
        <v>1935</v>
      </c>
      <c r="E82" s="775"/>
      <c r="F82" s="775"/>
      <c r="G82" s="1341">
        <v>396</v>
      </c>
      <c r="H82" s="1287"/>
      <c r="I82" s="778" t="s">
        <v>81</v>
      </c>
      <c r="J82" s="779"/>
      <c r="K82" s="1348">
        <f>IFERROR(VLOOKUP(A82,'WP-BC'!A$18:AI$346,10,FALSE),0)</f>
        <v>446072.11</v>
      </c>
      <c r="L82" s="780"/>
      <c r="M82" s="772" t="s">
        <v>227</v>
      </c>
    </row>
    <row r="83" spans="1:13" s="772" customFormat="1" ht="12.75">
      <c r="A83" s="1295" t="str">
        <f t="shared" si="0"/>
        <v>396</v>
      </c>
      <c r="B83" s="1346" t="s">
        <v>541</v>
      </c>
      <c r="C83" s="1350"/>
      <c r="D83" s="1350"/>
      <c r="E83" s="775"/>
      <c r="F83" s="775"/>
      <c r="G83" s="1341">
        <v>396</v>
      </c>
      <c r="H83" s="1287"/>
      <c r="I83" s="1350"/>
      <c r="J83" s="779"/>
      <c r="K83" s="1348">
        <f>IFERROR(VLOOKUP(A83,'WP-BC'!A$18:AI$346,10,FALSE),0)</f>
        <v>0</v>
      </c>
      <c r="L83" s="780"/>
    </row>
    <row r="84" spans="1:13" s="772" customFormat="1" ht="15">
      <c r="A84" s="1295" t="str">
        <f t="shared" si="0"/>
        <v>396</v>
      </c>
      <c r="B84" s="1346" t="s">
        <v>541</v>
      </c>
      <c r="C84" s="1350"/>
      <c r="D84" s="1350"/>
      <c r="E84" s="775"/>
      <c r="F84" s="775"/>
      <c r="G84" s="1341">
        <v>396</v>
      </c>
      <c r="H84" s="1287"/>
      <c r="I84" s="1350"/>
      <c r="J84" s="779"/>
      <c r="K84" s="1349">
        <f>IFERROR(VLOOKUP(A84,'WP-BC'!A$18:AI$353,10,FALSE),0)</f>
        <v>0</v>
      </c>
      <c r="L84" s="780"/>
    </row>
    <row r="85" spans="1:13" s="772" customFormat="1" ht="12.75">
      <c r="A85" s="1295" t="str">
        <f t="shared" si="0"/>
        <v>396</v>
      </c>
      <c r="B85" s="1346">
        <v>14</v>
      </c>
      <c r="D85" s="1345"/>
      <c r="E85" s="776"/>
      <c r="F85" s="781"/>
      <c r="G85" s="1341">
        <v>396</v>
      </c>
      <c r="H85" s="782" t="s">
        <v>267</v>
      </c>
      <c r="I85" s="779"/>
      <c r="J85" s="779"/>
      <c r="K85" s="1354">
        <f>SUM(K78:K84)</f>
        <v>1199344.29</v>
      </c>
      <c r="L85" s="780"/>
    </row>
    <row r="86" spans="1:13" s="772" customFormat="1" ht="12.75">
      <c r="A86" s="1295" t="str">
        <f t="shared" si="0"/>
        <v/>
      </c>
      <c r="B86" s="1346" t="s">
        <v>1225</v>
      </c>
      <c r="D86" s="1345"/>
      <c r="E86" s="776"/>
      <c r="F86" s="781"/>
      <c r="G86" s="1341"/>
      <c r="H86" s="779"/>
      <c r="I86" s="779"/>
      <c r="J86" s="779"/>
      <c r="K86" s="1348"/>
      <c r="L86" s="780"/>
    </row>
    <row r="87" spans="1:13" s="772" customFormat="1" ht="12.75">
      <c r="A87" s="1295" t="str">
        <f t="shared" si="0"/>
        <v>BLENHEIM - GILBOA397Communication Equipment</v>
      </c>
      <c r="B87" s="1346" t="s">
        <v>1300</v>
      </c>
      <c r="C87" s="707" t="str">
        <f>CONCATENATE("WP-BC, column 8, line ",VLOOKUP(A87,'WP-BC'!A90:N425, 2, FALSE))</f>
        <v>WP-BC, column 8, line 12j</v>
      </c>
      <c r="D87" s="775" t="s">
        <v>1929</v>
      </c>
      <c r="E87" s="775"/>
      <c r="F87" s="775"/>
      <c r="G87" s="1341">
        <v>397</v>
      </c>
      <c r="H87" s="1287"/>
      <c r="I87" s="778" t="s">
        <v>82</v>
      </c>
      <c r="J87" s="779"/>
      <c r="K87" s="1348">
        <f>IFERROR(VLOOKUP(A87,'WP-BC'!A$18:AI$346,10,FALSE),0)</f>
        <v>53563</v>
      </c>
      <c r="L87" s="780"/>
      <c r="M87" s="772" t="s">
        <v>227</v>
      </c>
    </row>
    <row r="88" spans="1:13" s="772" customFormat="1" ht="12.75">
      <c r="A88" s="1295" t="str">
        <f t="shared" ref="A88:A151" si="2">CONCATENATE(D88,G88,I88)</f>
        <v>HEADQUARTERS397Communication Equipment</v>
      </c>
      <c r="B88" s="1346" t="s">
        <v>1301</v>
      </c>
      <c r="C88" s="707" t="str">
        <f>CONCATENATE("WP-BC, column 8, line ",VLOOKUP(A88,'WP-BC'!A91:N426, 2, FALSE))</f>
        <v>WP-BC, column 8, line 12t</v>
      </c>
      <c r="D88" s="775" t="s">
        <v>1936</v>
      </c>
      <c r="E88" s="775"/>
      <c r="F88" s="775"/>
      <c r="G88" s="1341">
        <v>397</v>
      </c>
      <c r="H88" s="1287"/>
      <c r="I88" s="778" t="s">
        <v>82</v>
      </c>
      <c r="J88" s="779"/>
      <c r="K88" s="1348">
        <f>IFERROR(VLOOKUP(A88,'WP-BC'!A$18:AI$346,10,FALSE),0)</f>
        <v>285107.68</v>
      </c>
      <c r="L88" s="780"/>
      <c r="M88" s="772" t="s">
        <v>227</v>
      </c>
    </row>
    <row r="89" spans="1:13" s="772" customFormat="1" ht="12.75">
      <c r="A89" s="1295" t="str">
        <f t="shared" si="2"/>
        <v>LONG ISLAND SOUND CABLE397Communication Equipment</v>
      </c>
      <c r="B89" s="1346" t="s">
        <v>1302</v>
      </c>
      <c r="C89" s="707" t="str">
        <f>CONCATENATE("WP-BC, column 8, line ",VLOOKUP(A89,'WP-BC'!A92:N427, 2, FALSE))</f>
        <v>WP-BC, column 8, line 12v</v>
      </c>
      <c r="D89" s="775" t="s">
        <v>1932</v>
      </c>
      <c r="E89" s="775"/>
      <c r="F89" s="775"/>
      <c r="G89" s="1341">
        <v>397</v>
      </c>
      <c r="H89" s="1287"/>
      <c r="I89" s="778" t="s">
        <v>82</v>
      </c>
      <c r="J89" s="779"/>
      <c r="K89" s="1348">
        <f>IFERROR(VLOOKUP(A89,'WP-BC'!A$18:AI$346,10,FALSE),0)</f>
        <v>0</v>
      </c>
      <c r="L89" s="780"/>
      <c r="M89" s="772" t="s">
        <v>227</v>
      </c>
    </row>
    <row r="90" spans="1:13" s="772" customFormat="1" ht="12.75">
      <c r="A90" s="1295" t="str">
        <f t="shared" si="2"/>
        <v>MARCY-SOUTH397Communication Equipment</v>
      </c>
      <c r="B90" s="1346" t="s">
        <v>1303</v>
      </c>
      <c r="C90" s="707" t="str">
        <f>CONCATENATE("WP-BC, column 8, line ",VLOOKUP(A90,'WP-BC'!A93:N428, 2, FALSE))</f>
        <v>WP-BC, column 8, line 12y</v>
      </c>
      <c r="D90" s="775" t="s">
        <v>1933</v>
      </c>
      <c r="E90" s="775"/>
      <c r="F90" s="775"/>
      <c r="G90" s="1341">
        <v>397</v>
      </c>
      <c r="H90" s="1287"/>
      <c r="I90" s="778" t="s">
        <v>82</v>
      </c>
      <c r="J90" s="779"/>
      <c r="K90" s="1348">
        <f>IFERROR(VLOOKUP(A90,'WP-BC'!A$18:AI$346,10,FALSE),0)</f>
        <v>0</v>
      </c>
      <c r="L90" s="780"/>
      <c r="M90" s="772" t="s">
        <v>227</v>
      </c>
    </row>
    <row r="91" spans="1:13" s="772" customFormat="1" ht="12.75">
      <c r="A91" s="1295" t="str">
        <f t="shared" si="2"/>
        <v>MASSENA - MARCY  (Clark)397Communication Equipment</v>
      </c>
      <c r="B91" s="1346" t="s">
        <v>1304</v>
      </c>
      <c r="C91" s="707" t="str">
        <f>CONCATENATE("WP-BC, column 8, line ",VLOOKUP(A91,'WP-BC'!A94:N429, 2, FALSE))</f>
        <v>WP-BC, column 8, line 12ai</v>
      </c>
      <c r="D91" s="775" t="s">
        <v>1934</v>
      </c>
      <c r="E91" s="775"/>
      <c r="F91" s="775"/>
      <c r="G91" s="1341">
        <v>397</v>
      </c>
      <c r="H91" s="1287"/>
      <c r="I91" s="778" t="s">
        <v>82</v>
      </c>
      <c r="J91" s="779"/>
      <c r="K91" s="1348">
        <f>IFERROR(VLOOKUP(A91,'WP-BC'!A$18:AI$346,10,FALSE),0)</f>
        <v>4305</v>
      </c>
      <c r="L91" s="780"/>
      <c r="M91" s="772" t="s">
        <v>227</v>
      </c>
    </row>
    <row r="92" spans="1:13" s="772" customFormat="1" ht="12.75">
      <c r="A92" s="1295" t="str">
        <f t="shared" si="2"/>
        <v>NIAGARA397Communication Equipment</v>
      </c>
      <c r="B92" s="1346" t="s">
        <v>1305</v>
      </c>
      <c r="C92" s="707" t="str">
        <f>CONCATENATE("WP-BC, column 8, line ",VLOOKUP(A92,'WP-BC'!A95:N430, 2, FALSE))</f>
        <v>WP-BC, column 8, line 12au</v>
      </c>
      <c r="D92" s="775" t="s">
        <v>30</v>
      </c>
      <c r="E92" s="775"/>
      <c r="F92" s="775"/>
      <c r="G92" s="1341">
        <v>397</v>
      </c>
      <c r="H92" s="1287"/>
      <c r="I92" s="778" t="s">
        <v>82</v>
      </c>
      <c r="J92" s="779"/>
      <c r="K92" s="1348">
        <f>IFERROR(VLOOKUP(A92,'WP-BC'!A$18:AI$346,10,FALSE),0)</f>
        <v>247676.08</v>
      </c>
      <c r="L92" s="780"/>
      <c r="M92" s="772" t="s">
        <v>227</v>
      </c>
    </row>
    <row r="93" spans="1:13" s="772" customFormat="1" ht="12.75">
      <c r="A93" s="1295" t="str">
        <f t="shared" si="2"/>
        <v>St.  LAWRENCE / FDR397Communication Equipment</v>
      </c>
      <c r="B93" s="1346" t="s">
        <v>1320</v>
      </c>
      <c r="C93" s="707" t="str">
        <f>CONCATENATE("WP-BC, column 8, line ",VLOOKUP(A93,'WP-BC'!A96:N431, 2, FALSE))</f>
        <v>WP-BC, column 8, line 12bi</v>
      </c>
      <c r="D93" s="775" t="s">
        <v>1935</v>
      </c>
      <c r="E93" s="775"/>
      <c r="F93" s="775"/>
      <c r="G93" s="1341">
        <v>397</v>
      </c>
      <c r="H93" s="1287"/>
      <c r="I93" s="778" t="s">
        <v>82</v>
      </c>
      <c r="J93" s="779"/>
      <c r="K93" s="1348">
        <f>IFERROR(VLOOKUP(A93,'WP-BC'!A$18:AI$346,10,FALSE),0)</f>
        <v>365691</v>
      </c>
      <c r="L93" s="780"/>
      <c r="M93" s="772" t="s">
        <v>227</v>
      </c>
    </row>
    <row r="94" spans="1:13" s="772" customFormat="1" ht="12.75">
      <c r="A94" s="1295" t="str">
        <f t="shared" si="2"/>
        <v>397</v>
      </c>
      <c r="B94" s="1346" t="s">
        <v>1225</v>
      </c>
      <c r="C94" s="1350"/>
      <c r="D94" s="1350"/>
      <c r="E94" s="775"/>
      <c r="F94" s="775"/>
      <c r="G94" s="1341">
        <v>397</v>
      </c>
      <c r="H94" s="1287"/>
      <c r="I94" s="1350"/>
      <c r="J94" s="779"/>
      <c r="K94" s="1348">
        <f>IFERROR(VLOOKUP(A94,'WP-BC'!A$18:AI$346,10,FALSE),0)</f>
        <v>0</v>
      </c>
      <c r="L94" s="780"/>
    </row>
    <row r="95" spans="1:13" s="772" customFormat="1" ht="15">
      <c r="A95" s="1295" t="str">
        <f t="shared" si="2"/>
        <v>397</v>
      </c>
      <c r="B95" s="1346" t="s">
        <v>1225</v>
      </c>
      <c r="C95" s="1350"/>
      <c r="D95" s="1350"/>
      <c r="E95" s="775"/>
      <c r="F95" s="775"/>
      <c r="G95" s="1341">
        <v>397</v>
      </c>
      <c r="H95" s="1287"/>
      <c r="I95" s="1350"/>
      <c r="J95" s="779"/>
      <c r="K95" s="1349">
        <f>IFERROR(VLOOKUP(A95,'WP-BC'!A$18:AI$353,10,FALSE),0)</f>
        <v>0</v>
      </c>
      <c r="L95" s="780"/>
    </row>
    <row r="96" spans="1:13" s="772" customFormat="1" ht="12.75">
      <c r="A96" s="1295" t="str">
        <f t="shared" si="2"/>
        <v>397</v>
      </c>
      <c r="B96" s="1346">
        <v>16</v>
      </c>
      <c r="D96" s="1345"/>
      <c r="E96" s="776"/>
      <c r="F96" s="781"/>
      <c r="G96" s="1341">
        <v>397</v>
      </c>
      <c r="H96" s="782" t="s">
        <v>268</v>
      </c>
      <c r="I96" s="779"/>
      <c r="J96" s="779"/>
      <c r="K96" s="1354">
        <f>SUM(K87:K95)</f>
        <v>956342.76</v>
      </c>
      <c r="L96" s="780"/>
    </row>
    <row r="97" spans="1:13" s="772" customFormat="1" ht="12.75">
      <c r="A97" s="1295" t="str">
        <f t="shared" si="2"/>
        <v/>
      </c>
      <c r="B97" s="1346" t="s">
        <v>1225</v>
      </c>
      <c r="D97" s="1345"/>
      <c r="E97" s="776"/>
      <c r="F97" s="781"/>
      <c r="G97" s="1341"/>
      <c r="H97" s="779"/>
      <c r="I97" s="779"/>
      <c r="J97" s="779"/>
      <c r="K97" s="1348"/>
      <c r="L97" s="780"/>
    </row>
    <row r="98" spans="1:13" s="772" customFormat="1" ht="12.75">
      <c r="A98" s="1295" t="str">
        <f t="shared" si="2"/>
        <v>BLENHEIM - GILBOA398Miscellaneous Equipment</v>
      </c>
      <c r="B98" s="1346" t="s">
        <v>1306</v>
      </c>
      <c r="C98" s="707" t="str">
        <f>CONCATENATE("WP-BC, column 8, line ",VLOOKUP(A98,'WP-BC'!A101:N436, 2, FALSE))</f>
        <v>WP-BC, column 8, line 12k</v>
      </c>
      <c r="D98" s="775" t="s">
        <v>1929</v>
      </c>
      <c r="E98" s="775"/>
      <c r="F98" s="775"/>
      <c r="G98" s="1341">
        <v>398</v>
      </c>
      <c r="H98" s="1287"/>
      <c r="I98" s="778" t="s">
        <v>83</v>
      </c>
      <c r="J98" s="779"/>
      <c r="K98" s="1348">
        <f>IFERROR(VLOOKUP(A98,'WP-BC'!A$18:AI$346,10,FALSE),0)</f>
        <v>363474.82</v>
      </c>
      <c r="L98" s="780"/>
      <c r="M98" s="772" t="s">
        <v>227</v>
      </c>
    </row>
    <row r="99" spans="1:13" s="772" customFormat="1" ht="12.75">
      <c r="A99" s="1295" t="str">
        <f t="shared" si="2"/>
        <v>HEADQUARTERS398Miscellaneous Equipment</v>
      </c>
      <c r="B99" s="1346" t="s">
        <v>1307</v>
      </c>
      <c r="C99" s="707" t="str">
        <f>CONCATENATE("WP-BC, column 8, line ",VLOOKUP(A99,'WP-BC'!A102:N437, 2, FALSE))</f>
        <v>WP-BC, column 8, line 12u</v>
      </c>
      <c r="D99" s="775" t="s">
        <v>1936</v>
      </c>
      <c r="E99" s="775"/>
      <c r="F99" s="775"/>
      <c r="G99" s="1341">
        <v>398</v>
      </c>
      <c r="H99" s="1287"/>
      <c r="I99" s="778" t="s">
        <v>83</v>
      </c>
      <c r="J99" s="779"/>
      <c r="K99" s="1348">
        <f>IFERROR(VLOOKUP(A99,'WP-BC'!A$18:AI$346,10,FALSE),0)</f>
        <v>10241</v>
      </c>
      <c r="L99" s="780"/>
      <c r="M99" s="772" t="s">
        <v>227</v>
      </c>
    </row>
    <row r="100" spans="1:13" s="772" customFormat="1" ht="12.75">
      <c r="A100" s="1295" t="str">
        <f t="shared" si="2"/>
        <v>MASSENA - MARCY  (Clark)398Miscellaneous Equipment</v>
      </c>
      <c r="B100" s="1346" t="s">
        <v>1308</v>
      </c>
      <c r="C100" s="707" t="str">
        <f>CONCATENATE("WP-BC, column 8, line ",VLOOKUP(A100,'WP-BC'!A103:N438, 2, FALSE))</f>
        <v>WP-BC, column 8, line 12ak</v>
      </c>
      <c r="D100" s="775" t="s">
        <v>1934</v>
      </c>
      <c r="E100" s="775"/>
      <c r="F100" s="775"/>
      <c r="G100" s="1341">
        <v>398</v>
      </c>
      <c r="H100" s="1287"/>
      <c r="I100" s="778" t="s">
        <v>83</v>
      </c>
      <c r="J100" s="779"/>
      <c r="K100" s="1348">
        <f>IFERROR(VLOOKUP(A100,'WP-BC'!A$18:AI$346,10,FALSE),0)</f>
        <v>1310</v>
      </c>
      <c r="L100" s="780"/>
      <c r="M100" s="772" t="s">
        <v>227</v>
      </c>
    </row>
    <row r="101" spans="1:13" s="772" customFormat="1" ht="12.75">
      <c r="A101" s="1295" t="str">
        <f t="shared" si="2"/>
        <v>NIAGARA398Miscellaneous Equipment</v>
      </c>
      <c r="B101" s="1346" t="s">
        <v>1309</v>
      </c>
      <c r="C101" s="707" t="str">
        <f>CONCATENATE("WP-BC, column 8, line ",VLOOKUP(A101,'WP-BC'!A104:N439, 2, FALSE))</f>
        <v>WP-BC, column 8, line 12av</v>
      </c>
      <c r="D101" s="775" t="s">
        <v>30</v>
      </c>
      <c r="E101" s="775"/>
      <c r="F101" s="775"/>
      <c r="G101" s="1341">
        <v>398</v>
      </c>
      <c r="H101" s="1287"/>
      <c r="I101" s="778" t="s">
        <v>83</v>
      </c>
      <c r="J101" s="779"/>
      <c r="K101" s="1348">
        <f>IFERROR(VLOOKUP(A101,'WP-BC'!A$18:AI$346,10,FALSE),0)</f>
        <v>10261460.65</v>
      </c>
      <c r="L101" s="780"/>
      <c r="M101" s="772" t="s">
        <v>227</v>
      </c>
    </row>
    <row r="102" spans="1:13" s="772" customFormat="1" ht="12.75">
      <c r="A102" s="1295" t="str">
        <f t="shared" si="2"/>
        <v>St.  LAWRENCE / FDR398Miscellaneous Equipment</v>
      </c>
      <c r="B102" s="1346" t="s">
        <v>1310</v>
      </c>
      <c r="C102" s="707" t="str">
        <f>CONCATENATE("WP-BC, column 8, line ",VLOOKUP(A102,'WP-BC'!A105:N440, 2, FALSE))</f>
        <v>WP-BC, column 8, line 12bk</v>
      </c>
      <c r="D102" s="775" t="s">
        <v>1935</v>
      </c>
      <c r="E102" s="775"/>
      <c r="F102" s="775"/>
      <c r="G102" s="1341">
        <v>398</v>
      </c>
      <c r="H102" s="1287"/>
      <c r="I102" s="778" t="s">
        <v>83</v>
      </c>
      <c r="J102" s="779"/>
      <c r="K102" s="1348">
        <f>IFERROR(VLOOKUP(A102,'WP-BC'!A$18:AI$346,10,FALSE),0)</f>
        <v>7546564.4800000004</v>
      </c>
      <c r="L102" s="780"/>
      <c r="M102" s="772" t="s">
        <v>227</v>
      </c>
    </row>
    <row r="103" spans="1:13" s="772" customFormat="1" ht="12.75">
      <c r="A103" s="1295" t="str">
        <f t="shared" si="2"/>
        <v>398</v>
      </c>
      <c r="B103" s="1346" t="s">
        <v>541</v>
      </c>
      <c r="C103" s="1350"/>
      <c r="D103" s="1350"/>
      <c r="E103" s="775"/>
      <c r="F103" s="775"/>
      <c r="G103" s="1341">
        <v>398</v>
      </c>
      <c r="H103" s="1287"/>
      <c r="I103" s="1350"/>
      <c r="J103" s="779"/>
      <c r="K103" s="1348">
        <f>IFERROR(VLOOKUP(A103,'WP-BC'!A$18:AI$346,10,FALSE),0)</f>
        <v>0</v>
      </c>
      <c r="L103" s="780"/>
    </row>
    <row r="104" spans="1:13" s="772" customFormat="1" ht="15">
      <c r="A104" s="1295" t="str">
        <f t="shared" si="2"/>
        <v>398</v>
      </c>
      <c r="B104" s="1346" t="s">
        <v>541</v>
      </c>
      <c r="C104" s="1350"/>
      <c r="D104" s="1350"/>
      <c r="E104" s="775"/>
      <c r="F104" s="775"/>
      <c r="G104" s="1341">
        <v>398</v>
      </c>
      <c r="H104" s="1287"/>
      <c r="I104" s="1350"/>
      <c r="J104" s="779"/>
      <c r="K104" s="1349">
        <f>IFERROR(VLOOKUP(A104,'WP-BC'!A$18:AI$353,10,FALSE),0)</f>
        <v>0</v>
      </c>
      <c r="L104" s="780"/>
    </row>
    <row r="105" spans="1:13" s="772" customFormat="1" ht="12.75">
      <c r="A105" s="1295" t="str">
        <f t="shared" si="2"/>
        <v>398</v>
      </c>
      <c r="B105" s="1346">
        <v>18</v>
      </c>
      <c r="D105" s="1345"/>
      <c r="E105" s="776"/>
      <c r="F105" s="781"/>
      <c r="G105" s="1341">
        <v>398</v>
      </c>
      <c r="H105" s="782" t="s">
        <v>269</v>
      </c>
      <c r="I105" s="779"/>
      <c r="J105" s="779"/>
      <c r="K105" s="1354">
        <f>SUM(K98:K104)</f>
        <v>18183050.950000003</v>
      </c>
      <c r="L105" s="780"/>
    </row>
    <row r="106" spans="1:13" s="772" customFormat="1" ht="12.75">
      <c r="A106" s="1295" t="str">
        <f t="shared" si="2"/>
        <v/>
      </c>
      <c r="B106" s="1346" t="s">
        <v>1225</v>
      </c>
      <c r="D106" s="1345"/>
      <c r="E106" s="776"/>
      <c r="F106" s="781"/>
      <c r="G106" s="1341"/>
      <c r="H106" s="779"/>
      <c r="I106" s="779"/>
      <c r="J106" s="779"/>
      <c r="K106" s="1348"/>
      <c r="L106" s="780"/>
    </row>
    <row r="107" spans="1:13" s="772" customFormat="1" ht="12.75">
      <c r="A107" s="1295" t="str">
        <f t="shared" si="2"/>
        <v>BLENHEIM - GILBOA399Other Tangible Property</v>
      </c>
      <c r="B107" s="1346" t="s">
        <v>1317</v>
      </c>
      <c r="C107" s="707" t="str">
        <f>CONCATENATE("WP-BC, column 8, line ",VLOOKUP(A107,'WP-BC'!A110:N445, 2, FALSE))</f>
        <v>WP-BC, column 8, line 12l</v>
      </c>
      <c r="D107" s="775" t="s">
        <v>1929</v>
      </c>
      <c r="E107" s="775"/>
      <c r="F107" s="781"/>
      <c r="G107" s="1341">
        <v>399</v>
      </c>
      <c r="H107" s="778"/>
      <c r="I107" s="785" t="s">
        <v>84</v>
      </c>
      <c r="J107" s="779"/>
      <c r="K107" s="1348">
        <f>'WP-BC'!$J$256</f>
        <v>0</v>
      </c>
      <c r="L107" s="780"/>
      <c r="M107" s="772" t="s">
        <v>1321</v>
      </c>
    </row>
    <row r="108" spans="1:13" s="772" customFormat="1" ht="12.75">
      <c r="A108" s="1295" t="str">
        <f t="shared" si="2"/>
        <v>NIAGARA399Other Tangible Property</v>
      </c>
      <c r="B108" s="1346" t="s">
        <v>1318</v>
      </c>
      <c r="C108" s="707" t="str">
        <f>CONCATENATE("WP-BC, column 8, line ",VLOOKUP(A108,'WP-BC'!A111:N446, 2, FALSE))</f>
        <v>WP-BC, column 8, line 12aw</v>
      </c>
      <c r="D108" s="775" t="s">
        <v>30</v>
      </c>
      <c r="E108" s="775"/>
      <c r="F108" s="781"/>
      <c r="G108" s="1341">
        <v>399</v>
      </c>
      <c r="H108" s="778"/>
      <c r="I108" s="785" t="s">
        <v>84</v>
      </c>
      <c r="J108" s="779"/>
      <c r="K108" s="1348">
        <f>IFERROR(VLOOKUP(A108,'WP-BC'!A$18:AI$346,10,FALSE),0)</f>
        <v>42683</v>
      </c>
      <c r="L108" s="780"/>
      <c r="M108" s="772" t="s">
        <v>227</v>
      </c>
    </row>
    <row r="109" spans="1:13" s="772" customFormat="1" ht="12.75">
      <c r="A109" s="1295" t="str">
        <f t="shared" si="2"/>
        <v>St.  LAWRENCE / FDR399Other Tangible Property</v>
      </c>
      <c r="B109" s="1346" t="s">
        <v>1319</v>
      </c>
      <c r="C109" s="707" t="str">
        <f>CONCATENATE("WP-BC, column 8, line ",VLOOKUP(A109,'WP-BC'!A112:N447, 2, FALSE))</f>
        <v>WP-BC, column 8, line 12bl</v>
      </c>
      <c r="D109" s="775" t="s">
        <v>1935</v>
      </c>
      <c r="E109" s="775"/>
      <c r="F109" s="781"/>
      <c r="G109" s="1341">
        <v>399</v>
      </c>
      <c r="H109" s="778"/>
      <c r="I109" s="785" t="s">
        <v>84</v>
      </c>
      <c r="J109" s="779"/>
      <c r="K109" s="1348">
        <f>IFERROR(VLOOKUP(A109,'WP-BC'!A$18:AI$346,10,FALSE),0)</f>
        <v>75095</v>
      </c>
      <c r="L109" s="780"/>
      <c r="M109" s="772" t="s">
        <v>227</v>
      </c>
    </row>
    <row r="110" spans="1:13" s="772" customFormat="1" ht="12.75">
      <c r="A110" s="1295" t="str">
        <f t="shared" si="2"/>
        <v>399</v>
      </c>
      <c r="B110" s="1346" t="s">
        <v>541</v>
      </c>
      <c r="C110" s="1350"/>
      <c r="D110" s="1350"/>
      <c r="E110" s="775"/>
      <c r="F110" s="776"/>
      <c r="G110" s="1341">
        <v>399</v>
      </c>
      <c r="H110" s="1287"/>
      <c r="I110" s="1350"/>
      <c r="J110" s="779"/>
      <c r="K110" s="1348">
        <f>IFERROR(VLOOKUP(A110,'WP-BC'!A$18:AI$346,10,FALSE),0)</f>
        <v>0</v>
      </c>
      <c r="L110" s="780"/>
    </row>
    <row r="111" spans="1:13" s="772" customFormat="1" ht="15">
      <c r="A111" s="1295" t="str">
        <f t="shared" si="2"/>
        <v>399</v>
      </c>
      <c r="B111" s="1346" t="s">
        <v>541</v>
      </c>
      <c r="C111" s="1350"/>
      <c r="D111" s="1350"/>
      <c r="E111" s="775"/>
      <c r="F111" s="776"/>
      <c r="G111" s="1341">
        <v>399</v>
      </c>
      <c r="H111" s="1287"/>
      <c r="I111" s="1350"/>
      <c r="J111" s="779"/>
      <c r="K111" s="1349">
        <f>IFERROR(VLOOKUP(A111,'WP-BC'!A$18:AI$353,10,FALSE),0)</f>
        <v>0</v>
      </c>
      <c r="L111" s="780"/>
    </row>
    <row r="112" spans="1:13" s="772" customFormat="1" ht="12.75">
      <c r="A112" s="1295" t="str">
        <f t="shared" si="2"/>
        <v>399</v>
      </c>
      <c r="B112" s="1346">
        <v>20</v>
      </c>
      <c r="D112" s="786"/>
      <c r="E112" s="776"/>
      <c r="F112" s="781"/>
      <c r="G112" s="1341">
        <v>399</v>
      </c>
      <c r="H112" s="782" t="s">
        <v>270</v>
      </c>
      <c r="I112" s="787"/>
      <c r="J112" s="779"/>
      <c r="K112" s="1354">
        <f>SUM(K107:K111)</f>
        <v>117778</v>
      </c>
      <c r="L112" s="780"/>
    </row>
    <row r="113" spans="1:13" s="772" customFormat="1" ht="12.75">
      <c r="A113" s="1295" t="str">
        <f t="shared" si="2"/>
        <v/>
      </c>
      <c r="B113" s="1346" t="s">
        <v>1225</v>
      </c>
      <c r="D113" s="786"/>
      <c r="E113" s="776"/>
      <c r="F113" s="781"/>
      <c r="G113" s="1341"/>
      <c r="H113" s="782"/>
      <c r="I113" s="787"/>
      <c r="J113" s="779"/>
      <c r="K113" s="1354"/>
      <c r="L113" s="780"/>
    </row>
    <row r="114" spans="1:13" s="772" customFormat="1" ht="15.75">
      <c r="A114" s="1295" t="str">
        <f t="shared" si="2"/>
        <v/>
      </c>
      <c r="B114" s="1346">
        <v>21</v>
      </c>
      <c r="C114" s="770" t="s">
        <v>260</v>
      </c>
      <c r="D114" s="786"/>
      <c r="E114" s="776"/>
      <c r="F114" s="781"/>
      <c r="G114" s="1341"/>
      <c r="H114" s="779"/>
      <c r="I114" s="787"/>
      <c r="J114" s="779"/>
      <c r="K114" s="1354">
        <f>K112+K105+K96+K85+K76+K67+K58+K50+K41+K23</f>
        <v>37219244.060000002</v>
      </c>
      <c r="L114" s="780"/>
    </row>
    <row r="115" spans="1:13" s="772" customFormat="1" ht="12.75">
      <c r="A115" s="1295" t="str">
        <f t="shared" si="2"/>
        <v/>
      </c>
      <c r="B115" s="1346" t="s">
        <v>1225</v>
      </c>
      <c r="D115" s="786"/>
      <c r="E115" s="776"/>
      <c r="F115" s="779"/>
      <c r="G115" s="1341"/>
      <c r="H115" s="779"/>
      <c r="I115" s="779"/>
      <c r="J115" s="779"/>
      <c r="K115" s="1348"/>
      <c r="L115" s="780"/>
    </row>
    <row r="116" spans="1:13" s="772" customFormat="1" ht="15.75">
      <c r="A116" s="1295" t="str">
        <f t="shared" si="2"/>
        <v/>
      </c>
      <c r="B116" s="1346" t="s">
        <v>1225</v>
      </c>
      <c r="C116" s="770" t="s">
        <v>259</v>
      </c>
      <c r="D116" s="771"/>
      <c r="G116" s="1359"/>
      <c r="K116" s="1348"/>
    </row>
    <row r="117" spans="1:13" s="772" customFormat="1" ht="12.75">
      <c r="A117" s="1295" t="str">
        <f t="shared" si="2"/>
        <v>BLENHEIM - GILBOA352Structures &amp; Improvements</v>
      </c>
      <c r="B117" s="1346" t="s">
        <v>1322</v>
      </c>
      <c r="C117" s="707" t="str">
        <f>CONCATENATE("WP-BC, column 8, line ",VLOOKUP(A117,'WP-BC'!A120:N455, 2, FALSE))</f>
        <v>WP-BC, column 8, line 10a</v>
      </c>
      <c r="D117" s="775" t="s">
        <v>1929</v>
      </c>
      <c r="E117" s="776"/>
      <c r="F117" s="776"/>
      <c r="G117" s="1341">
        <v>352</v>
      </c>
      <c r="H117" s="777"/>
      <c r="I117" s="778" t="s">
        <v>69</v>
      </c>
      <c r="J117" s="779"/>
      <c r="K117" s="1348">
        <f>IFERROR(VLOOKUP(A117,'WP-BC'!A$18:AI$346,10,FALSE),0)</f>
        <v>62563.770335051537</v>
      </c>
      <c r="L117" s="780"/>
      <c r="M117" s="772" t="s">
        <v>227</v>
      </c>
    </row>
    <row r="118" spans="1:13" s="772" customFormat="1" ht="12.75">
      <c r="A118" s="1295" t="str">
        <f t="shared" si="2"/>
        <v>J. A. FITZPATRICK352Structures &amp; Improvements</v>
      </c>
      <c r="B118" s="1346" t="s">
        <v>1323</v>
      </c>
      <c r="C118" s="707" t="str">
        <f>CONCATENATE("WP-BC, column 8, line ",VLOOKUP(A118,'WP-BC'!A121:N456, 2, FALSE))</f>
        <v>WP-BC, column 8, line 10g</v>
      </c>
      <c r="D118" s="775" t="s">
        <v>1931</v>
      </c>
      <c r="E118" s="776"/>
      <c r="F118" s="776"/>
      <c r="G118" s="1341">
        <v>352</v>
      </c>
      <c r="H118" s="777"/>
      <c r="I118" s="778" t="s">
        <v>69</v>
      </c>
      <c r="J118" s="779"/>
      <c r="K118" s="1348">
        <f>IFERROR(VLOOKUP(A118,'WP-BC'!A$18:AI$346,10,FALSE),0)</f>
        <v>0</v>
      </c>
      <c r="L118" s="780"/>
      <c r="M118" s="772" t="s">
        <v>227</v>
      </c>
    </row>
    <row r="119" spans="1:13" s="772" customFormat="1" ht="12.75">
      <c r="A119" s="1295" t="str">
        <f t="shared" si="2"/>
        <v>LONG ISLAND SOUND CABLE352Structures &amp; Improvements</v>
      </c>
      <c r="B119" s="1346" t="s">
        <v>1324</v>
      </c>
      <c r="C119" s="707" t="str">
        <f>CONCATENATE("WP-BC, column 8, line ",VLOOKUP(A119,'WP-BC'!A122:N457, 2, FALSE))</f>
        <v>WP-BC, column 8, line 10l</v>
      </c>
      <c r="D119" s="775" t="s">
        <v>1932</v>
      </c>
      <c r="E119" s="776"/>
      <c r="F119" s="776"/>
      <c r="G119" s="1341">
        <v>352</v>
      </c>
      <c r="H119" s="777"/>
      <c r="I119" s="778" t="s">
        <v>69</v>
      </c>
      <c r="J119" s="779"/>
      <c r="K119" s="1348">
        <f>IFERROR(VLOOKUP(A119,'WP-BC'!A$18:AI$346,10,FALSE),0)</f>
        <v>208106</v>
      </c>
      <c r="L119" s="780"/>
      <c r="M119" s="772" t="s">
        <v>227</v>
      </c>
    </row>
    <row r="120" spans="1:13" s="772" customFormat="1" ht="12.75">
      <c r="A120" s="1295" t="str">
        <f t="shared" si="2"/>
        <v>MARCY-SOUTH352Structures &amp; Improvements</v>
      </c>
      <c r="B120" s="1346" t="s">
        <v>1325</v>
      </c>
      <c r="C120" s="707" t="str">
        <f>CONCATENATE("WP-BC, column 8, line ",VLOOKUP(A120,'WP-BC'!A123:N458, 2, FALSE))</f>
        <v>WP-BC, column 8, line 10p</v>
      </c>
      <c r="D120" s="775" t="s">
        <v>1933</v>
      </c>
      <c r="E120" s="776"/>
      <c r="F120" s="776"/>
      <c r="G120" s="1341">
        <v>352</v>
      </c>
      <c r="H120" s="777"/>
      <c r="I120" s="778" t="s">
        <v>69</v>
      </c>
      <c r="J120" s="779"/>
      <c r="K120" s="1348">
        <f>IFERROR(VLOOKUP(A120,'WP-BC'!A$18:AI$346,10,FALSE),0)</f>
        <v>0</v>
      </c>
      <c r="L120" s="780"/>
      <c r="M120" s="772" t="s">
        <v>227</v>
      </c>
    </row>
    <row r="121" spans="1:13" s="772" customFormat="1" ht="12.75">
      <c r="A121" s="1295" t="str">
        <f t="shared" si="2"/>
        <v>MASSENA - MARCY  (Clark)352Structures &amp; Improvements</v>
      </c>
      <c r="B121" s="1346" t="s">
        <v>1326</v>
      </c>
      <c r="C121" s="707" t="str">
        <f>CONCATENATE("WP-BC, column 8, line ",VLOOKUP(A121,'WP-BC'!A124:N459, 2, FALSE))</f>
        <v>WP-BC, column 8, line 10y</v>
      </c>
      <c r="D121" s="775" t="s">
        <v>1934</v>
      </c>
      <c r="E121" s="776"/>
      <c r="F121" s="776"/>
      <c r="G121" s="1341">
        <v>352</v>
      </c>
      <c r="H121" s="777"/>
      <c r="I121" s="778" t="s">
        <v>69</v>
      </c>
      <c r="J121" s="779"/>
      <c r="K121" s="1348">
        <f>IFERROR(VLOOKUP(A121,'WP-BC'!A$18:AI$346,10,FALSE),0)</f>
        <v>611438.40711263043</v>
      </c>
      <c r="L121" s="780"/>
      <c r="M121" s="772" t="s">
        <v>227</v>
      </c>
    </row>
    <row r="122" spans="1:13" s="772" customFormat="1" ht="12.75">
      <c r="A122" s="1295" t="str">
        <f t="shared" si="2"/>
        <v>NIAGARA352Structures &amp; Improvements</v>
      </c>
      <c r="B122" s="1346" t="s">
        <v>1327</v>
      </c>
      <c r="C122" s="707" t="str">
        <f>CONCATENATE("WP-BC, column 8, line ",VLOOKUP(A122,'WP-BC'!A125:N460, 2, FALSE))</f>
        <v>WP-BC, column 8, line 10af</v>
      </c>
      <c r="D122" s="775" t="s">
        <v>30</v>
      </c>
      <c r="E122" s="776"/>
      <c r="F122" s="776"/>
      <c r="G122" s="1341">
        <v>352</v>
      </c>
      <c r="H122" s="777"/>
      <c r="I122" s="778" t="s">
        <v>69</v>
      </c>
      <c r="J122" s="779"/>
      <c r="K122" s="1348">
        <f>IFERROR(VLOOKUP(A122,'WP-BC'!A$18:AI$346,10,FALSE),0)</f>
        <v>476976.94855403359</v>
      </c>
      <c r="L122" s="780"/>
      <c r="M122" s="772" t="s">
        <v>227</v>
      </c>
    </row>
    <row r="123" spans="1:13" s="772" customFormat="1" ht="12.75">
      <c r="A123" s="1295" t="str">
        <f t="shared" si="2"/>
        <v>St.  LAWRENCE / FDR352Structures &amp; Improvements</v>
      </c>
      <c r="B123" s="1346" t="s">
        <v>1328</v>
      </c>
      <c r="C123" s="707" t="str">
        <f>CONCATENATE("WP-BC, column 8, line ",VLOOKUP(A123,'WP-BC'!A126:N461, 2, FALSE))</f>
        <v>WP-BC, column 8, line 10am</v>
      </c>
      <c r="D123" s="775" t="s">
        <v>1935</v>
      </c>
      <c r="E123" s="776"/>
      <c r="F123" s="776"/>
      <c r="G123" s="1341">
        <v>352</v>
      </c>
      <c r="H123" s="777"/>
      <c r="I123" s="778" t="s">
        <v>69</v>
      </c>
      <c r="J123" s="779"/>
      <c r="K123" s="1348">
        <f>IFERROR(VLOOKUP(A123,'WP-BC'!A$18:AI$346,10,FALSE),0)</f>
        <v>230029.59137309849</v>
      </c>
      <c r="L123" s="780"/>
      <c r="M123" s="772" t="s">
        <v>227</v>
      </c>
    </row>
    <row r="124" spans="1:13" s="772" customFormat="1" ht="12.75">
      <c r="A124" s="1295" t="str">
        <f t="shared" si="2"/>
        <v>352</v>
      </c>
      <c r="B124" s="1346" t="s">
        <v>541</v>
      </c>
      <c r="C124" s="1350"/>
      <c r="D124" s="1350"/>
      <c r="E124" s="776"/>
      <c r="F124" s="776"/>
      <c r="G124" s="1341">
        <v>352</v>
      </c>
      <c r="H124" s="777"/>
      <c r="I124" s="1350"/>
      <c r="J124" s="779"/>
      <c r="K124" s="1348">
        <f>IFERROR(VLOOKUP(A124,'WP-BC'!A$18:AI$346,10,FALSE),0)</f>
        <v>0</v>
      </c>
      <c r="L124" s="780"/>
    </row>
    <row r="125" spans="1:13" s="772" customFormat="1" ht="15">
      <c r="A125" s="1295" t="str">
        <f t="shared" si="2"/>
        <v>352</v>
      </c>
      <c r="B125" s="1346" t="s">
        <v>541</v>
      </c>
      <c r="C125" s="1350"/>
      <c r="D125" s="1350"/>
      <c r="E125" s="776"/>
      <c r="F125" s="776"/>
      <c r="G125" s="1341">
        <v>352</v>
      </c>
      <c r="H125" s="777"/>
      <c r="I125" s="1350"/>
      <c r="J125" s="779"/>
      <c r="K125" s="1349">
        <f>IFERROR(VLOOKUP(A125,'WP-BC'!A$18:AI$353,10,FALSE),0)</f>
        <v>0</v>
      </c>
      <c r="L125" s="780"/>
    </row>
    <row r="126" spans="1:13" s="772" customFormat="1" ht="12.75">
      <c r="A126" s="1295" t="str">
        <f t="shared" si="2"/>
        <v>352</v>
      </c>
      <c r="B126" s="1346">
        <v>23</v>
      </c>
      <c r="D126" s="1345"/>
      <c r="E126" s="776"/>
      <c r="F126" s="781"/>
      <c r="G126" s="1341">
        <v>352</v>
      </c>
      <c r="H126" s="782" t="s">
        <v>271</v>
      </c>
      <c r="I126" s="779"/>
      <c r="J126" s="779"/>
      <c r="K126" s="1354">
        <f>SUM(K117:K125)</f>
        <v>1589114.7173748142</v>
      </c>
      <c r="L126" s="780"/>
    </row>
    <row r="127" spans="1:13" s="772" customFormat="1" ht="12.75">
      <c r="A127" s="1295" t="str">
        <f t="shared" si="2"/>
        <v/>
      </c>
      <c r="B127" s="1346" t="s">
        <v>1225</v>
      </c>
      <c r="D127" s="1345"/>
      <c r="E127" s="776"/>
      <c r="F127" s="781"/>
      <c r="G127" s="777"/>
      <c r="H127" s="779"/>
      <c r="I127" s="779"/>
      <c r="J127" s="779"/>
      <c r="K127" s="1348"/>
      <c r="L127" s="780"/>
    </row>
    <row r="128" spans="1:13" s="772" customFormat="1" ht="12.75">
      <c r="A128" s="1295" t="str">
        <f t="shared" si="2"/>
        <v>BLENHEIM - GILBOA353Station Equipment</v>
      </c>
      <c r="B128" s="1346" t="s">
        <v>1329</v>
      </c>
      <c r="C128" s="707" t="str">
        <f>CONCATENATE("WP-BC, column 8, line ",VLOOKUP(A128,'WP-BC'!A131:N466, 2, FALSE))</f>
        <v>WP-BC, column 8, line 10b</v>
      </c>
      <c r="D128" s="775" t="s">
        <v>1929</v>
      </c>
      <c r="E128" s="776"/>
      <c r="F128" s="776"/>
      <c r="G128" s="777">
        <v>353</v>
      </c>
      <c r="H128" s="777"/>
      <c r="I128" s="778" t="s">
        <v>20</v>
      </c>
      <c r="J128" s="779"/>
      <c r="K128" s="1348">
        <f>IFERROR(VLOOKUP(A128,'WP-BC'!A$18:AI$346,10,FALSE),0)</f>
        <v>876156.81592783506</v>
      </c>
      <c r="L128" s="780"/>
      <c r="M128" s="772" t="s">
        <v>227</v>
      </c>
    </row>
    <row r="129" spans="1:13" s="772" customFormat="1" ht="12.75">
      <c r="A129" s="1295" t="str">
        <f t="shared" si="2"/>
        <v>J. A. FITZPATRICK353Station Equipment</v>
      </c>
      <c r="B129" s="1346" t="s">
        <v>1330</v>
      </c>
      <c r="C129" s="707" t="str">
        <f>CONCATENATE("WP-BC, column 8, line ",VLOOKUP(A129,'WP-BC'!A132:N467, 2, FALSE))</f>
        <v>WP-BC, column 8, line 10h</v>
      </c>
      <c r="D129" s="775" t="s">
        <v>1931</v>
      </c>
      <c r="E129" s="776"/>
      <c r="F129" s="776"/>
      <c r="G129" s="777">
        <v>353</v>
      </c>
      <c r="H129" s="777"/>
      <c r="I129" s="778" t="s">
        <v>20</v>
      </c>
      <c r="J129" s="779"/>
      <c r="K129" s="1348">
        <f>IFERROR(VLOOKUP(A129,'WP-BC'!A$18:AI$346,10,FALSE),0)</f>
        <v>0</v>
      </c>
      <c r="L129" s="780"/>
      <c r="M129" s="772" t="s">
        <v>227</v>
      </c>
    </row>
    <row r="130" spans="1:13" s="772" customFormat="1" ht="12.75">
      <c r="A130" s="1295" t="str">
        <f t="shared" si="2"/>
        <v>LONG ISLAND SOUND CABLE353Station Equipment</v>
      </c>
      <c r="B130" s="1346" t="s">
        <v>1331</v>
      </c>
      <c r="C130" s="707" t="str">
        <f>CONCATENATE("WP-BC, column 8, line ",VLOOKUP(A130,'WP-BC'!A133:N468, 2, FALSE))</f>
        <v>WP-BC, column 8, line 10n</v>
      </c>
      <c r="D130" s="775" t="s">
        <v>1932</v>
      </c>
      <c r="E130" s="776"/>
      <c r="F130" s="776"/>
      <c r="G130" s="777">
        <v>353</v>
      </c>
      <c r="H130" s="777"/>
      <c r="I130" s="778" t="s">
        <v>20</v>
      </c>
      <c r="J130" s="779"/>
      <c r="K130" s="1348">
        <f>IFERROR(VLOOKUP(A130,'WP-BC'!A$18:AI$346,10,FALSE),0)</f>
        <v>1962524</v>
      </c>
      <c r="L130" s="780"/>
      <c r="M130" s="772" t="s">
        <v>227</v>
      </c>
    </row>
    <row r="131" spans="1:13" s="772" customFormat="1" ht="12.75">
      <c r="A131" s="1295" t="str">
        <f t="shared" si="2"/>
        <v>MARCY-SOUTH353Station Equipment</v>
      </c>
      <c r="B131" s="1346" t="s">
        <v>1332</v>
      </c>
      <c r="C131" s="707" t="str">
        <f>CONCATENATE("WP-BC, column 8, line ",VLOOKUP(A131,'WP-BC'!A134:N469, 2, FALSE))</f>
        <v>WP-BC, column 8, line 10q</v>
      </c>
      <c r="D131" s="775" t="s">
        <v>1933</v>
      </c>
      <c r="E131" s="776"/>
      <c r="F131" s="776"/>
      <c r="G131" s="777">
        <v>353</v>
      </c>
      <c r="H131" s="777"/>
      <c r="I131" s="778" t="s">
        <v>20</v>
      </c>
      <c r="J131" s="779"/>
      <c r="K131" s="1348">
        <f>IFERROR(VLOOKUP(A131,'WP-BC'!A$18:AI$346,10,FALSE),0)</f>
        <v>981567.31139502372</v>
      </c>
      <c r="L131" s="780"/>
      <c r="M131" s="772" t="s">
        <v>227</v>
      </c>
    </row>
    <row r="132" spans="1:13" s="772" customFormat="1" ht="12.75">
      <c r="A132" s="1295" t="str">
        <f t="shared" si="2"/>
        <v>MASSENA - MARCY  (Clark)353Station Equipment</v>
      </c>
      <c r="B132" s="1346" t="s">
        <v>1333</v>
      </c>
      <c r="C132" s="707" t="str">
        <f>CONCATENATE("WP-BC, column 8, line ",VLOOKUP(A132,'WP-BC'!A135:N470, 2, FALSE))</f>
        <v>WP-BC, column 8, line 10z</v>
      </c>
      <c r="D132" s="775" t="s">
        <v>1934</v>
      </c>
      <c r="E132" s="776"/>
      <c r="F132" s="776"/>
      <c r="G132" s="777">
        <v>353</v>
      </c>
      <c r="H132" s="777"/>
      <c r="I132" s="778" t="s">
        <v>20</v>
      </c>
      <c r="J132" s="779"/>
      <c r="K132" s="1348">
        <f>IFERROR(VLOOKUP(A132,'WP-BC'!A$18:AI$346,10,FALSE),0)</f>
        <v>3344380.8059258726</v>
      </c>
      <c r="L132" s="780"/>
      <c r="M132" s="772" t="s">
        <v>227</v>
      </c>
    </row>
    <row r="133" spans="1:13" s="772" customFormat="1" ht="12.75">
      <c r="A133" s="1295" t="str">
        <f t="shared" si="2"/>
        <v>MASSENA - MARCY  (Clark)353Station Equipment - Windfarm Assets acq. 12-1-11</v>
      </c>
      <c r="B133" s="1346" t="s">
        <v>1334</v>
      </c>
      <c r="C133" s="707" t="str">
        <f>CONCATENATE("WP-BC, column 8, line ",VLOOKUP(A133,'WP-BC'!A136:N471, 2, FALSE))</f>
        <v>WP-BC, column 8, line 10aa</v>
      </c>
      <c r="D133" s="775" t="s">
        <v>1934</v>
      </c>
      <c r="E133" s="776"/>
      <c r="F133" s="776"/>
      <c r="G133" s="777">
        <v>353</v>
      </c>
      <c r="H133" s="777"/>
      <c r="I133" s="778" t="s">
        <v>1951</v>
      </c>
      <c r="J133" s="779"/>
      <c r="K133" s="1348">
        <f>IFERROR(VLOOKUP(A133,'WP-BC'!A$18:AI$346,10,FALSE),0)</f>
        <v>1608459</v>
      </c>
      <c r="L133" s="780"/>
      <c r="M133" s="772" t="s">
        <v>227</v>
      </c>
    </row>
    <row r="134" spans="1:13" s="772" customFormat="1" ht="12.75">
      <c r="A134" s="1295" t="str">
        <f t="shared" si="2"/>
        <v>NIAGARA353Station Equipment</v>
      </c>
      <c r="B134" s="1346" t="s">
        <v>1335</v>
      </c>
      <c r="C134" s="707" t="str">
        <f>CONCATENATE("WP-BC, column 8, line ",VLOOKUP(A134,'WP-BC'!A137:N472, 2, FALSE))</f>
        <v>WP-BC, column 8, line 10ag</v>
      </c>
      <c r="D134" s="775" t="s">
        <v>30</v>
      </c>
      <c r="E134" s="776"/>
      <c r="F134" s="776"/>
      <c r="G134" s="777">
        <v>353</v>
      </c>
      <c r="H134" s="777"/>
      <c r="I134" s="778" t="s">
        <v>20</v>
      </c>
      <c r="J134" s="779"/>
      <c r="K134" s="1348">
        <f>IFERROR(VLOOKUP(A134,'WP-BC'!A$18:AI$346,10,FALSE),0)</f>
        <v>1837598.8428614917</v>
      </c>
      <c r="L134" s="780"/>
      <c r="M134" s="772" t="s">
        <v>227</v>
      </c>
    </row>
    <row r="135" spans="1:13" s="772" customFormat="1" ht="12.75">
      <c r="A135" s="1295" t="str">
        <f t="shared" si="2"/>
        <v>St.  LAWRENCE / FDR353Station Equipment</v>
      </c>
      <c r="B135" s="1346" t="s">
        <v>1336</v>
      </c>
      <c r="C135" s="707" t="str">
        <f>CONCATENATE("WP-BC, column 8, line ",VLOOKUP(A135,'WP-BC'!A138:N473, 2, FALSE))</f>
        <v>WP-BC, column 8, line 10an</v>
      </c>
      <c r="D135" s="775" t="s">
        <v>1935</v>
      </c>
      <c r="E135" s="776"/>
      <c r="F135" s="776"/>
      <c r="G135" s="777">
        <v>353</v>
      </c>
      <c r="H135" s="777"/>
      <c r="I135" s="778" t="s">
        <v>20</v>
      </c>
      <c r="J135" s="779"/>
      <c r="K135" s="1348">
        <f>IFERROR(VLOOKUP(A135,'WP-BC'!A$18:AI$346,10,FALSE),0)</f>
        <v>3565046.1330491062</v>
      </c>
      <c r="L135" s="780"/>
      <c r="M135" s="772" t="s">
        <v>227</v>
      </c>
    </row>
    <row r="136" spans="1:13" s="772" customFormat="1" ht="12.75">
      <c r="A136" s="1295" t="str">
        <f t="shared" si="2"/>
        <v>353</v>
      </c>
      <c r="B136" s="1346" t="s">
        <v>541</v>
      </c>
      <c r="C136" s="1350"/>
      <c r="D136" s="1350"/>
      <c r="E136" s="776"/>
      <c r="F136" s="776"/>
      <c r="G136" s="777">
        <v>353</v>
      </c>
      <c r="H136" s="777"/>
      <c r="I136" s="1350"/>
      <c r="J136" s="779"/>
      <c r="K136" s="1348">
        <f>IFERROR(VLOOKUP(A136,'WP-BC'!A$18:AI$346,10,FALSE),0)</f>
        <v>0</v>
      </c>
      <c r="L136" s="780"/>
    </row>
    <row r="137" spans="1:13" s="772" customFormat="1" ht="15">
      <c r="A137" s="1295" t="str">
        <f t="shared" si="2"/>
        <v>353</v>
      </c>
      <c r="B137" s="1346" t="s">
        <v>541</v>
      </c>
      <c r="C137" s="1350"/>
      <c r="D137" s="1350"/>
      <c r="E137" s="776"/>
      <c r="F137" s="776"/>
      <c r="G137" s="777">
        <v>353</v>
      </c>
      <c r="H137" s="777"/>
      <c r="I137" s="1350"/>
      <c r="J137" s="779"/>
      <c r="K137" s="1349">
        <f>IFERROR(VLOOKUP(A137,'WP-BC'!A$18:AI$353,10,FALSE),0)</f>
        <v>0</v>
      </c>
      <c r="L137" s="780"/>
    </row>
    <row r="138" spans="1:13" s="772" customFormat="1" ht="12.75">
      <c r="A138" s="1295" t="str">
        <f t="shared" si="2"/>
        <v>353</v>
      </c>
      <c r="B138" s="1346">
        <v>25</v>
      </c>
      <c r="D138" s="1345"/>
      <c r="E138" s="776"/>
      <c r="F138" s="781"/>
      <c r="G138" s="777">
        <v>353</v>
      </c>
      <c r="H138" s="782" t="s">
        <v>272</v>
      </c>
      <c r="I138" s="779"/>
      <c r="J138" s="779"/>
      <c r="K138" s="1354">
        <f>SUM(K128:K137)</f>
        <v>14175732.909159331</v>
      </c>
      <c r="L138" s="780"/>
    </row>
    <row r="139" spans="1:13" s="772" customFormat="1" ht="12.75">
      <c r="A139" s="1295" t="str">
        <f t="shared" si="2"/>
        <v/>
      </c>
      <c r="B139" s="1346" t="s">
        <v>1225</v>
      </c>
      <c r="D139" s="1345"/>
      <c r="E139" s="776"/>
      <c r="F139" s="781"/>
      <c r="G139" s="777"/>
      <c r="H139" s="779"/>
      <c r="I139" s="779"/>
      <c r="J139" s="779"/>
      <c r="K139" s="1348"/>
      <c r="L139" s="780"/>
    </row>
    <row r="140" spans="1:13" s="772" customFormat="1" ht="12.75">
      <c r="A140" s="1295" t="str">
        <f t="shared" si="2"/>
        <v>BLENHEIM - GILBOA354Towers &amp; Fixtures</v>
      </c>
      <c r="B140" s="1346" t="s">
        <v>1337</v>
      </c>
      <c r="C140" s="707" t="str">
        <f>CONCATENATE("WP-BC, column 8, line ",VLOOKUP(A140,'WP-BC'!A143:N478, 2, FALSE))</f>
        <v>WP-BC, column 8, line 10c</v>
      </c>
      <c r="D140" s="775" t="s">
        <v>1929</v>
      </c>
      <c r="E140" s="776"/>
      <c r="F140" s="776"/>
      <c r="G140" s="777">
        <v>354</v>
      </c>
      <c r="H140" s="777"/>
      <c r="I140" s="778" t="s">
        <v>70</v>
      </c>
      <c r="J140" s="779"/>
      <c r="K140" s="1348">
        <f>IFERROR(VLOOKUP(A140,'WP-BC'!A$18:AI$346,10,FALSE),0)</f>
        <v>450343.87435567018</v>
      </c>
      <c r="L140" s="780"/>
      <c r="M140" s="772" t="s">
        <v>227</v>
      </c>
    </row>
    <row r="141" spans="1:13" s="772" customFormat="1" ht="12.75">
      <c r="A141" s="1295" t="str">
        <f t="shared" si="2"/>
        <v>J. A. FITZPATRICK354Towers &amp; Fixtures</v>
      </c>
      <c r="B141" s="1346" t="s">
        <v>1338</v>
      </c>
      <c r="C141" s="707" t="str">
        <f>CONCATENATE("WP-BC, column 8, line ",VLOOKUP(A141,'WP-BC'!A144:N479, 2, FALSE))</f>
        <v>WP-BC, column 8, line 10i</v>
      </c>
      <c r="D141" s="775" t="s">
        <v>1931</v>
      </c>
      <c r="E141" s="776"/>
      <c r="F141" s="776"/>
      <c r="G141" s="777">
        <v>354</v>
      </c>
      <c r="H141" s="777"/>
      <c r="I141" s="778" t="s">
        <v>70</v>
      </c>
      <c r="J141" s="779"/>
      <c r="K141" s="1348">
        <f>IFERROR(VLOOKUP(A141,'WP-BC'!A$18:AI$346,10,FALSE),0)</f>
        <v>105030.19367803604</v>
      </c>
      <c r="L141" s="780"/>
      <c r="M141" s="772" t="s">
        <v>227</v>
      </c>
    </row>
    <row r="142" spans="1:13" s="772" customFormat="1" ht="12.75">
      <c r="A142" s="1295" t="str">
        <f t="shared" si="2"/>
        <v>MARCY-SOUTH354Towers &amp; Fixtures</v>
      </c>
      <c r="B142" s="1346" t="s">
        <v>1339</v>
      </c>
      <c r="C142" s="707" t="str">
        <f>CONCATENATE("WP-BC, column 8, line ",VLOOKUP(A142,'WP-BC'!A145:N480, 2, FALSE))</f>
        <v>WP-BC, column 8, line 10r</v>
      </c>
      <c r="D142" s="775" t="s">
        <v>1933</v>
      </c>
      <c r="E142" s="776"/>
      <c r="F142" s="776"/>
      <c r="G142" s="777">
        <v>354</v>
      </c>
      <c r="H142" s="777"/>
      <c r="I142" s="778" t="s">
        <v>70</v>
      </c>
      <c r="J142" s="779"/>
      <c r="K142" s="1348">
        <f>IFERROR(VLOOKUP(A142,'WP-BC'!A$18:AI$346,10,FALSE),0)</f>
        <v>1462226.4394299351</v>
      </c>
      <c r="L142" s="780"/>
      <c r="M142" s="772" t="s">
        <v>227</v>
      </c>
    </row>
    <row r="143" spans="1:13" s="772" customFormat="1" ht="12.75">
      <c r="A143" s="1295" t="str">
        <f t="shared" si="2"/>
        <v>MASSENA - MARCY  (Clark)354Towers &amp; Fixtures</v>
      </c>
      <c r="B143" s="1346" t="s">
        <v>1340</v>
      </c>
      <c r="C143" s="707" t="str">
        <f>CONCATENATE("WP-BC, column 8, line ",VLOOKUP(A143,'WP-BC'!A146:N481, 2, FALSE))</f>
        <v>WP-BC, column 8, line 10ab</v>
      </c>
      <c r="D143" s="775" t="s">
        <v>1934</v>
      </c>
      <c r="E143" s="776"/>
      <c r="F143" s="776"/>
      <c r="G143" s="777">
        <v>354</v>
      </c>
      <c r="H143" s="777"/>
      <c r="I143" s="778" t="s">
        <v>70</v>
      </c>
      <c r="J143" s="779"/>
      <c r="K143" s="1348">
        <f>IFERROR(VLOOKUP(A143,'WP-BC'!A$18:AI$346,10,FALSE),0)</f>
        <v>1288393.6092270603</v>
      </c>
      <c r="L143" s="780"/>
      <c r="M143" s="772" t="s">
        <v>227</v>
      </c>
    </row>
    <row r="144" spans="1:13" s="772" customFormat="1" ht="12.75">
      <c r="A144" s="1295" t="str">
        <f t="shared" si="2"/>
        <v>NIAGARA354Towers &amp; Fixtures</v>
      </c>
      <c r="B144" s="1346" t="s">
        <v>1341</v>
      </c>
      <c r="C144" s="707" t="str">
        <f>CONCATENATE("WP-BC, column 8, line ",VLOOKUP(A144,'WP-BC'!A147:N482, 2, FALSE))</f>
        <v>WP-BC, column 8, line 10ah</v>
      </c>
      <c r="D144" s="775" t="s">
        <v>30</v>
      </c>
      <c r="E144" s="776"/>
      <c r="F144" s="776"/>
      <c r="G144" s="777">
        <v>354</v>
      </c>
      <c r="H144" s="777"/>
      <c r="I144" s="778" t="s">
        <v>70</v>
      </c>
      <c r="J144" s="779"/>
      <c r="K144" s="1348">
        <f>IFERROR(VLOOKUP(A144,'WP-BC'!A$18:AI$346,10,FALSE),0)</f>
        <v>598789.69089802122</v>
      </c>
      <c r="L144" s="780"/>
      <c r="M144" s="772" t="s">
        <v>227</v>
      </c>
    </row>
    <row r="145" spans="1:13" s="772" customFormat="1" ht="12.75">
      <c r="A145" s="1295" t="str">
        <f t="shared" si="2"/>
        <v>St.  LAWRENCE / FDR354Towers &amp; Fixtures</v>
      </c>
      <c r="B145" s="1346" t="s">
        <v>1342</v>
      </c>
      <c r="C145" s="707" t="str">
        <f>CONCATENATE("WP-BC, column 8, line ",VLOOKUP(A145,'WP-BC'!A148:N483, 2, FALSE))</f>
        <v>WP-BC, column 8, line 10ao</v>
      </c>
      <c r="D145" s="775" t="s">
        <v>1935</v>
      </c>
      <c r="E145" s="776"/>
      <c r="F145" s="776"/>
      <c r="G145" s="777">
        <v>354</v>
      </c>
      <c r="H145" s="777"/>
      <c r="I145" s="778" t="s">
        <v>70</v>
      </c>
      <c r="J145" s="779"/>
      <c r="K145" s="1348">
        <f>IFERROR(VLOOKUP(A145,'WP-BC'!A$18:AI$346,10,FALSE),0)</f>
        <v>469707.48439284763</v>
      </c>
      <c r="L145" s="780"/>
      <c r="M145" s="772" t="s">
        <v>227</v>
      </c>
    </row>
    <row r="146" spans="1:13" s="772" customFormat="1" ht="12.75">
      <c r="A146" s="1295" t="str">
        <f t="shared" si="2"/>
        <v>354</v>
      </c>
      <c r="B146" s="1346" t="s">
        <v>541</v>
      </c>
      <c r="C146" s="1350"/>
      <c r="D146" s="1350"/>
      <c r="E146" s="776"/>
      <c r="F146" s="776"/>
      <c r="G146" s="777">
        <v>354</v>
      </c>
      <c r="H146" s="777"/>
      <c r="I146" s="1350"/>
      <c r="J146" s="779"/>
      <c r="K146" s="1348">
        <f>IFERROR(VLOOKUP(A146,'WP-BC'!A$18:AI$346,10,FALSE),0)</f>
        <v>0</v>
      </c>
      <c r="L146" s="780"/>
    </row>
    <row r="147" spans="1:13" s="772" customFormat="1" ht="15">
      <c r="A147" s="1295" t="str">
        <f t="shared" si="2"/>
        <v>354</v>
      </c>
      <c r="B147" s="1346" t="s">
        <v>541</v>
      </c>
      <c r="C147" s="1350"/>
      <c r="D147" s="1350"/>
      <c r="E147" s="776"/>
      <c r="F147" s="776"/>
      <c r="G147" s="777">
        <v>354</v>
      </c>
      <c r="H147" s="777"/>
      <c r="I147" s="1350"/>
      <c r="J147" s="779"/>
      <c r="K147" s="1349">
        <f>IFERROR(VLOOKUP(A147,'WP-BC'!A$18:AI$353,10,FALSE),0)</f>
        <v>0</v>
      </c>
      <c r="L147" s="780"/>
    </row>
    <row r="148" spans="1:13" s="772" customFormat="1" ht="12.75">
      <c r="A148" s="1295" t="str">
        <f t="shared" si="2"/>
        <v>354</v>
      </c>
      <c r="B148" s="1346">
        <v>27</v>
      </c>
      <c r="D148" s="1345"/>
      <c r="E148" s="776"/>
      <c r="F148" s="781"/>
      <c r="G148" s="777">
        <v>354</v>
      </c>
      <c r="H148" s="782" t="s">
        <v>273</v>
      </c>
      <c r="I148" s="779"/>
      <c r="J148" s="779"/>
      <c r="K148" s="1354">
        <f>SUM(K140:K147)</f>
        <v>4374491.2919815704</v>
      </c>
      <c r="L148" s="780"/>
    </row>
    <row r="149" spans="1:13" s="772" customFormat="1" ht="12.75">
      <c r="A149" s="1295" t="str">
        <f t="shared" si="2"/>
        <v/>
      </c>
      <c r="B149" s="1346" t="s">
        <v>1225</v>
      </c>
      <c r="D149" s="1345"/>
      <c r="E149" s="776"/>
      <c r="F149" s="781"/>
      <c r="G149" s="777"/>
      <c r="H149" s="779"/>
      <c r="I149" s="779"/>
      <c r="J149" s="779"/>
      <c r="K149" s="1348"/>
      <c r="L149" s="780"/>
    </row>
    <row r="150" spans="1:13" s="772" customFormat="1" ht="12.75">
      <c r="A150" s="1295" t="str">
        <f t="shared" si="2"/>
        <v>BLENHEIM - GILBOA355Poles &amp; Fixtures</v>
      </c>
      <c r="B150" s="1346" t="s">
        <v>1343</v>
      </c>
      <c r="C150" s="707" t="str">
        <f>CONCATENATE("WP-BC, column 8, line ",VLOOKUP(A150,'WP-BC'!A153:N488, 2, FALSE))</f>
        <v>WP-BC, column 8, line 10d</v>
      </c>
      <c r="D150" s="775" t="s">
        <v>1929</v>
      </c>
      <c r="E150" s="776"/>
      <c r="F150" s="781"/>
      <c r="G150" s="777">
        <v>355</v>
      </c>
      <c r="H150" s="779"/>
      <c r="I150" s="778" t="s">
        <v>71</v>
      </c>
      <c r="J150" s="779"/>
      <c r="K150" s="1348">
        <f>IFERROR(VLOOKUP(A150,'WP-BC'!A$18:AI$346,10,FALSE),0)</f>
        <v>37450.952319587625</v>
      </c>
      <c r="L150" s="780"/>
      <c r="M150" s="772" t="s">
        <v>227</v>
      </c>
    </row>
    <row r="151" spans="1:13" s="772" customFormat="1" ht="12.75">
      <c r="A151" s="1295" t="str">
        <f t="shared" si="2"/>
        <v>MARCY-SOUTH355Poles &amp; Fixtures</v>
      </c>
      <c r="B151" s="1346" t="s">
        <v>1344</v>
      </c>
      <c r="C151" s="707" t="str">
        <f>CONCATENATE("WP-BC, column 8, line ",VLOOKUP(A151,'WP-BC'!A154:N489, 2, FALSE))</f>
        <v>WP-BC, column 8, line 10s</v>
      </c>
      <c r="D151" s="775" t="s">
        <v>1933</v>
      </c>
      <c r="E151" s="776"/>
      <c r="F151" s="781"/>
      <c r="G151" s="777">
        <v>355</v>
      </c>
      <c r="H151" s="779"/>
      <c r="I151" s="778" t="s">
        <v>71</v>
      </c>
      <c r="J151" s="779"/>
      <c r="K151" s="1348">
        <f>IFERROR(VLOOKUP(A151,'WP-BC'!A$18:AI$346,10,FALSE),0)</f>
        <v>4145861.664917809</v>
      </c>
      <c r="L151" s="780"/>
      <c r="M151" s="772" t="s">
        <v>227</v>
      </c>
    </row>
    <row r="152" spans="1:13" s="772" customFormat="1" ht="12.75">
      <c r="A152" s="1295" t="str">
        <f t="shared" ref="A152:A193" si="3">CONCATENATE(D152,G152,I152)</f>
        <v>MASSENA - MARCY  (Clark)355Poles &amp; Fixtures</v>
      </c>
      <c r="B152" s="1346" t="s">
        <v>1345</v>
      </c>
      <c r="C152" s="707" t="str">
        <f>CONCATENATE("WP-BC, column 8, line ",VLOOKUP(A152,'WP-BC'!A155:N490, 2, FALSE))</f>
        <v>WP-BC, column 8, line 10ac</v>
      </c>
      <c r="D152" s="775" t="s">
        <v>1934</v>
      </c>
      <c r="E152" s="776"/>
      <c r="F152" s="788"/>
      <c r="G152" s="777">
        <v>355</v>
      </c>
      <c r="H152" s="779"/>
      <c r="I152" s="778" t="s">
        <v>71</v>
      </c>
      <c r="J152" s="779"/>
      <c r="K152" s="1348">
        <f>IFERROR(VLOOKUP(A152,'WP-BC'!A$18:AI$346,10,FALSE),0)</f>
        <v>363974.91882691626</v>
      </c>
      <c r="L152" s="780"/>
      <c r="M152" s="772" t="s">
        <v>227</v>
      </c>
    </row>
    <row r="153" spans="1:13" s="772" customFormat="1" ht="12.75">
      <c r="A153" s="1295" t="str">
        <f t="shared" si="3"/>
        <v>NIAGARA355Poles &amp; Fixtures</v>
      </c>
      <c r="B153" s="1346" t="s">
        <v>1346</v>
      </c>
      <c r="C153" s="707" t="str">
        <f>CONCATENATE("WP-BC, column 8, line ",VLOOKUP(A153,'WP-BC'!A156:N491, 2, FALSE))</f>
        <v>WP-BC, column 8, line 10ai</v>
      </c>
      <c r="D153" s="775" t="s">
        <v>30</v>
      </c>
      <c r="E153" s="776"/>
      <c r="F153" s="781"/>
      <c r="G153" s="777">
        <v>355</v>
      </c>
      <c r="H153" s="779"/>
      <c r="I153" s="778" t="s">
        <v>71</v>
      </c>
      <c r="J153" s="779"/>
      <c r="K153" s="1348">
        <f>IFERROR(VLOOKUP(A153,'WP-BC'!A$18:AI$346,10,FALSE),0)</f>
        <v>746.13248097412486</v>
      </c>
      <c r="L153" s="780"/>
      <c r="M153" s="772" t="s">
        <v>227</v>
      </c>
    </row>
    <row r="154" spans="1:13" s="772" customFormat="1" ht="12.75">
      <c r="A154" s="1295" t="str">
        <f t="shared" si="3"/>
        <v>St.  LAWRENCE / FDR355Poles &amp; Fixtures</v>
      </c>
      <c r="B154" s="1346" t="s">
        <v>1347</v>
      </c>
      <c r="C154" s="707" t="str">
        <f>CONCATENATE("WP-BC, column 8, line ",VLOOKUP(A154,'WP-BC'!A157:N492, 2, FALSE))</f>
        <v>WP-BC, column 8, line 10ap</v>
      </c>
      <c r="D154" s="775" t="s">
        <v>1935</v>
      </c>
      <c r="E154" s="776"/>
      <c r="F154" s="781"/>
      <c r="G154" s="777">
        <v>355</v>
      </c>
      <c r="H154" s="779"/>
      <c r="I154" s="778" t="s">
        <v>71</v>
      </c>
      <c r="J154" s="779"/>
      <c r="K154" s="1348">
        <f>IFERROR(VLOOKUP(A154,'WP-BC'!A$18:AI$346,10,FALSE),0)</f>
        <v>238031.32161996266</v>
      </c>
      <c r="L154" s="780"/>
      <c r="M154" s="772" t="s">
        <v>227</v>
      </c>
    </row>
    <row r="155" spans="1:13" s="772" customFormat="1" ht="12.75">
      <c r="A155" s="1295" t="str">
        <f t="shared" si="3"/>
        <v>355</v>
      </c>
      <c r="B155" s="1346" t="s">
        <v>541</v>
      </c>
      <c r="C155" s="1350"/>
      <c r="D155" s="1350"/>
      <c r="E155" s="776"/>
      <c r="F155" s="776"/>
      <c r="G155" s="777">
        <v>355</v>
      </c>
      <c r="H155" s="777"/>
      <c r="I155" s="1350"/>
      <c r="J155" s="779"/>
      <c r="K155" s="1348">
        <f>IFERROR(VLOOKUP(A155,'WP-BC'!A$18:AI$346,10,FALSE),0)</f>
        <v>0</v>
      </c>
      <c r="L155" s="780"/>
    </row>
    <row r="156" spans="1:13" s="772" customFormat="1" ht="15">
      <c r="A156" s="1295" t="str">
        <f t="shared" si="3"/>
        <v>355</v>
      </c>
      <c r="B156" s="1346" t="s">
        <v>541</v>
      </c>
      <c r="C156" s="1350"/>
      <c r="D156" s="1350"/>
      <c r="E156" s="776"/>
      <c r="F156" s="776"/>
      <c r="G156" s="777">
        <v>355</v>
      </c>
      <c r="H156" s="777"/>
      <c r="I156" s="1350"/>
      <c r="J156" s="779"/>
      <c r="K156" s="1349">
        <f>IFERROR(VLOOKUP(A156,'WP-BC'!A$18:AI$353,10,FALSE),0)</f>
        <v>0</v>
      </c>
      <c r="L156" s="780"/>
    </row>
    <row r="157" spans="1:13" s="772" customFormat="1" ht="12.75">
      <c r="A157" s="1295" t="str">
        <f t="shared" si="3"/>
        <v>355</v>
      </c>
      <c r="B157" s="1346">
        <v>29</v>
      </c>
      <c r="D157" s="1345"/>
      <c r="E157" s="776"/>
      <c r="F157" s="781"/>
      <c r="G157" s="777">
        <v>355</v>
      </c>
      <c r="H157" s="782" t="s">
        <v>274</v>
      </c>
      <c r="I157" s="779"/>
      <c r="J157" s="779"/>
      <c r="K157" s="1354">
        <f>SUM(K150:K156)</f>
        <v>4786064.9901652494</v>
      </c>
      <c r="L157" s="780"/>
    </row>
    <row r="158" spans="1:13" s="772" customFormat="1" ht="12.75">
      <c r="A158" s="1295" t="str">
        <f t="shared" si="3"/>
        <v/>
      </c>
      <c r="B158" s="1346" t="s">
        <v>1225</v>
      </c>
      <c r="D158" s="1345"/>
      <c r="E158" s="776"/>
      <c r="F158" s="781"/>
      <c r="G158" s="777"/>
      <c r="H158" s="779"/>
      <c r="I158" s="779"/>
      <c r="J158" s="779"/>
      <c r="K158" s="1348"/>
      <c r="L158" s="780"/>
    </row>
    <row r="159" spans="1:13" s="772" customFormat="1" ht="12.75">
      <c r="A159" s="1295" t="str">
        <f t="shared" si="3"/>
        <v>BLENHEIM - GILBOA356Overhead Conductors &amp; Devices</v>
      </c>
      <c r="B159" s="1346" t="s">
        <v>1348</v>
      </c>
      <c r="C159" s="707" t="str">
        <f>CONCATENATE("WP-BC, column 8, line ",VLOOKUP(A159,'WP-BC'!A162:N497, 2, FALSE))</f>
        <v>WP-BC, column 8, line 10e</v>
      </c>
      <c r="D159" s="775" t="s">
        <v>1929</v>
      </c>
      <c r="E159" s="776"/>
      <c r="F159" s="781"/>
      <c r="G159" s="777">
        <v>356</v>
      </c>
      <c r="H159" s="779"/>
      <c r="I159" s="778" t="s">
        <v>72</v>
      </c>
      <c r="J159" s="779"/>
      <c r="K159" s="1348">
        <f>IFERROR(VLOOKUP(A159,'WP-BC'!A$18:AI$346,10,FALSE),0)</f>
        <v>104604.31765463919</v>
      </c>
      <c r="L159" s="780"/>
      <c r="M159" s="772" t="s">
        <v>227</v>
      </c>
    </row>
    <row r="160" spans="1:13" s="772" customFormat="1" ht="12.75">
      <c r="A160" s="1295" t="str">
        <f t="shared" si="3"/>
        <v>J. A. FITZPATRICK356Overhead Conductors &amp; Devices</v>
      </c>
      <c r="B160" s="1346" t="s">
        <v>1349</v>
      </c>
      <c r="C160" s="707" t="str">
        <f>CONCATENATE("WP-BC, column 8, line ",VLOOKUP(A160,'WP-BC'!A163:N498, 2, FALSE))</f>
        <v>WP-BC, column 8, line 10j</v>
      </c>
      <c r="D160" s="775" t="s">
        <v>1931</v>
      </c>
      <c r="E160" s="776"/>
      <c r="F160" s="781"/>
      <c r="G160" s="777">
        <v>356</v>
      </c>
      <c r="H160" s="779"/>
      <c r="I160" s="778" t="s">
        <v>72</v>
      </c>
      <c r="J160" s="779"/>
      <c r="K160" s="1348">
        <f>IFERROR(VLOOKUP(A160,'WP-BC'!A$18:AI$346,10,FALSE),0)</f>
        <v>35957.815834393718</v>
      </c>
      <c r="L160" s="780"/>
      <c r="M160" s="772" t="s">
        <v>227</v>
      </c>
    </row>
    <row r="161" spans="1:13" s="772" customFormat="1" ht="12.75">
      <c r="A161" s="1295" t="str">
        <f t="shared" si="3"/>
        <v>MARCY-SOUTH356Overhead Conductors &amp; Devices</v>
      </c>
      <c r="B161" s="1346" t="s">
        <v>1350</v>
      </c>
      <c r="C161" s="707" t="str">
        <f>CONCATENATE("WP-BC, column 8, line ",VLOOKUP(A161,'WP-BC'!A164:N499, 2, FALSE))</f>
        <v>WP-BC, column 8, line 10t</v>
      </c>
      <c r="D161" s="775" t="s">
        <v>1933</v>
      </c>
      <c r="E161" s="776"/>
      <c r="F161" s="781"/>
      <c r="G161" s="777">
        <v>356</v>
      </c>
      <c r="H161" s="779"/>
      <c r="I161" s="778" t="s">
        <v>72</v>
      </c>
      <c r="J161" s="779"/>
      <c r="K161" s="1348">
        <f>IFERROR(VLOOKUP(A161,'WP-BC'!A$18:AI$346,10,FALSE),0)</f>
        <v>1455220.4485022961</v>
      </c>
      <c r="L161" s="780"/>
      <c r="M161" s="772" t="s">
        <v>227</v>
      </c>
    </row>
    <row r="162" spans="1:13" s="772" customFormat="1" ht="12.75">
      <c r="A162" s="1295" t="str">
        <f t="shared" si="3"/>
        <v>MASSENA - MARCY  (Clark)356Overhead Conductors &amp; Devices</v>
      </c>
      <c r="B162" s="1346" t="s">
        <v>1351</v>
      </c>
      <c r="C162" s="707" t="str">
        <f>CONCATENATE("WP-BC, column 8, line ",VLOOKUP(A162,'WP-BC'!A165:N500, 2, FALSE))</f>
        <v>WP-BC, column 8, line 10ad</v>
      </c>
      <c r="D162" s="775" t="s">
        <v>1934</v>
      </c>
      <c r="E162" s="776"/>
      <c r="F162" s="788"/>
      <c r="G162" s="777">
        <v>356</v>
      </c>
      <c r="H162" s="779"/>
      <c r="I162" s="778" t="s">
        <v>72</v>
      </c>
      <c r="J162" s="779"/>
      <c r="K162" s="1348">
        <f>IFERROR(VLOOKUP(A162,'WP-BC'!A$18:AI$346,10,FALSE),0)</f>
        <v>540380.19890752062</v>
      </c>
      <c r="L162" s="780"/>
      <c r="M162" s="772" t="s">
        <v>227</v>
      </c>
    </row>
    <row r="163" spans="1:13" s="772" customFormat="1" ht="12.75">
      <c r="A163" s="1295" t="str">
        <f t="shared" si="3"/>
        <v>NIAGARA356Overhead Conductors &amp; Devices</v>
      </c>
      <c r="B163" s="1346" t="s">
        <v>1352</v>
      </c>
      <c r="C163" s="707" t="str">
        <f>CONCATENATE("WP-BC, column 8, line ",VLOOKUP(A163,'WP-BC'!A166:N501, 2, FALSE))</f>
        <v>WP-BC, column 8, line 10ak</v>
      </c>
      <c r="D163" s="775" t="s">
        <v>30</v>
      </c>
      <c r="E163" s="776"/>
      <c r="F163" s="781"/>
      <c r="G163" s="777">
        <v>356</v>
      </c>
      <c r="H163" s="779"/>
      <c r="I163" s="778" t="s">
        <v>72</v>
      </c>
      <c r="J163" s="779"/>
      <c r="K163" s="1348">
        <f>IFERROR(VLOOKUP(A163,'WP-BC'!A$18:AI$346,10,FALSE),0)</f>
        <v>403592.50867579918</v>
      </c>
      <c r="L163" s="780"/>
      <c r="M163" s="772" t="s">
        <v>227</v>
      </c>
    </row>
    <row r="164" spans="1:13" s="772" customFormat="1" ht="12.75">
      <c r="A164" s="1295" t="str">
        <f t="shared" si="3"/>
        <v>St.  LAWRENCE / FDR356Overhead Conductors &amp; Devices</v>
      </c>
      <c r="B164" s="1346" t="s">
        <v>1353</v>
      </c>
      <c r="C164" s="707" t="str">
        <f>CONCATENATE("WP-BC, column 8, line ",VLOOKUP(A164,'WP-BC'!A167:N502, 2, FALSE))</f>
        <v>WP-BC, column 8, line 10aq</v>
      </c>
      <c r="D164" s="775" t="s">
        <v>1935</v>
      </c>
      <c r="E164" s="776"/>
      <c r="F164" s="781"/>
      <c r="G164" s="777">
        <v>356</v>
      </c>
      <c r="H164" s="779"/>
      <c r="I164" s="778" t="s">
        <v>72</v>
      </c>
      <c r="J164" s="779"/>
      <c r="K164" s="1348">
        <f>IFERROR(VLOOKUP(A164,'WP-BC'!A$18:AI$346,10,FALSE),0)</f>
        <v>261706.87137710169</v>
      </c>
      <c r="L164" s="780"/>
      <c r="M164" s="772" t="s">
        <v>227</v>
      </c>
    </row>
    <row r="165" spans="1:13" s="772" customFormat="1" ht="12.75">
      <c r="A165" s="1295" t="str">
        <f t="shared" ref="A165:A166" si="4">CONCATENATE(D165,G165,I165)</f>
        <v>356</v>
      </c>
      <c r="B165" s="1346" t="s">
        <v>541</v>
      </c>
      <c r="C165" s="1350"/>
      <c r="D165" s="1350"/>
      <c r="E165" s="776"/>
      <c r="F165" s="776"/>
      <c r="G165" s="777">
        <v>356</v>
      </c>
      <c r="H165" s="777"/>
      <c r="I165" s="1350"/>
      <c r="J165" s="779"/>
      <c r="K165" s="1348">
        <f>IFERROR(VLOOKUP(A165,'WP-BC'!A$18:AI$346,10,FALSE),0)</f>
        <v>0</v>
      </c>
      <c r="L165" s="780"/>
    </row>
    <row r="166" spans="1:13" s="772" customFormat="1" ht="15">
      <c r="A166" s="1295" t="str">
        <f t="shared" si="4"/>
        <v>356</v>
      </c>
      <c r="B166" s="1346" t="s">
        <v>541</v>
      </c>
      <c r="C166" s="1350"/>
      <c r="D166" s="1350"/>
      <c r="E166" s="776"/>
      <c r="F166" s="776"/>
      <c r="G166" s="777">
        <v>356</v>
      </c>
      <c r="H166" s="777"/>
      <c r="I166" s="1350"/>
      <c r="J166" s="779"/>
      <c r="K166" s="1349">
        <f>IFERROR(VLOOKUP(A166,'WP-BC'!A$18:AI$353,10,FALSE),0)</f>
        <v>0</v>
      </c>
      <c r="L166" s="780"/>
    </row>
    <row r="167" spans="1:13" s="772" customFormat="1" ht="12.75">
      <c r="A167" s="1295" t="str">
        <f t="shared" si="3"/>
        <v>356</v>
      </c>
      <c r="B167" s="1346">
        <v>31</v>
      </c>
      <c r="D167" s="1345"/>
      <c r="E167" s="776"/>
      <c r="F167" s="781"/>
      <c r="G167" s="777">
        <v>356</v>
      </c>
      <c r="H167" s="782" t="s">
        <v>275</v>
      </c>
      <c r="I167" s="779"/>
      <c r="J167" s="779"/>
      <c r="K167" s="1354">
        <f>SUM(K159:K166)</f>
        <v>2801462.1609517504</v>
      </c>
      <c r="L167" s="780"/>
    </row>
    <row r="168" spans="1:13" s="772" customFormat="1" ht="12.75">
      <c r="A168" s="1295" t="str">
        <f t="shared" si="3"/>
        <v/>
      </c>
      <c r="B168" s="1346" t="s">
        <v>1225</v>
      </c>
      <c r="D168" s="1345"/>
      <c r="E168" s="776"/>
      <c r="F168" s="781"/>
      <c r="G168" s="777"/>
      <c r="H168" s="779"/>
      <c r="I168" s="779"/>
      <c r="J168" s="779"/>
      <c r="K168" s="1348"/>
      <c r="L168" s="780"/>
    </row>
    <row r="169" spans="1:13" s="772" customFormat="1" ht="12.75">
      <c r="A169" s="1295" t="str">
        <f t="shared" si="3"/>
        <v>LONG ISLAND SOUND CABLE357Underground Conduit</v>
      </c>
      <c r="B169" s="1346" t="s">
        <v>1354</v>
      </c>
      <c r="C169" s="707" t="str">
        <f>CONCATENATE("WP-BC, column 8, line ",VLOOKUP(A169,'WP-BC'!A172:N507, 2, FALSE))</f>
        <v>WP-BC, column 8, line 10m</v>
      </c>
      <c r="D169" s="775" t="s">
        <v>1932</v>
      </c>
      <c r="E169" s="776"/>
      <c r="F169" s="781"/>
      <c r="G169" s="777">
        <v>357</v>
      </c>
      <c r="H169" s="779"/>
      <c r="I169" s="778" t="s">
        <v>73</v>
      </c>
      <c r="J169" s="779"/>
      <c r="K169" s="1348">
        <f>IFERROR(VLOOKUP(A169,'WP-BC'!A$18:AI$346,10,FALSE),0)</f>
        <v>2024078</v>
      </c>
      <c r="L169" s="780"/>
      <c r="M169" s="772" t="s">
        <v>227</v>
      </c>
    </row>
    <row r="170" spans="1:13" s="772" customFormat="1" ht="12.75">
      <c r="A170" s="1295" t="str">
        <f t="shared" si="3"/>
        <v>MARCY-SOUTH357Underground Conduit</v>
      </c>
      <c r="B170" s="1346" t="s">
        <v>1355</v>
      </c>
      <c r="C170" s="707" t="str">
        <f>CONCATENATE("WP-BC, column 8, line ",VLOOKUP(A170,'WP-BC'!A173:N508, 2, FALSE))</f>
        <v>WP-BC, column 8, line 10u</v>
      </c>
      <c r="D170" s="775" t="s">
        <v>1933</v>
      </c>
      <c r="E170" s="776"/>
      <c r="F170" s="781"/>
      <c r="G170" s="777">
        <v>357</v>
      </c>
      <c r="H170" s="779"/>
      <c r="I170" s="778" t="s">
        <v>73</v>
      </c>
      <c r="J170" s="779"/>
      <c r="K170" s="1348">
        <f>IFERROR(VLOOKUP(A170,'WP-BC'!A$18:AI$346,10,FALSE),0)</f>
        <v>544255.78932849085</v>
      </c>
      <c r="L170" s="780"/>
      <c r="M170" s="772" t="s">
        <v>227</v>
      </c>
    </row>
    <row r="171" spans="1:13" s="772" customFormat="1" ht="12.75">
      <c r="A171" s="1295" t="str">
        <f t="shared" si="3"/>
        <v>St.  LAWRENCE / FDR357Underground Conduit</v>
      </c>
      <c r="B171" s="1346" t="s">
        <v>1356</v>
      </c>
      <c r="C171" s="707" t="str">
        <f>CONCATENATE("WP-BC, column 8, line ",VLOOKUP(A171,'WP-BC'!A174:N509, 2, FALSE))</f>
        <v>WP-BC, column 8, line 10ar</v>
      </c>
      <c r="D171" s="775" t="s">
        <v>1935</v>
      </c>
      <c r="E171" s="776"/>
      <c r="F171" s="781"/>
      <c r="G171" s="777">
        <v>357</v>
      </c>
      <c r="H171" s="779"/>
      <c r="I171" s="778" t="s">
        <v>73</v>
      </c>
      <c r="J171" s="779"/>
      <c r="K171" s="1348">
        <f>IFERROR(VLOOKUP(A171,'WP-BC'!A$18:AI$346,10,FALSE),0)</f>
        <v>137.62417267147049</v>
      </c>
      <c r="L171" s="780"/>
      <c r="M171" s="772" t="s">
        <v>227</v>
      </c>
    </row>
    <row r="172" spans="1:13" s="772" customFormat="1" ht="12.75">
      <c r="A172" s="1295" t="str">
        <f t="shared" si="3"/>
        <v>357</v>
      </c>
      <c r="B172" s="1346" t="s">
        <v>541</v>
      </c>
      <c r="C172" s="1350"/>
      <c r="D172" s="1350"/>
      <c r="E172" s="776"/>
      <c r="F172" s="776"/>
      <c r="G172" s="777">
        <v>357</v>
      </c>
      <c r="H172" s="777"/>
      <c r="I172" s="1350"/>
      <c r="J172" s="779"/>
      <c r="K172" s="1348">
        <f>IFERROR(VLOOKUP(A172,'WP-BC'!A$18:AI$346,10,FALSE),0)</f>
        <v>0</v>
      </c>
      <c r="L172" s="780"/>
    </row>
    <row r="173" spans="1:13" s="772" customFormat="1" ht="15">
      <c r="A173" s="1295" t="str">
        <f t="shared" si="3"/>
        <v>357</v>
      </c>
      <c r="B173" s="1346" t="s">
        <v>541</v>
      </c>
      <c r="C173" s="1350"/>
      <c r="D173" s="1350"/>
      <c r="E173" s="776"/>
      <c r="F173" s="776"/>
      <c r="G173" s="777">
        <v>357</v>
      </c>
      <c r="H173" s="777"/>
      <c r="I173" s="1350"/>
      <c r="J173" s="779"/>
      <c r="K173" s="1349">
        <f>IFERROR(VLOOKUP(A173,'WP-BC'!A$18:AI$353,10,FALSE),0)</f>
        <v>0</v>
      </c>
      <c r="L173" s="780"/>
    </row>
    <row r="174" spans="1:13" s="772" customFormat="1" ht="12.75">
      <c r="A174" s="1295" t="str">
        <f t="shared" si="3"/>
        <v>357</v>
      </c>
      <c r="B174" s="1346">
        <v>33</v>
      </c>
      <c r="D174" s="1345"/>
      <c r="E174" s="776"/>
      <c r="F174" s="781"/>
      <c r="G174" s="777">
        <v>357</v>
      </c>
      <c r="H174" s="782" t="s">
        <v>276</v>
      </c>
      <c r="I174" s="779"/>
      <c r="J174" s="779"/>
      <c r="K174" s="1354">
        <f>SUM(K169:K173)</f>
        <v>2568471.4135011625</v>
      </c>
      <c r="L174" s="780"/>
    </row>
    <row r="175" spans="1:13" s="772" customFormat="1" ht="12.75">
      <c r="A175" s="1295" t="str">
        <f t="shared" si="3"/>
        <v/>
      </c>
      <c r="B175" s="1346" t="s">
        <v>1225</v>
      </c>
      <c r="D175" s="1345"/>
      <c r="E175" s="776"/>
      <c r="F175" s="781"/>
      <c r="G175" s="777"/>
      <c r="H175" s="779"/>
      <c r="I175" s="779"/>
      <c r="J175" s="779"/>
      <c r="K175" s="1348"/>
      <c r="L175" s="780"/>
    </row>
    <row r="176" spans="1:13" s="772" customFormat="1" ht="12.75">
      <c r="A176" s="1295" t="str">
        <f t="shared" si="3"/>
        <v>LONG ISLAND SOUND CABLE358Underground Conductors &amp; Devices</v>
      </c>
      <c r="B176" s="1346" t="s">
        <v>1357</v>
      </c>
      <c r="C176" s="707" t="str">
        <f>CONCATENATE("WP-BC, column 8, line ",VLOOKUP(A176,'WP-BC'!A179:N514, 2, FALSE))</f>
        <v>WP-BC, column 8, line 10o</v>
      </c>
      <c r="D176" s="775" t="s">
        <v>1932</v>
      </c>
      <c r="E176" s="776"/>
      <c r="F176" s="781"/>
      <c r="G176" s="777">
        <v>358</v>
      </c>
      <c r="H176" s="779"/>
      <c r="I176" s="778" t="s">
        <v>74</v>
      </c>
      <c r="J176" s="779"/>
      <c r="K176" s="1348">
        <f>IFERROR(VLOOKUP(A176,'WP-BC'!A$18:AI$346,10,FALSE),0)</f>
        <v>5450121</v>
      </c>
      <c r="L176" s="780"/>
      <c r="M176" s="772" t="s">
        <v>227</v>
      </c>
    </row>
    <row r="177" spans="1:13" s="772" customFormat="1" ht="12.75">
      <c r="A177" s="1295" t="str">
        <f t="shared" si="3"/>
        <v>MARCY-SOUTH358Underground Conductors &amp; Devices</v>
      </c>
      <c r="B177" s="1346" t="s">
        <v>1358</v>
      </c>
      <c r="C177" s="707" t="str">
        <f>CONCATENATE("WP-BC, column 8, line ",VLOOKUP(A177,'WP-BC'!A180:N515, 2, FALSE))</f>
        <v>WP-BC, column 8, line 10v</v>
      </c>
      <c r="D177" s="775" t="s">
        <v>1933</v>
      </c>
      <c r="E177" s="776"/>
      <c r="F177" s="781"/>
      <c r="G177" s="777">
        <v>358</v>
      </c>
      <c r="H177" s="779"/>
      <c r="I177" s="778" t="s">
        <v>74</v>
      </c>
      <c r="J177" s="779"/>
      <c r="K177" s="1348">
        <f>IFERROR(VLOOKUP(A177,'WP-BC'!A$18:AI$346,10,FALSE),0)</f>
        <v>201783.42642644586</v>
      </c>
      <c r="L177" s="780"/>
      <c r="M177" s="772" t="s">
        <v>227</v>
      </c>
    </row>
    <row r="178" spans="1:13" s="772" customFormat="1" ht="12.75">
      <c r="A178" s="1295" t="str">
        <f t="shared" si="3"/>
        <v>St.  LAWRENCE / FDR358Underground Conductors &amp; Devices</v>
      </c>
      <c r="B178" s="1346" t="s">
        <v>1359</v>
      </c>
      <c r="C178" s="707" t="str">
        <f>CONCATENATE("WP-BC, column 8, line ",VLOOKUP(A178,'WP-BC'!A181:N516, 2, FALSE))</f>
        <v>WP-BC, column 8, line 10as</v>
      </c>
      <c r="D178" s="775" t="s">
        <v>1935</v>
      </c>
      <c r="E178" s="776"/>
      <c r="F178" s="781"/>
      <c r="G178" s="777">
        <v>358</v>
      </c>
      <c r="H178" s="779"/>
      <c r="I178" s="778" t="s">
        <v>74</v>
      </c>
      <c r="J178" s="779"/>
      <c r="K178" s="1348">
        <f>IFERROR(VLOOKUP(A178,'WP-BC'!A$18:AI$346,10,FALSE),0)</f>
        <v>453961.1692380571</v>
      </c>
      <c r="L178" s="780"/>
      <c r="M178" s="772" t="s">
        <v>227</v>
      </c>
    </row>
    <row r="179" spans="1:13" s="772" customFormat="1" ht="12.75">
      <c r="A179" s="1295" t="str">
        <f t="shared" ref="A179:A180" si="5">CONCATENATE(D179,G179,I179)</f>
        <v>358</v>
      </c>
      <c r="B179" s="1346" t="s">
        <v>541</v>
      </c>
      <c r="C179" s="1350"/>
      <c r="D179" s="1350"/>
      <c r="E179" s="776"/>
      <c r="F179" s="776"/>
      <c r="G179" s="777">
        <v>358</v>
      </c>
      <c r="H179" s="777"/>
      <c r="I179" s="1350"/>
      <c r="J179" s="779"/>
      <c r="K179" s="1348">
        <f>IFERROR(VLOOKUP(A179,'WP-BC'!A$18:AI$346,10,FALSE),0)</f>
        <v>0</v>
      </c>
      <c r="L179" s="780"/>
    </row>
    <row r="180" spans="1:13" s="772" customFormat="1" ht="15">
      <c r="A180" s="1295" t="str">
        <f t="shared" si="5"/>
        <v>358</v>
      </c>
      <c r="B180" s="1346" t="s">
        <v>541</v>
      </c>
      <c r="C180" s="1350"/>
      <c r="D180" s="1350"/>
      <c r="E180" s="776"/>
      <c r="F180" s="776"/>
      <c r="G180" s="777">
        <v>358</v>
      </c>
      <c r="H180" s="777"/>
      <c r="I180" s="1350"/>
      <c r="J180" s="779"/>
      <c r="K180" s="1349">
        <f>IFERROR(VLOOKUP(A180,'WP-BC'!A$18:AI$353,10,FALSE),0)</f>
        <v>0</v>
      </c>
      <c r="L180" s="780"/>
    </row>
    <row r="181" spans="1:13" s="772" customFormat="1" ht="12.75">
      <c r="A181" s="1295" t="str">
        <f t="shared" si="3"/>
        <v>358</v>
      </c>
      <c r="B181" s="1346">
        <v>35</v>
      </c>
      <c r="D181" s="1345"/>
      <c r="E181" s="776"/>
      <c r="F181" s="781"/>
      <c r="G181" s="777">
        <v>358</v>
      </c>
      <c r="H181" s="782" t="s">
        <v>277</v>
      </c>
      <c r="I181" s="782"/>
      <c r="J181" s="779"/>
      <c r="K181" s="1354">
        <f>SUM(K176:K180)</f>
        <v>6105865.5956645031</v>
      </c>
      <c r="L181" s="780"/>
    </row>
    <row r="182" spans="1:13" s="772" customFormat="1" ht="12.75">
      <c r="A182" s="1295" t="str">
        <f t="shared" si="3"/>
        <v/>
      </c>
      <c r="B182" s="1346" t="s">
        <v>1225</v>
      </c>
      <c r="D182" s="1345"/>
      <c r="E182" s="776"/>
      <c r="F182" s="781"/>
      <c r="G182" s="777"/>
      <c r="H182" s="779"/>
      <c r="I182" s="779"/>
      <c r="J182" s="779"/>
      <c r="K182" s="1348"/>
      <c r="L182" s="780"/>
    </row>
    <row r="183" spans="1:13" s="772" customFormat="1" ht="12.75">
      <c r="A183" s="1295" t="str">
        <f t="shared" si="3"/>
        <v>BLENHEIM - GILBOA359Roads &amp; Trails</v>
      </c>
      <c r="B183" s="1346" t="s">
        <v>1360</v>
      </c>
      <c r="C183" s="707" t="str">
        <f>CONCATENATE("WP-BC, column 8, line ",VLOOKUP(A183,'WP-BC'!A169:N521, 2, FALSE))</f>
        <v>WP-BC, column 8, line 10f</v>
      </c>
      <c r="D183" s="775" t="s">
        <v>1929</v>
      </c>
      <c r="E183" s="776"/>
      <c r="F183" s="781"/>
      <c r="G183" s="777">
        <v>359</v>
      </c>
      <c r="H183" s="779"/>
      <c r="I183" s="785" t="s">
        <v>75</v>
      </c>
      <c r="J183" s="779"/>
      <c r="K183" s="1348">
        <f>IFERROR(VLOOKUP(A183,'WP-BC'!A$18:AI$346,10,FALSE),0)</f>
        <v>7666.4594072164946</v>
      </c>
      <c r="L183" s="780"/>
      <c r="M183" s="772" t="s">
        <v>227</v>
      </c>
    </row>
    <row r="184" spans="1:13" s="772" customFormat="1" ht="12.75">
      <c r="A184" s="1295" t="str">
        <f t="shared" si="3"/>
        <v>J. A. FITZPATRICK359Roads &amp; Trails</v>
      </c>
      <c r="B184" s="1346" t="s">
        <v>1361</v>
      </c>
      <c r="C184" s="707" t="str">
        <f>CONCATENATE("WP-BC, column 8, line ",VLOOKUP(A184,'WP-BC'!A170:N522, 2, FALSE))</f>
        <v>WP-BC, column 8, line 10k</v>
      </c>
      <c r="D184" s="775" t="s">
        <v>1931</v>
      </c>
      <c r="E184" s="776"/>
      <c r="F184" s="781"/>
      <c r="G184" s="777">
        <v>359</v>
      </c>
      <c r="H184" s="779"/>
      <c r="I184" s="785" t="s">
        <v>75</v>
      </c>
      <c r="J184" s="779"/>
      <c r="K184" s="1348">
        <f>IFERROR(VLOOKUP(A184,'WP-BC'!A$18:AI$346,10,FALSE),0)</f>
        <v>995.89048757021817</v>
      </c>
      <c r="L184" s="780"/>
      <c r="M184" s="772" t="s">
        <v>227</v>
      </c>
    </row>
    <row r="185" spans="1:13" s="772" customFormat="1" ht="12.75">
      <c r="A185" s="1295" t="str">
        <f t="shared" si="3"/>
        <v>MARCY-SOUTH359Roads &amp; Trails</v>
      </c>
      <c r="B185" s="1346" t="s">
        <v>1362</v>
      </c>
      <c r="C185" s="707" t="str">
        <f>CONCATENATE("WP-BC, column 8, line ",VLOOKUP(A185,'WP-BC'!A188:N523, 2, FALSE))</f>
        <v>WP-BC, column 8, line 10w</v>
      </c>
      <c r="D185" s="775" t="s">
        <v>1933</v>
      </c>
      <c r="E185" s="776"/>
      <c r="F185" s="781"/>
      <c r="G185" s="777">
        <v>359</v>
      </c>
      <c r="H185" s="779"/>
      <c r="I185" s="778" t="s">
        <v>75</v>
      </c>
      <c r="J185" s="779"/>
      <c r="K185" s="1348">
        <f>IFERROR(VLOOKUP(A185,'WP-BC'!A$18:AI$346,10,FALSE),0)</f>
        <v>201147</v>
      </c>
      <c r="L185" s="780"/>
      <c r="M185" s="772" t="s">
        <v>227</v>
      </c>
    </row>
    <row r="186" spans="1:13" s="772" customFormat="1" ht="12.75">
      <c r="A186" s="1295" t="str">
        <f t="shared" si="3"/>
        <v>MASSENA - MARCY  (Clark)359Roads &amp; Trails</v>
      </c>
      <c r="B186" s="1346" t="s">
        <v>1363</v>
      </c>
      <c r="C186" s="707" t="str">
        <f>CONCATENATE("WP-BC, column 8, line ",VLOOKUP(A186,'WP-BC'!A189:N524, 2, FALSE))</f>
        <v>WP-BC, column 8, line 10ae</v>
      </c>
      <c r="D186" s="775" t="s">
        <v>1934</v>
      </c>
      <c r="E186" s="776"/>
      <c r="F186" s="781"/>
      <c r="G186" s="777">
        <v>359</v>
      </c>
      <c r="H186" s="779"/>
      <c r="I186" s="778" t="s">
        <v>75</v>
      </c>
      <c r="J186" s="779"/>
      <c r="K186" s="1348">
        <f>IFERROR(VLOOKUP(A186,'WP-BC'!A$18:AI$346,10,FALSE),0)</f>
        <v>37248</v>
      </c>
      <c r="L186" s="780"/>
      <c r="M186" s="772" t="s">
        <v>227</v>
      </c>
    </row>
    <row r="187" spans="1:13" s="772" customFormat="1" ht="12.75">
      <c r="A187" s="1295" t="str">
        <f t="shared" si="3"/>
        <v>NIAGARA359Roads &amp; Trails</v>
      </c>
      <c r="B187" s="1346" t="s">
        <v>1364</v>
      </c>
      <c r="C187" s="707" t="str">
        <f>CONCATENATE("WP-BC, column 8, line ",VLOOKUP(A187,'WP-BC'!A190:N525, 2, FALSE))</f>
        <v>WP-BC, column 8, line 10al</v>
      </c>
      <c r="D187" s="775" t="s">
        <v>30</v>
      </c>
      <c r="E187" s="776"/>
      <c r="F187" s="781"/>
      <c r="G187" s="777">
        <v>359</v>
      </c>
      <c r="H187" s="779"/>
      <c r="I187" s="778" t="s">
        <v>75</v>
      </c>
      <c r="J187" s="779"/>
      <c r="K187" s="1348">
        <f>IFERROR(VLOOKUP(A187,'WP-BC'!A$18:AI$346,10,FALSE),0)</f>
        <v>314.67652968036532</v>
      </c>
      <c r="L187" s="780"/>
      <c r="M187" s="772" t="s">
        <v>227</v>
      </c>
    </row>
    <row r="188" spans="1:13" s="772" customFormat="1" ht="12.75">
      <c r="A188" s="1295" t="str">
        <f t="shared" si="3"/>
        <v>St.  LAWRENCE / FDR359Roads &amp; Trails</v>
      </c>
      <c r="B188" s="1346" t="s">
        <v>1365</v>
      </c>
      <c r="C188" s="707" t="str">
        <f>CONCATENATE("WP-BC, column 8, line ",VLOOKUP(A188,'WP-BC'!A191:N526, 2, FALSE))</f>
        <v>WP-BC, column 8, line 10at</v>
      </c>
      <c r="D188" s="775" t="s">
        <v>1935</v>
      </c>
      <c r="E188" s="776"/>
      <c r="F188" s="781"/>
      <c r="G188" s="777">
        <v>359</v>
      </c>
      <c r="H188" s="779"/>
      <c r="I188" s="778" t="s">
        <v>75</v>
      </c>
      <c r="J188" s="779"/>
      <c r="K188" s="1348">
        <f>IFERROR(VLOOKUP(A188,'WP-BC'!A$18:AI$346,10,FALSE),0)</f>
        <v>3821.2847771550582</v>
      </c>
      <c r="L188" s="780"/>
      <c r="M188" s="772" t="s">
        <v>227</v>
      </c>
    </row>
    <row r="189" spans="1:13" s="772" customFormat="1" ht="12.75">
      <c r="A189" s="1295" t="str">
        <f t="shared" si="3"/>
        <v>359</v>
      </c>
      <c r="B189" s="1346" t="s">
        <v>541</v>
      </c>
      <c r="C189" s="1350"/>
      <c r="D189" s="1350"/>
      <c r="E189" s="776"/>
      <c r="F189" s="776"/>
      <c r="G189" s="777">
        <v>359</v>
      </c>
      <c r="H189" s="777"/>
      <c r="I189" s="1350"/>
      <c r="J189" s="779"/>
      <c r="K189" s="1348">
        <f>IFERROR(VLOOKUP(A189,'WP-BC'!A$18:AI$346,10,FALSE),0)</f>
        <v>0</v>
      </c>
      <c r="L189" s="780"/>
    </row>
    <row r="190" spans="1:13" s="772" customFormat="1" ht="15">
      <c r="A190" s="1295" t="str">
        <f t="shared" si="3"/>
        <v>359</v>
      </c>
      <c r="B190" s="1346" t="s">
        <v>541</v>
      </c>
      <c r="C190" s="1350"/>
      <c r="D190" s="1350"/>
      <c r="E190" s="776"/>
      <c r="F190" s="776"/>
      <c r="G190" s="777">
        <v>359</v>
      </c>
      <c r="H190" s="777"/>
      <c r="I190" s="1350"/>
      <c r="J190" s="779"/>
      <c r="K190" s="1349">
        <f>IFERROR(VLOOKUP(A190,'WP-BC'!A$18:AI$353,10,FALSE),0)</f>
        <v>0</v>
      </c>
      <c r="L190" s="780"/>
    </row>
    <row r="191" spans="1:13" s="772" customFormat="1" ht="12.75">
      <c r="A191" s="1295" t="str">
        <f t="shared" si="3"/>
        <v>359</v>
      </c>
      <c r="B191" s="1346">
        <v>37</v>
      </c>
      <c r="D191" s="771"/>
      <c r="G191" s="777">
        <v>359</v>
      </c>
      <c r="H191" s="782" t="s">
        <v>278</v>
      </c>
      <c r="I191" s="782"/>
      <c r="K191" s="1354">
        <f>SUM(K183:K190)</f>
        <v>251193.31120162216</v>
      </c>
    </row>
    <row r="192" spans="1:13" s="772" customFormat="1" ht="12.75">
      <c r="A192" s="1295" t="str">
        <f t="shared" si="3"/>
        <v/>
      </c>
      <c r="B192" s="1339" t="s">
        <v>1225</v>
      </c>
      <c r="D192" s="771"/>
      <c r="G192" s="777"/>
      <c r="H192" s="779"/>
      <c r="I192" s="779"/>
      <c r="K192" s="1354"/>
    </row>
    <row r="193" spans="1:14" s="772" customFormat="1" ht="15.75">
      <c r="A193" s="1295" t="str">
        <f t="shared" si="3"/>
        <v/>
      </c>
      <c r="B193" s="1346">
        <v>38</v>
      </c>
      <c r="C193" s="770" t="s">
        <v>279</v>
      </c>
      <c r="D193" s="771"/>
      <c r="G193" s="773"/>
      <c r="K193" s="1354">
        <f>K191+K181+K174+K167+K157+K148+K138+K126</f>
        <v>36652396.390000008</v>
      </c>
    </row>
    <row r="194" spans="1:14" s="772" customFormat="1" ht="15.75">
      <c r="A194" s="1294"/>
      <c r="C194" s="770"/>
      <c r="D194" s="771"/>
      <c r="G194" s="773"/>
      <c r="K194" s="1354"/>
    </row>
    <row r="195" spans="1:14" s="82" customFormat="1" ht="15.75">
      <c r="A195" s="1292"/>
      <c r="C195" s="83"/>
      <c r="D195" s="193"/>
      <c r="G195" s="148"/>
      <c r="K195" s="1355"/>
    </row>
    <row r="196" spans="1:14" s="82" customFormat="1" ht="15.75">
      <c r="A196" s="1292"/>
      <c r="C196" s="83"/>
      <c r="D196" s="193"/>
      <c r="G196" s="148"/>
      <c r="K196" s="1355"/>
    </row>
    <row r="197" spans="1:14" s="82" customFormat="1" ht="15.75">
      <c r="A197" s="1292"/>
      <c r="C197" s="83"/>
      <c r="D197" s="193"/>
      <c r="G197" s="148"/>
      <c r="K197" s="1355"/>
    </row>
    <row r="198" spans="1:14" s="82" customFormat="1" ht="15.75">
      <c r="A198" s="1292"/>
      <c r="C198" s="83"/>
      <c r="D198" s="193"/>
      <c r="G198" s="148"/>
      <c r="K198" s="1355"/>
    </row>
    <row r="199" spans="1:14" s="82" customFormat="1" ht="12.75">
      <c r="A199" s="1292"/>
      <c r="D199" s="193"/>
      <c r="G199" s="148"/>
      <c r="K199" s="1356"/>
    </row>
    <row r="200" spans="1:14" s="82" customFormat="1" ht="12.75">
      <c r="A200" s="1292"/>
      <c r="D200" s="193"/>
      <c r="G200" s="148"/>
      <c r="K200" s="1356"/>
    </row>
    <row r="201" spans="1:14" s="82" customFormat="1" ht="12.75">
      <c r="A201" s="1292"/>
      <c r="D201" s="193"/>
      <c r="G201" s="148"/>
      <c r="K201" s="1356"/>
    </row>
    <row r="202" spans="1:14" s="63" customFormat="1" ht="18.75">
      <c r="A202" s="1296"/>
      <c r="D202" s="194"/>
      <c r="E202" s="85"/>
      <c r="F202" s="85"/>
      <c r="G202" s="89"/>
      <c r="H202" s="85"/>
      <c r="I202" s="85"/>
      <c r="J202" s="85"/>
      <c r="K202" s="1357"/>
      <c r="L202" s="85"/>
      <c r="M202" s="85"/>
      <c r="N202" s="85"/>
    </row>
    <row r="203" spans="1:14" s="63" customFormat="1" ht="18.75">
      <c r="A203" s="1296"/>
      <c r="D203" s="194"/>
      <c r="E203" s="85"/>
      <c r="F203" s="85"/>
      <c r="G203" s="89"/>
      <c r="H203" s="85"/>
      <c r="I203" s="85"/>
      <c r="J203" s="85"/>
      <c r="K203" s="1357"/>
      <c r="M203" s="85"/>
      <c r="N203" s="85"/>
    </row>
    <row r="204" spans="1:14" s="63" customFormat="1" ht="18.75">
      <c r="A204" s="1296"/>
      <c r="D204" s="194"/>
      <c r="E204" s="85"/>
      <c r="F204" s="85"/>
      <c r="G204" s="89"/>
      <c r="H204" s="85"/>
      <c r="I204" s="85"/>
      <c r="J204" s="85"/>
      <c r="K204" s="1357"/>
      <c r="M204" s="85"/>
      <c r="N204" s="85"/>
    </row>
    <row r="205" spans="1:14" s="63" customFormat="1" ht="18.75">
      <c r="A205" s="1296"/>
      <c r="D205" s="194"/>
      <c r="E205" s="85"/>
      <c r="F205" s="85"/>
      <c r="G205" s="85"/>
      <c r="H205" s="85"/>
      <c r="I205" s="85"/>
      <c r="J205" s="85"/>
      <c r="K205" s="1357"/>
      <c r="M205" s="89"/>
      <c r="N205" s="85"/>
    </row>
    <row r="206" spans="1:14" s="63" customFormat="1" ht="18.75">
      <c r="A206" s="1296"/>
      <c r="D206" s="194"/>
      <c r="E206" s="85"/>
      <c r="F206" s="85"/>
      <c r="G206" s="85"/>
      <c r="H206" s="85"/>
      <c r="I206" s="85"/>
      <c r="J206" s="85"/>
      <c r="K206" s="1357"/>
      <c r="L206" s="89"/>
      <c r="M206" s="89"/>
      <c r="N206" s="85"/>
    </row>
    <row r="207" spans="1:14" s="63" customFormat="1" ht="18.75">
      <c r="A207" s="1296"/>
      <c r="D207" s="194"/>
      <c r="E207" s="85"/>
      <c r="F207" s="90"/>
      <c r="G207" s="85"/>
      <c r="H207" s="85"/>
      <c r="I207" s="85"/>
      <c r="J207" s="90"/>
      <c r="K207" s="1357"/>
      <c r="L207" s="90"/>
      <c r="M207" s="90"/>
      <c r="N207" s="85"/>
    </row>
    <row r="208" spans="1:14" s="63" customFormat="1" ht="18.75">
      <c r="A208" s="1296"/>
      <c r="D208" s="194"/>
      <c r="E208" s="85"/>
      <c r="F208" s="85"/>
      <c r="G208" s="85"/>
      <c r="H208" s="85"/>
      <c r="I208" s="85"/>
      <c r="J208" s="89"/>
      <c r="K208" s="1357"/>
      <c r="L208" s="89"/>
      <c r="M208" s="89"/>
      <c r="N208" s="85"/>
    </row>
    <row r="209" spans="1:14" s="63" customFormat="1" ht="18.75">
      <c r="A209" s="1296"/>
      <c r="D209" s="194"/>
      <c r="E209" s="85"/>
      <c r="F209" s="85"/>
      <c r="G209" s="85"/>
      <c r="H209" s="85"/>
      <c r="I209" s="85"/>
      <c r="J209" s="89"/>
      <c r="K209" s="1357"/>
      <c r="L209" s="89"/>
      <c r="M209" s="89"/>
      <c r="N209" s="85"/>
    </row>
    <row r="210" spans="1:14" s="63" customFormat="1" ht="18.75">
      <c r="A210" s="1296"/>
      <c r="D210" s="195"/>
      <c r="E210" s="86"/>
      <c r="F210" s="86"/>
      <c r="G210" s="85"/>
      <c r="H210" s="85"/>
      <c r="I210" s="85"/>
      <c r="J210" s="91"/>
      <c r="K210" s="1357"/>
      <c r="L210" s="85"/>
      <c r="M210" s="85"/>
      <c r="N210" s="85"/>
    </row>
    <row r="211" spans="1:14" s="63" customFormat="1" ht="18.75">
      <c r="A211" s="1296"/>
      <c r="D211" s="195"/>
      <c r="E211" s="86"/>
      <c r="F211" s="86"/>
      <c r="G211" s="85"/>
      <c r="H211" s="85"/>
      <c r="I211" s="85"/>
      <c r="J211" s="91"/>
      <c r="K211" s="1357"/>
      <c r="L211" s="85"/>
      <c r="M211" s="85"/>
      <c r="N211" s="85"/>
    </row>
    <row r="212" spans="1:14" s="63" customFormat="1" ht="18.75">
      <c r="A212" s="1296"/>
      <c r="D212" s="195"/>
      <c r="E212" s="86"/>
      <c r="F212" s="86"/>
      <c r="G212" s="85"/>
      <c r="H212" s="85"/>
      <c r="I212" s="85"/>
      <c r="J212" s="87"/>
      <c r="K212" s="1357"/>
      <c r="L212" s="85"/>
      <c r="M212" s="85"/>
      <c r="N212" s="85"/>
    </row>
    <row r="213" spans="1:14" s="63" customFormat="1" ht="18.75">
      <c r="A213" s="1296"/>
      <c r="D213" s="195"/>
      <c r="E213" s="86"/>
      <c r="F213" s="86"/>
      <c r="G213" s="85"/>
      <c r="H213" s="85"/>
      <c r="I213" s="85"/>
      <c r="J213" s="91"/>
      <c r="K213" s="1357"/>
      <c r="L213" s="85"/>
      <c r="M213" s="85"/>
      <c r="N213" s="85"/>
    </row>
    <row r="214" spans="1:14" s="63" customFormat="1" ht="18.75">
      <c r="A214" s="1296"/>
      <c r="D214" s="195"/>
      <c r="E214" s="86"/>
      <c r="F214" s="86"/>
      <c r="G214" s="85"/>
      <c r="H214" s="85"/>
      <c r="I214" s="85"/>
      <c r="J214" s="91"/>
      <c r="K214" s="1357"/>
      <c r="L214" s="85"/>
      <c r="M214" s="85"/>
      <c r="N214" s="85"/>
    </row>
    <row r="215" spans="1:14" s="63" customFormat="1" ht="18.75">
      <c r="A215" s="1296"/>
      <c r="D215" s="195"/>
      <c r="E215" s="86"/>
      <c r="F215" s="86"/>
      <c r="G215" s="85"/>
      <c r="H215" s="85"/>
      <c r="I215" s="88"/>
      <c r="J215" s="92"/>
      <c r="K215" s="1357"/>
      <c r="L215" s="85"/>
      <c r="M215" s="85"/>
      <c r="N215" s="85"/>
    </row>
    <row r="216" spans="1:14" s="63" customFormat="1" ht="18.75">
      <c r="A216" s="1296"/>
      <c r="D216" s="195"/>
      <c r="E216" s="86"/>
      <c r="F216" s="86"/>
      <c r="G216" s="85"/>
      <c r="H216" s="85"/>
      <c r="I216" s="85"/>
      <c r="J216" s="91"/>
      <c r="K216" s="1357"/>
      <c r="L216" s="85"/>
      <c r="M216" s="85"/>
      <c r="N216" s="85"/>
    </row>
    <row r="217" spans="1:14" s="63" customFormat="1" ht="18.75">
      <c r="A217" s="1296"/>
      <c r="D217" s="195"/>
      <c r="E217" s="86"/>
      <c r="F217" s="86"/>
      <c r="G217" s="85"/>
      <c r="H217" s="85"/>
      <c r="I217" s="85"/>
      <c r="J217" s="91"/>
      <c r="K217" s="1357"/>
      <c r="L217" s="85"/>
      <c r="M217" s="85"/>
      <c r="N217" s="85"/>
    </row>
    <row r="218" spans="1:14" s="63" customFormat="1" ht="18.75">
      <c r="A218" s="1296"/>
      <c r="D218" s="195"/>
      <c r="E218" s="86"/>
      <c r="F218" s="86"/>
      <c r="G218" s="85"/>
      <c r="H218" s="85"/>
      <c r="I218" s="85"/>
      <c r="J218" s="91"/>
      <c r="K218" s="1357"/>
      <c r="L218" s="85"/>
      <c r="M218" s="85"/>
      <c r="N218" s="85"/>
    </row>
    <row r="219" spans="1:14" ht="18">
      <c r="D219" s="196"/>
      <c r="E219" s="18"/>
      <c r="F219" s="28"/>
      <c r="G219" s="11"/>
      <c r="H219" s="11"/>
      <c r="I219" s="16"/>
      <c r="J219" s="16"/>
      <c r="K219" s="1358"/>
      <c r="L219" s="11"/>
      <c r="M219" s="11"/>
      <c r="N219" s="11"/>
    </row>
    <row r="220" spans="1:14" ht="18">
      <c r="D220" s="196"/>
      <c r="E220" s="18"/>
      <c r="F220" s="11"/>
      <c r="G220" s="11"/>
      <c r="H220" s="11"/>
      <c r="I220" s="11"/>
      <c r="J220" s="16"/>
      <c r="K220" s="1358"/>
      <c r="L220" s="11"/>
      <c r="M220" s="11"/>
      <c r="N220" s="11"/>
    </row>
    <row r="221" spans="1:14" ht="18">
      <c r="D221" s="189"/>
      <c r="E221" s="11"/>
      <c r="F221" s="11"/>
      <c r="G221" s="11"/>
      <c r="H221" s="11"/>
      <c r="I221" s="32"/>
      <c r="J221" s="32"/>
      <c r="K221" s="1358"/>
      <c r="L221" s="11"/>
      <c r="M221" s="11"/>
      <c r="N221" s="11"/>
    </row>
    <row r="222" spans="1:14" ht="18">
      <c r="D222" s="189"/>
      <c r="E222" s="11"/>
      <c r="F222" s="11"/>
      <c r="G222" s="11"/>
      <c r="H222" s="11"/>
      <c r="I222" s="32"/>
      <c r="J222" s="30"/>
      <c r="K222" s="200"/>
      <c r="L222" s="11"/>
      <c r="M222" s="11"/>
      <c r="N222" s="11"/>
    </row>
    <row r="223" spans="1:14" ht="18">
      <c r="D223" s="189"/>
      <c r="E223" s="11"/>
      <c r="F223" s="11"/>
      <c r="G223" s="11"/>
      <c r="H223" s="11"/>
      <c r="I223" s="32"/>
      <c r="J223" s="31"/>
      <c r="K223" s="200"/>
      <c r="L223" s="11"/>
      <c r="M223" s="11"/>
      <c r="N223" s="11"/>
    </row>
    <row r="224" spans="1:14" ht="18">
      <c r="D224" s="189"/>
      <c r="E224" s="11"/>
      <c r="F224" s="11"/>
      <c r="G224" s="11"/>
      <c r="H224" s="11"/>
      <c r="I224" s="11"/>
      <c r="J224" s="11"/>
      <c r="K224" s="200"/>
      <c r="L224" s="11"/>
      <c r="M224" s="11"/>
      <c r="N224" s="11"/>
    </row>
    <row r="225" spans="4:14" ht="18">
      <c r="D225" s="189"/>
      <c r="E225" s="11"/>
      <c r="F225" s="742"/>
      <c r="G225" s="11"/>
      <c r="H225" s="11"/>
      <c r="I225" s="11"/>
      <c r="J225" s="16"/>
      <c r="K225" s="200"/>
      <c r="L225" s="19"/>
      <c r="M225" s="16"/>
      <c r="N225" s="12"/>
    </row>
    <row r="226" spans="4:14" ht="18">
      <c r="D226" s="189"/>
      <c r="E226" s="11"/>
      <c r="F226" s="11"/>
      <c r="G226" s="11"/>
      <c r="H226" s="11"/>
      <c r="I226" s="11"/>
      <c r="J226" s="11"/>
      <c r="K226" s="200"/>
      <c r="L226" s="11"/>
      <c r="M226" s="11"/>
      <c r="N226" s="11"/>
    </row>
    <row r="227" spans="4:14" ht="18">
      <c r="D227" s="189"/>
      <c r="E227" s="11"/>
      <c r="F227" s="11"/>
      <c r="G227" s="11"/>
      <c r="H227" s="11"/>
      <c r="I227" s="11"/>
      <c r="J227" s="11"/>
      <c r="K227" s="200"/>
      <c r="L227" s="11"/>
      <c r="M227" s="11"/>
      <c r="N227" s="11"/>
    </row>
    <row r="228" spans="4:14" ht="18">
      <c r="D228" s="189"/>
      <c r="E228" s="11"/>
      <c r="F228" s="11"/>
      <c r="G228" s="11"/>
      <c r="H228" s="11"/>
      <c r="I228" s="11"/>
      <c r="J228" s="11"/>
      <c r="K228" s="200"/>
      <c r="L228" s="11"/>
      <c r="M228" s="11"/>
      <c r="N228" s="11"/>
    </row>
    <row r="229" spans="4:14" ht="18">
      <c r="D229" s="197"/>
      <c r="E229" s="12"/>
      <c r="F229" s="12"/>
      <c r="G229" s="12"/>
      <c r="H229" s="12"/>
      <c r="I229" s="11"/>
      <c r="J229" s="11"/>
      <c r="K229" s="200"/>
      <c r="L229" s="11"/>
      <c r="M229" s="11"/>
      <c r="N229" s="11"/>
    </row>
    <row r="230" spans="4:14" ht="18">
      <c r="D230" s="198"/>
      <c r="E230" s="50"/>
      <c r="F230" s="50"/>
      <c r="G230" s="12"/>
      <c r="H230" s="12"/>
      <c r="I230" s="11"/>
      <c r="J230" s="15"/>
      <c r="K230" s="200"/>
      <c r="L230" s="11"/>
      <c r="M230" s="11"/>
      <c r="N230" s="11"/>
    </row>
    <row r="231" spans="4:14" ht="18">
      <c r="D231" s="189"/>
      <c r="E231" s="11"/>
      <c r="F231" s="11"/>
      <c r="G231" s="11"/>
      <c r="H231" s="11"/>
      <c r="I231" s="11"/>
      <c r="J231" s="11"/>
      <c r="K231" s="200"/>
      <c r="L231" s="11"/>
      <c r="M231" s="11"/>
      <c r="N231" s="11"/>
    </row>
    <row r="232" spans="4:14" ht="18">
      <c r="D232" s="189"/>
      <c r="E232" s="11"/>
      <c r="F232" s="11"/>
      <c r="G232" s="11"/>
      <c r="H232" s="11"/>
      <c r="I232" s="11"/>
      <c r="J232" s="11"/>
      <c r="K232" s="200"/>
      <c r="L232" s="11"/>
      <c r="M232" s="11"/>
      <c r="N232" s="11"/>
    </row>
    <row r="233" spans="4:14" ht="18">
      <c r="D233" s="189"/>
      <c r="E233" s="11"/>
      <c r="F233" s="11"/>
      <c r="G233" s="11"/>
      <c r="H233" s="11"/>
      <c r="I233" s="11"/>
      <c r="J233" s="11"/>
      <c r="K233" s="200"/>
      <c r="L233" s="11"/>
      <c r="M233" s="11"/>
      <c r="N233" s="11"/>
    </row>
    <row r="234" spans="4:14" ht="18">
      <c r="D234" s="189"/>
      <c r="E234" s="11"/>
      <c r="F234" s="11"/>
      <c r="G234" s="11"/>
      <c r="H234" s="11"/>
      <c r="I234" s="11"/>
      <c r="J234" s="11"/>
      <c r="K234" s="200"/>
      <c r="L234" s="11"/>
      <c r="M234" s="11"/>
      <c r="N234" s="11"/>
    </row>
  </sheetData>
  <customSheetViews>
    <customSheetView guid="{B321D76C-CDE5-48BB-9CDE-80FF97D58FCF}" scale="85" colorId="22" showPageBreaks="1" showGridLines="0" printArea="1" hiddenColumns="1" view="pageBreakPreview" topLeftCell="B163">
      <selection activeCell="D33" sqref="D33"/>
      <rowBreaks count="1" manualBreakCount="1">
        <brk id="105" min="1" max="13" man="1"/>
      </rowBreaks>
      <colBreaks count="1" manualBreakCount="1">
        <brk id="17" max="1048575" man="1"/>
      </colBreaks>
      <pageMargins left="0.5" right="0.5" top="0.25" bottom="0.25" header="0" footer="0"/>
      <printOptions horizontalCentered="1"/>
      <pageSetup scale="50" orientation="portrait" r:id="rId1"/>
      <headerFooter alignWithMargins="0"/>
    </customSheetView>
  </customSheetViews>
  <mergeCells count="6">
    <mergeCell ref="B7:N7"/>
    <mergeCell ref="B10:N10"/>
    <mergeCell ref="B3:N3"/>
    <mergeCell ref="B4:N4"/>
    <mergeCell ref="B8:N8"/>
    <mergeCell ref="B5:N5"/>
  </mergeCells>
  <printOptions horizontalCentered="1"/>
  <pageMargins left="0.5" right="0.5" top="0.25" bottom="0.25" header="0" footer="0"/>
  <pageSetup scale="50" orientation="portrait" r:id="rId2"/>
  <headerFooter alignWithMargins="0"/>
  <rowBreaks count="1" manualBreakCount="1">
    <brk id="113" min="1" max="13" man="1"/>
  </rowBreaks>
  <colBreaks count="1" manualBreakCount="1">
    <brk id="17" max="1048575" man="1"/>
  </colBreak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pageSetUpPr fitToPage="1"/>
  </sheetPr>
  <dimension ref="A1:Y147"/>
  <sheetViews>
    <sheetView tabSelected="1" view="pageBreakPreview" topLeftCell="E1" zoomScale="70" zoomScaleNormal="100" zoomScaleSheetLayoutView="70" workbookViewId="0">
      <selection activeCell="C30" sqref="C30"/>
    </sheetView>
  </sheetViews>
  <sheetFormatPr defaultColWidth="19.375" defaultRowHeight="15.75"/>
  <cols>
    <col min="1" max="1" width="7.25" style="392" hidden="1" customWidth="1"/>
    <col min="2" max="2" width="10.875" style="392" hidden="1" customWidth="1"/>
    <col min="3" max="3" width="9.75" style="393" hidden="1" customWidth="1"/>
    <col min="4" max="4" width="19.625" style="393" hidden="1" customWidth="1"/>
    <col min="5" max="5" width="10.25" style="397" customWidth="1"/>
    <col min="6" max="6" width="22.125" style="397" customWidth="1"/>
    <col min="7" max="7" width="5.75" style="397" customWidth="1"/>
    <col min="8" max="8" width="33.5" style="1306" bestFit="1" customWidth="1"/>
    <col min="9" max="9" width="43.375" style="392" customWidth="1"/>
    <col min="10" max="10" width="2.25" style="392" customWidth="1"/>
    <col min="11" max="11" width="29.125" style="392" customWidth="1"/>
    <col min="12" max="12" width="21" style="392" bestFit="1" customWidth="1"/>
    <col min="13" max="13" width="20.25" style="392" bestFit="1" customWidth="1"/>
    <col min="14" max="14" width="17.5" style="392" customWidth="1"/>
    <col min="15" max="15" width="16.375" style="392" bestFit="1" customWidth="1"/>
    <col min="16" max="16" width="20.75" style="392" customWidth="1"/>
    <col min="17" max="17" width="20.25" style="392" bestFit="1" customWidth="1"/>
    <col min="18" max="18" width="17.5" style="146" customWidth="1"/>
    <col min="19" max="19" width="19.375" style="144" hidden="1" customWidth="1"/>
    <col min="20" max="20" width="2.25" style="144" hidden="1" customWidth="1"/>
    <col min="21" max="21" width="19.375" style="144" hidden="1" customWidth="1"/>
    <col min="22" max="22" width="2.25" style="144" hidden="1" customWidth="1"/>
    <col min="23" max="24" width="19.375" style="144" hidden="1" customWidth="1"/>
    <col min="25" max="248" width="19.375" style="144"/>
    <col min="249" max="249" width="6.5" style="144" customWidth="1"/>
    <col min="250" max="250" width="10.5" style="144" customWidth="1"/>
    <col min="251" max="251" width="6.25" style="144" customWidth="1"/>
    <col min="252" max="252" width="35.5" style="144" customWidth="1"/>
    <col min="253" max="253" width="4.75" style="144" customWidth="1"/>
    <col min="254" max="254" width="39" style="144" customWidth="1"/>
    <col min="255" max="255" width="5" style="144" customWidth="1"/>
    <col min="256" max="256" width="19.375" style="144" customWidth="1"/>
    <col min="257" max="257" width="2.375" style="144" customWidth="1"/>
    <col min="258" max="258" width="19.375" style="144" customWidth="1"/>
    <col min="259" max="259" width="2.375" style="144" customWidth="1"/>
    <col min="260" max="260" width="19.375" style="144" customWidth="1"/>
    <col min="261" max="261" width="19.375" style="144"/>
    <col min="262" max="262" width="6.5" style="144" customWidth="1"/>
    <col min="263" max="263" width="19.375" style="144" customWidth="1"/>
    <col min="264" max="264" width="2.375" style="144" customWidth="1"/>
    <col min="265" max="265" width="19.375" style="144" customWidth="1"/>
    <col min="266" max="266" width="2.375" style="144" customWidth="1"/>
    <col min="267" max="267" width="19.375" style="144"/>
    <col min="268" max="268" width="6.5" style="144" customWidth="1"/>
    <col min="269" max="269" width="19.375" style="144" customWidth="1"/>
    <col min="270" max="270" width="2.375" style="144" customWidth="1"/>
    <col min="271" max="271" width="19.375" style="144" customWidth="1"/>
    <col min="272" max="272" width="2.375" style="144" customWidth="1"/>
    <col min="273" max="273" width="19.375" style="144" customWidth="1"/>
    <col min="274" max="274" width="6.375" style="144" customWidth="1"/>
    <col min="275" max="275" width="19.375" style="144" customWidth="1"/>
    <col min="276" max="276" width="2.25" style="144" customWidth="1"/>
    <col min="277" max="277" width="19.375" style="144"/>
    <col min="278" max="278" width="2.25" style="144" customWidth="1"/>
    <col min="279" max="504" width="19.375" style="144"/>
    <col min="505" max="505" width="6.5" style="144" customWidth="1"/>
    <col min="506" max="506" width="10.5" style="144" customWidth="1"/>
    <col min="507" max="507" width="6.25" style="144" customWidth="1"/>
    <col min="508" max="508" width="35.5" style="144" customWidth="1"/>
    <col min="509" max="509" width="4.75" style="144" customWidth="1"/>
    <col min="510" max="510" width="39" style="144" customWidth="1"/>
    <col min="511" max="511" width="5" style="144" customWidth="1"/>
    <col min="512" max="512" width="19.375" style="144" customWidth="1"/>
    <col min="513" max="513" width="2.375" style="144" customWidth="1"/>
    <col min="514" max="514" width="19.375" style="144" customWidth="1"/>
    <col min="515" max="515" width="2.375" style="144" customWidth="1"/>
    <col min="516" max="516" width="19.375" style="144" customWidth="1"/>
    <col min="517" max="517" width="19.375" style="144"/>
    <col min="518" max="518" width="6.5" style="144" customWidth="1"/>
    <col min="519" max="519" width="19.375" style="144" customWidth="1"/>
    <col min="520" max="520" width="2.375" style="144" customWidth="1"/>
    <col min="521" max="521" width="19.375" style="144" customWidth="1"/>
    <col min="522" max="522" width="2.375" style="144" customWidth="1"/>
    <col min="523" max="523" width="19.375" style="144"/>
    <col min="524" max="524" width="6.5" style="144" customWidth="1"/>
    <col min="525" max="525" width="19.375" style="144" customWidth="1"/>
    <col min="526" max="526" width="2.375" style="144" customWidth="1"/>
    <col min="527" max="527" width="19.375" style="144" customWidth="1"/>
    <col min="528" max="528" width="2.375" style="144" customWidth="1"/>
    <col min="529" max="529" width="19.375" style="144" customWidth="1"/>
    <col min="530" max="530" width="6.375" style="144" customWidth="1"/>
    <col min="531" max="531" width="19.375" style="144" customWidth="1"/>
    <col min="532" max="532" width="2.25" style="144" customWidth="1"/>
    <col min="533" max="533" width="19.375" style="144"/>
    <col min="534" max="534" width="2.25" style="144" customWidth="1"/>
    <col min="535" max="760" width="19.375" style="144"/>
    <col min="761" max="761" width="6.5" style="144" customWidth="1"/>
    <col min="762" max="762" width="10.5" style="144" customWidth="1"/>
    <col min="763" max="763" width="6.25" style="144" customWidth="1"/>
    <col min="764" max="764" width="35.5" style="144" customWidth="1"/>
    <col min="765" max="765" width="4.75" style="144" customWidth="1"/>
    <col min="766" max="766" width="39" style="144" customWidth="1"/>
    <col min="767" max="767" width="5" style="144" customWidth="1"/>
    <col min="768" max="768" width="19.375" style="144" customWidth="1"/>
    <col min="769" max="769" width="2.375" style="144" customWidth="1"/>
    <col min="770" max="770" width="19.375" style="144" customWidth="1"/>
    <col min="771" max="771" width="2.375" style="144" customWidth="1"/>
    <col min="772" max="772" width="19.375" style="144" customWidth="1"/>
    <col min="773" max="773" width="19.375" style="144"/>
    <col min="774" max="774" width="6.5" style="144" customWidth="1"/>
    <col min="775" max="775" width="19.375" style="144" customWidth="1"/>
    <col min="776" max="776" width="2.375" style="144" customWidth="1"/>
    <col min="777" max="777" width="19.375" style="144" customWidth="1"/>
    <col min="778" max="778" width="2.375" style="144" customWidth="1"/>
    <col min="779" max="779" width="19.375" style="144"/>
    <col min="780" max="780" width="6.5" style="144" customWidth="1"/>
    <col min="781" max="781" width="19.375" style="144" customWidth="1"/>
    <col min="782" max="782" width="2.375" style="144" customWidth="1"/>
    <col min="783" max="783" width="19.375" style="144" customWidth="1"/>
    <col min="784" max="784" width="2.375" style="144" customWidth="1"/>
    <col min="785" max="785" width="19.375" style="144" customWidth="1"/>
    <col min="786" max="786" width="6.375" style="144" customWidth="1"/>
    <col min="787" max="787" width="19.375" style="144" customWidth="1"/>
    <col min="788" max="788" width="2.25" style="144" customWidth="1"/>
    <col min="789" max="789" width="19.375" style="144"/>
    <col min="790" max="790" width="2.25" style="144" customWidth="1"/>
    <col min="791" max="1016" width="19.375" style="144"/>
    <col min="1017" max="1017" width="6.5" style="144" customWidth="1"/>
    <col min="1018" max="1018" width="10.5" style="144" customWidth="1"/>
    <col min="1019" max="1019" width="6.25" style="144" customWidth="1"/>
    <col min="1020" max="1020" width="35.5" style="144" customWidth="1"/>
    <col min="1021" max="1021" width="4.75" style="144" customWidth="1"/>
    <col min="1022" max="1022" width="39" style="144" customWidth="1"/>
    <col min="1023" max="1023" width="5" style="144" customWidth="1"/>
    <col min="1024" max="1024" width="19.375" style="144" customWidth="1"/>
    <col min="1025" max="1025" width="2.375" style="144" customWidth="1"/>
    <col min="1026" max="1026" width="19.375" style="144" customWidth="1"/>
    <col min="1027" max="1027" width="2.375" style="144" customWidth="1"/>
    <col min="1028" max="1028" width="19.375" style="144" customWidth="1"/>
    <col min="1029" max="1029" width="19.375" style="144"/>
    <col min="1030" max="1030" width="6.5" style="144" customWidth="1"/>
    <col min="1031" max="1031" width="19.375" style="144" customWidth="1"/>
    <col min="1032" max="1032" width="2.375" style="144" customWidth="1"/>
    <col min="1033" max="1033" width="19.375" style="144" customWidth="1"/>
    <col min="1034" max="1034" width="2.375" style="144" customWidth="1"/>
    <col min="1035" max="1035" width="19.375" style="144"/>
    <col min="1036" max="1036" width="6.5" style="144" customWidth="1"/>
    <col min="1037" max="1037" width="19.375" style="144" customWidth="1"/>
    <col min="1038" max="1038" width="2.375" style="144" customWidth="1"/>
    <col min="1039" max="1039" width="19.375" style="144" customWidth="1"/>
    <col min="1040" max="1040" width="2.375" style="144" customWidth="1"/>
    <col min="1041" max="1041" width="19.375" style="144" customWidth="1"/>
    <col min="1042" max="1042" width="6.375" style="144" customWidth="1"/>
    <col min="1043" max="1043" width="19.375" style="144" customWidth="1"/>
    <col min="1044" max="1044" width="2.25" style="144" customWidth="1"/>
    <col min="1045" max="1045" width="19.375" style="144"/>
    <col min="1046" max="1046" width="2.25" style="144" customWidth="1"/>
    <col min="1047" max="1272" width="19.375" style="144"/>
    <col min="1273" max="1273" width="6.5" style="144" customWidth="1"/>
    <col min="1274" max="1274" width="10.5" style="144" customWidth="1"/>
    <col min="1275" max="1275" width="6.25" style="144" customWidth="1"/>
    <col min="1276" max="1276" width="35.5" style="144" customWidth="1"/>
    <col min="1277" max="1277" width="4.75" style="144" customWidth="1"/>
    <col min="1278" max="1278" width="39" style="144" customWidth="1"/>
    <col min="1279" max="1279" width="5" style="144" customWidth="1"/>
    <col min="1280" max="1280" width="19.375" style="144" customWidth="1"/>
    <col min="1281" max="1281" width="2.375" style="144" customWidth="1"/>
    <col min="1282" max="1282" width="19.375" style="144" customWidth="1"/>
    <col min="1283" max="1283" width="2.375" style="144" customWidth="1"/>
    <col min="1284" max="1284" width="19.375" style="144" customWidth="1"/>
    <col min="1285" max="1285" width="19.375" style="144"/>
    <col min="1286" max="1286" width="6.5" style="144" customWidth="1"/>
    <col min="1287" max="1287" width="19.375" style="144" customWidth="1"/>
    <col min="1288" max="1288" width="2.375" style="144" customWidth="1"/>
    <col min="1289" max="1289" width="19.375" style="144" customWidth="1"/>
    <col min="1290" max="1290" width="2.375" style="144" customWidth="1"/>
    <col min="1291" max="1291" width="19.375" style="144"/>
    <col min="1292" max="1292" width="6.5" style="144" customWidth="1"/>
    <col min="1293" max="1293" width="19.375" style="144" customWidth="1"/>
    <col min="1294" max="1294" width="2.375" style="144" customWidth="1"/>
    <col min="1295" max="1295" width="19.375" style="144" customWidth="1"/>
    <col min="1296" max="1296" width="2.375" style="144" customWidth="1"/>
    <col min="1297" max="1297" width="19.375" style="144" customWidth="1"/>
    <col min="1298" max="1298" width="6.375" style="144" customWidth="1"/>
    <col min="1299" max="1299" width="19.375" style="144" customWidth="1"/>
    <col min="1300" max="1300" width="2.25" style="144" customWidth="1"/>
    <col min="1301" max="1301" width="19.375" style="144"/>
    <col min="1302" max="1302" width="2.25" style="144" customWidth="1"/>
    <col min="1303" max="1528" width="19.375" style="144"/>
    <col min="1529" max="1529" width="6.5" style="144" customWidth="1"/>
    <col min="1530" max="1530" width="10.5" style="144" customWidth="1"/>
    <col min="1531" max="1531" width="6.25" style="144" customWidth="1"/>
    <col min="1532" max="1532" width="35.5" style="144" customWidth="1"/>
    <col min="1533" max="1533" width="4.75" style="144" customWidth="1"/>
    <col min="1534" max="1534" width="39" style="144" customWidth="1"/>
    <col min="1535" max="1535" width="5" style="144" customWidth="1"/>
    <col min="1536" max="1536" width="19.375" style="144" customWidth="1"/>
    <col min="1537" max="1537" width="2.375" style="144" customWidth="1"/>
    <col min="1538" max="1538" width="19.375" style="144" customWidth="1"/>
    <col min="1539" max="1539" width="2.375" style="144" customWidth="1"/>
    <col min="1540" max="1540" width="19.375" style="144" customWidth="1"/>
    <col min="1541" max="1541" width="19.375" style="144"/>
    <col min="1542" max="1542" width="6.5" style="144" customWidth="1"/>
    <col min="1543" max="1543" width="19.375" style="144" customWidth="1"/>
    <col min="1544" max="1544" width="2.375" style="144" customWidth="1"/>
    <col min="1545" max="1545" width="19.375" style="144" customWidth="1"/>
    <col min="1546" max="1546" width="2.375" style="144" customWidth="1"/>
    <col min="1547" max="1547" width="19.375" style="144"/>
    <col min="1548" max="1548" width="6.5" style="144" customWidth="1"/>
    <col min="1549" max="1549" width="19.375" style="144" customWidth="1"/>
    <col min="1550" max="1550" width="2.375" style="144" customWidth="1"/>
    <col min="1551" max="1551" width="19.375" style="144" customWidth="1"/>
    <col min="1552" max="1552" width="2.375" style="144" customWidth="1"/>
    <col min="1553" max="1553" width="19.375" style="144" customWidth="1"/>
    <col min="1554" max="1554" width="6.375" style="144" customWidth="1"/>
    <col min="1555" max="1555" width="19.375" style="144" customWidth="1"/>
    <col min="1556" max="1556" width="2.25" style="144" customWidth="1"/>
    <col min="1557" max="1557" width="19.375" style="144"/>
    <col min="1558" max="1558" width="2.25" style="144" customWidth="1"/>
    <col min="1559" max="1784" width="19.375" style="144"/>
    <col min="1785" max="1785" width="6.5" style="144" customWidth="1"/>
    <col min="1786" max="1786" width="10.5" style="144" customWidth="1"/>
    <col min="1787" max="1787" width="6.25" style="144" customWidth="1"/>
    <col min="1788" max="1788" width="35.5" style="144" customWidth="1"/>
    <col min="1789" max="1789" width="4.75" style="144" customWidth="1"/>
    <col min="1790" max="1790" width="39" style="144" customWidth="1"/>
    <col min="1791" max="1791" width="5" style="144" customWidth="1"/>
    <col min="1792" max="1792" width="19.375" style="144" customWidth="1"/>
    <col min="1793" max="1793" width="2.375" style="144" customWidth="1"/>
    <col min="1794" max="1794" width="19.375" style="144" customWidth="1"/>
    <col min="1795" max="1795" width="2.375" style="144" customWidth="1"/>
    <col min="1796" max="1796" width="19.375" style="144" customWidth="1"/>
    <col min="1797" max="1797" width="19.375" style="144"/>
    <col min="1798" max="1798" width="6.5" style="144" customWidth="1"/>
    <col min="1799" max="1799" width="19.375" style="144" customWidth="1"/>
    <col min="1800" max="1800" width="2.375" style="144" customWidth="1"/>
    <col min="1801" max="1801" width="19.375" style="144" customWidth="1"/>
    <col min="1802" max="1802" width="2.375" style="144" customWidth="1"/>
    <col min="1803" max="1803" width="19.375" style="144"/>
    <col min="1804" max="1804" width="6.5" style="144" customWidth="1"/>
    <col min="1805" max="1805" width="19.375" style="144" customWidth="1"/>
    <col min="1806" max="1806" width="2.375" style="144" customWidth="1"/>
    <col min="1807" max="1807" width="19.375" style="144" customWidth="1"/>
    <col min="1808" max="1808" width="2.375" style="144" customWidth="1"/>
    <col min="1809" max="1809" width="19.375" style="144" customWidth="1"/>
    <col min="1810" max="1810" width="6.375" style="144" customWidth="1"/>
    <col min="1811" max="1811" width="19.375" style="144" customWidth="1"/>
    <col min="1812" max="1812" width="2.25" style="144" customWidth="1"/>
    <col min="1813" max="1813" width="19.375" style="144"/>
    <col min="1814" max="1814" width="2.25" style="144" customWidth="1"/>
    <col min="1815" max="2040" width="19.375" style="144"/>
    <col min="2041" max="2041" width="6.5" style="144" customWidth="1"/>
    <col min="2042" max="2042" width="10.5" style="144" customWidth="1"/>
    <col min="2043" max="2043" width="6.25" style="144" customWidth="1"/>
    <col min="2044" max="2044" width="35.5" style="144" customWidth="1"/>
    <col min="2045" max="2045" width="4.75" style="144" customWidth="1"/>
    <col min="2046" max="2046" width="39" style="144" customWidth="1"/>
    <col min="2047" max="2047" width="5" style="144" customWidth="1"/>
    <col min="2048" max="2048" width="19.375" style="144" customWidth="1"/>
    <col min="2049" max="2049" width="2.375" style="144" customWidth="1"/>
    <col min="2050" max="2050" width="19.375" style="144" customWidth="1"/>
    <col min="2051" max="2051" width="2.375" style="144" customWidth="1"/>
    <col min="2052" max="2052" width="19.375" style="144" customWidth="1"/>
    <col min="2053" max="2053" width="19.375" style="144"/>
    <col min="2054" max="2054" width="6.5" style="144" customWidth="1"/>
    <col min="2055" max="2055" width="19.375" style="144" customWidth="1"/>
    <col min="2056" max="2056" width="2.375" style="144" customWidth="1"/>
    <col min="2057" max="2057" width="19.375" style="144" customWidth="1"/>
    <col min="2058" max="2058" width="2.375" style="144" customWidth="1"/>
    <col min="2059" max="2059" width="19.375" style="144"/>
    <col min="2060" max="2060" width="6.5" style="144" customWidth="1"/>
    <col min="2061" max="2061" width="19.375" style="144" customWidth="1"/>
    <col min="2062" max="2062" width="2.375" style="144" customWidth="1"/>
    <col min="2063" max="2063" width="19.375" style="144" customWidth="1"/>
    <col min="2064" max="2064" width="2.375" style="144" customWidth="1"/>
    <col min="2065" max="2065" width="19.375" style="144" customWidth="1"/>
    <col min="2066" max="2066" width="6.375" style="144" customWidth="1"/>
    <col min="2067" max="2067" width="19.375" style="144" customWidth="1"/>
    <col min="2068" max="2068" width="2.25" style="144" customWidth="1"/>
    <col min="2069" max="2069" width="19.375" style="144"/>
    <col min="2070" max="2070" width="2.25" style="144" customWidth="1"/>
    <col min="2071" max="2296" width="19.375" style="144"/>
    <col min="2297" max="2297" width="6.5" style="144" customWidth="1"/>
    <col min="2298" max="2298" width="10.5" style="144" customWidth="1"/>
    <col min="2299" max="2299" width="6.25" style="144" customWidth="1"/>
    <col min="2300" max="2300" width="35.5" style="144" customWidth="1"/>
    <col min="2301" max="2301" width="4.75" style="144" customWidth="1"/>
    <col min="2302" max="2302" width="39" style="144" customWidth="1"/>
    <col min="2303" max="2303" width="5" style="144" customWidth="1"/>
    <col min="2304" max="2304" width="19.375" style="144" customWidth="1"/>
    <col min="2305" max="2305" width="2.375" style="144" customWidth="1"/>
    <col min="2306" max="2306" width="19.375" style="144" customWidth="1"/>
    <col min="2307" max="2307" width="2.375" style="144" customWidth="1"/>
    <col min="2308" max="2308" width="19.375" style="144" customWidth="1"/>
    <col min="2309" max="2309" width="19.375" style="144"/>
    <col min="2310" max="2310" width="6.5" style="144" customWidth="1"/>
    <col min="2311" max="2311" width="19.375" style="144" customWidth="1"/>
    <col min="2312" max="2312" width="2.375" style="144" customWidth="1"/>
    <col min="2313" max="2313" width="19.375" style="144" customWidth="1"/>
    <col min="2314" max="2314" width="2.375" style="144" customWidth="1"/>
    <col min="2315" max="2315" width="19.375" style="144"/>
    <col min="2316" max="2316" width="6.5" style="144" customWidth="1"/>
    <col min="2317" max="2317" width="19.375" style="144" customWidth="1"/>
    <col min="2318" max="2318" width="2.375" style="144" customWidth="1"/>
    <col min="2319" max="2319" width="19.375" style="144" customWidth="1"/>
    <col min="2320" max="2320" width="2.375" style="144" customWidth="1"/>
    <col min="2321" max="2321" width="19.375" style="144" customWidth="1"/>
    <col min="2322" max="2322" width="6.375" style="144" customWidth="1"/>
    <col min="2323" max="2323" width="19.375" style="144" customWidth="1"/>
    <col min="2324" max="2324" width="2.25" style="144" customWidth="1"/>
    <col min="2325" max="2325" width="19.375" style="144"/>
    <col min="2326" max="2326" width="2.25" style="144" customWidth="1"/>
    <col min="2327" max="2552" width="19.375" style="144"/>
    <col min="2553" max="2553" width="6.5" style="144" customWidth="1"/>
    <col min="2554" max="2554" width="10.5" style="144" customWidth="1"/>
    <col min="2555" max="2555" width="6.25" style="144" customWidth="1"/>
    <col min="2556" max="2556" width="35.5" style="144" customWidth="1"/>
    <col min="2557" max="2557" width="4.75" style="144" customWidth="1"/>
    <col min="2558" max="2558" width="39" style="144" customWidth="1"/>
    <col min="2559" max="2559" width="5" style="144" customWidth="1"/>
    <col min="2560" max="2560" width="19.375" style="144" customWidth="1"/>
    <col min="2561" max="2561" width="2.375" style="144" customWidth="1"/>
    <col min="2562" max="2562" width="19.375" style="144" customWidth="1"/>
    <col min="2563" max="2563" width="2.375" style="144" customWidth="1"/>
    <col min="2564" max="2564" width="19.375" style="144" customWidth="1"/>
    <col min="2565" max="2565" width="19.375" style="144"/>
    <col min="2566" max="2566" width="6.5" style="144" customWidth="1"/>
    <col min="2567" max="2567" width="19.375" style="144" customWidth="1"/>
    <col min="2568" max="2568" width="2.375" style="144" customWidth="1"/>
    <col min="2569" max="2569" width="19.375" style="144" customWidth="1"/>
    <col min="2570" max="2570" width="2.375" style="144" customWidth="1"/>
    <col min="2571" max="2571" width="19.375" style="144"/>
    <col min="2572" max="2572" width="6.5" style="144" customWidth="1"/>
    <col min="2573" max="2573" width="19.375" style="144" customWidth="1"/>
    <col min="2574" max="2574" width="2.375" style="144" customWidth="1"/>
    <col min="2575" max="2575" width="19.375" style="144" customWidth="1"/>
    <col min="2576" max="2576" width="2.375" style="144" customWidth="1"/>
    <col min="2577" max="2577" width="19.375" style="144" customWidth="1"/>
    <col min="2578" max="2578" width="6.375" style="144" customWidth="1"/>
    <col min="2579" max="2579" width="19.375" style="144" customWidth="1"/>
    <col min="2580" max="2580" width="2.25" style="144" customWidth="1"/>
    <col min="2581" max="2581" width="19.375" style="144"/>
    <col min="2582" max="2582" width="2.25" style="144" customWidth="1"/>
    <col min="2583" max="2808" width="19.375" style="144"/>
    <col min="2809" max="2809" width="6.5" style="144" customWidth="1"/>
    <col min="2810" max="2810" width="10.5" style="144" customWidth="1"/>
    <col min="2811" max="2811" width="6.25" style="144" customWidth="1"/>
    <col min="2812" max="2812" width="35.5" style="144" customWidth="1"/>
    <col min="2813" max="2813" width="4.75" style="144" customWidth="1"/>
    <col min="2814" max="2814" width="39" style="144" customWidth="1"/>
    <col min="2815" max="2815" width="5" style="144" customWidth="1"/>
    <col min="2816" max="2816" width="19.375" style="144" customWidth="1"/>
    <col min="2817" max="2817" width="2.375" style="144" customWidth="1"/>
    <col min="2818" max="2818" width="19.375" style="144" customWidth="1"/>
    <col min="2819" max="2819" width="2.375" style="144" customWidth="1"/>
    <col min="2820" max="2820" width="19.375" style="144" customWidth="1"/>
    <col min="2821" max="2821" width="19.375" style="144"/>
    <col min="2822" max="2822" width="6.5" style="144" customWidth="1"/>
    <col min="2823" max="2823" width="19.375" style="144" customWidth="1"/>
    <col min="2824" max="2824" width="2.375" style="144" customWidth="1"/>
    <col min="2825" max="2825" width="19.375" style="144" customWidth="1"/>
    <col min="2826" max="2826" width="2.375" style="144" customWidth="1"/>
    <col min="2827" max="2827" width="19.375" style="144"/>
    <col min="2828" max="2828" width="6.5" style="144" customWidth="1"/>
    <col min="2829" max="2829" width="19.375" style="144" customWidth="1"/>
    <col min="2830" max="2830" width="2.375" style="144" customWidth="1"/>
    <col min="2831" max="2831" width="19.375" style="144" customWidth="1"/>
    <col min="2832" max="2832" width="2.375" style="144" customWidth="1"/>
    <col min="2833" max="2833" width="19.375" style="144" customWidth="1"/>
    <col min="2834" max="2834" width="6.375" style="144" customWidth="1"/>
    <col min="2835" max="2835" width="19.375" style="144" customWidth="1"/>
    <col min="2836" max="2836" width="2.25" style="144" customWidth="1"/>
    <col min="2837" max="2837" width="19.375" style="144"/>
    <col min="2838" max="2838" width="2.25" style="144" customWidth="1"/>
    <col min="2839" max="3064" width="19.375" style="144"/>
    <col min="3065" max="3065" width="6.5" style="144" customWidth="1"/>
    <col min="3066" max="3066" width="10.5" style="144" customWidth="1"/>
    <col min="3067" max="3067" width="6.25" style="144" customWidth="1"/>
    <col min="3068" max="3068" width="35.5" style="144" customWidth="1"/>
    <col min="3069" max="3069" width="4.75" style="144" customWidth="1"/>
    <col min="3070" max="3070" width="39" style="144" customWidth="1"/>
    <col min="3071" max="3071" width="5" style="144" customWidth="1"/>
    <col min="3072" max="3072" width="19.375" style="144" customWidth="1"/>
    <col min="3073" max="3073" width="2.375" style="144" customWidth="1"/>
    <col min="3074" max="3074" width="19.375" style="144" customWidth="1"/>
    <col min="3075" max="3075" width="2.375" style="144" customWidth="1"/>
    <col min="3076" max="3076" width="19.375" style="144" customWidth="1"/>
    <col min="3077" max="3077" width="19.375" style="144"/>
    <col min="3078" max="3078" width="6.5" style="144" customWidth="1"/>
    <col min="3079" max="3079" width="19.375" style="144" customWidth="1"/>
    <col min="3080" max="3080" width="2.375" style="144" customWidth="1"/>
    <col min="3081" max="3081" width="19.375" style="144" customWidth="1"/>
    <col min="3082" max="3082" width="2.375" style="144" customWidth="1"/>
    <col min="3083" max="3083" width="19.375" style="144"/>
    <col min="3084" max="3084" width="6.5" style="144" customWidth="1"/>
    <col min="3085" max="3085" width="19.375" style="144" customWidth="1"/>
    <col min="3086" max="3086" width="2.375" style="144" customWidth="1"/>
    <col min="3087" max="3087" width="19.375" style="144" customWidth="1"/>
    <col min="3088" max="3088" width="2.375" style="144" customWidth="1"/>
    <col min="3089" max="3089" width="19.375" style="144" customWidth="1"/>
    <col min="3090" max="3090" width="6.375" style="144" customWidth="1"/>
    <col min="3091" max="3091" width="19.375" style="144" customWidth="1"/>
    <col min="3092" max="3092" width="2.25" style="144" customWidth="1"/>
    <col min="3093" max="3093" width="19.375" style="144"/>
    <col min="3094" max="3094" width="2.25" style="144" customWidth="1"/>
    <col min="3095" max="3320" width="19.375" style="144"/>
    <col min="3321" max="3321" width="6.5" style="144" customWidth="1"/>
    <col min="3322" max="3322" width="10.5" style="144" customWidth="1"/>
    <col min="3323" max="3323" width="6.25" style="144" customWidth="1"/>
    <col min="3324" max="3324" width="35.5" style="144" customWidth="1"/>
    <col min="3325" max="3325" width="4.75" style="144" customWidth="1"/>
    <col min="3326" max="3326" width="39" style="144" customWidth="1"/>
    <col min="3327" max="3327" width="5" style="144" customWidth="1"/>
    <col min="3328" max="3328" width="19.375" style="144" customWidth="1"/>
    <col min="3329" max="3329" width="2.375" style="144" customWidth="1"/>
    <col min="3330" max="3330" width="19.375" style="144" customWidth="1"/>
    <col min="3331" max="3331" width="2.375" style="144" customWidth="1"/>
    <col min="3332" max="3332" width="19.375" style="144" customWidth="1"/>
    <col min="3333" max="3333" width="19.375" style="144"/>
    <col min="3334" max="3334" width="6.5" style="144" customWidth="1"/>
    <col min="3335" max="3335" width="19.375" style="144" customWidth="1"/>
    <col min="3336" max="3336" width="2.375" style="144" customWidth="1"/>
    <col min="3337" max="3337" width="19.375" style="144" customWidth="1"/>
    <col min="3338" max="3338" width="2.375" style="144" customWidth="1"/>
    <col min="3339" max="3339" width="19.375" style="144"/>
    <col min="3340" max="3340" width="6.5" style="144" customWidth="1"/>
    <col min="3341" max="3341" width="19.375" style="144" customWidth="1"/>
    <col min="3342" max="3342" width="2.375" style="144" customWidth="1"/>
    <col min="3343" max="3343" width="19.375" style="144" customWidth="1"/>
    <col min="3344" max="3344" width="2.375" style="144" customWidth="1"/>
    <col min="3345" max="3345" width="19.375" style="144" customWidth="1"/>
    <col min="3346" max="3346" width="6.375" style="144" customWidth="1"/>
    <col min="3347" max="3347" width="19.375" style="144" customWidth="1"/>
    <col min="3348" max="3348" width="2.25" style="144" customWidth="1"/>
    <col min="3349" max="3349" width="19.375" style="144"/>
    <col min="3350" max="3350" width="2.25" style="144" customWidth="1"/>
    <col min="3351" max="3576" width="19.375" style="144"/>
    <col min="3577" max="3577" width="6.5" style="144" customWidth="1"/>
    <col min="3578" max="3578" width="10.5" style="144" customWidth="1"/>
    <col min="3579" max="3579" width="6.25" style="144" customWidth="1"/>
    <col min="3580" max="3580" width="35.5" style="144" customWidth="1"/>
    <col min="3581" max="3581" width="4.75" style="144" customWidth="1"/>
    <col min="3582" max="3582" width="39" style="144" customWidth="1"/>
    <col min="3583" max="3583" width="5" style="144" customWidth="1"/>
    <col min="3584" max="3584" width="19.375" style="144" customWidth="1"/>
    <col min="3585" max="3585" width="2.375" style="144" customWidth="1"/>
    <col min="3586" max="3586" width="19.375" style="144" customWidth="1"/>
    <col min="3587" max="3587" width="2.375" style="144" customWidth="1"/>
    <col min="3588" max="3588" width="19.375" style="144" customWidth="1"/>
    <col min="3589" max="3589" width="19.375" style="144"/>
    <col min="3590" max="3590" width="6.5" style="144" customWidth="1"/>
    <col min="3591" max="3591" width="19.375" style="144" customWidth="1"/>
    <col min="3592" max="3592" width="2.375" style="144" customWidth="1"/>
    <col min="3593" max="3593" width="19.375" style="144" customWidth="1"/>
    <col min="3594" max="3594" width="2.375" style="144" customWidth="1"/>
    <col min="3595" max="3595" width="19.375" style="144"/>
    <col min="3596" max="3596" width="6.5" style="144" customWidth="1"/>
    <col min="3597" max="3597" width="19.375" style="144" customWidth="1"/>
    <col min="3598" max="3598" width="2.375" style="144" customWidth="1"/>
    <col min="3599" max="3599" width="19.375" style="144" customWidth="1"/>
    <col min="3600" max="3600" width="2.375" style="144" customWidth="1"/>
    <col min="3601" max="3601" width="19.375" style="144" customWidth="1"/>
    <col min="3602" max="3602" width="6.375" style="144" customWidth="1"/>
    <col min="3603" max="3603" width="19.375" style="144" customWidth="1"/>
    <col min="3604" max="3604" width="2.25" style="144" customWidth="1"/>
    <col min="3605" max="3605" width="19.375" style="144"/>
    <col min="3606" max="3606" width="2.25" style="144" customWidth="1"/>
    <col min="3607" max="3832" width="19.375" style="144"/>
    <col min="3833" max="3833" width="6.5" style="144" customWidth="1"/>
    <col min="3834" max="3834" width="10.5" style="144" customWidth="1"/>
    <col min="3835" max="3835" width="6.25" style="144" customWidth="1"/>
    <col min="3836" max="3836" width="35.5" style="144" customWidth="1"/>
    <col min="3837" max="3837" width="4.75" style="144" customWidth="1"/>
    <col min="3838" max="3838" width="39" style="144" customWidth="1"/>
    <col min="3839" max="3839" width="5" style="144" customWidth="1"/>
    <col min="3840" max="3840" width="19.375" style="144" customWidth="1"/>
    <col min="3841" max="3841" width="2.375" style="144" customWidth="1"/>
    <col min="3842" max="3842" width="19.375" style="144" customWidth="1"/>
    <col min="3843" max="3843" width="2.375" style="144" customWidth="1"/>
    <col min="3844" max="3844" width="19.375" style="144" customWidth="1"/>
    <col min="3845" max="3845" width="19.375" style="144"/>
    <col min="3846" max="3846" width="6.5" style="144" customWidth="1"/>
    <col min="3847" max="3847" width="19.375" style="144" customWidth="1"/>
    <col min="3848" max="3848" width="2.375" style="144" customWidth="1"/>
    <col min="3849" max="3849" width="19.375" style="144" customWidth="1"/>
    <col min="3850" max="3850" width="2.375" style="144" customWidth="1"/>
    <col min="3851" max="3851" width="19.375" style="144"/>
    <col min="3852" max="3852" width="6.5" style="144" customWidth="1"/>
    <col min="3853" max="3853" width="19.375" style="144" customWidth="1"/>
    <col min="3854" max="3854" width="2.375" style="144" customWidth="1"/>
    <col min="3855" max="3855" width="19.375" style="144" customWidth="1"/>
    <col min="3856" max="3856" width="2.375" style="144" customWidth="1"/>
    <col min="3857" max="3857" width="19.375" style="144" customWidth="1"/>
    <col min="3858" max="3858" width="6.375" style="144" customWidth="1"/>
    <col min="3859" max="3859" width="19.375" style="144" customWidth="1"/>
    <col min="3860" max="3860" width="2.25" style="144" customWidth="1"/>
    <col min="3861" max="3861" width="19.375" style="144"/>
    <col min="3862" max="3862" width="2.25" style="144" customWidth="1"/>
    <col min="3863" max="4088" width="19.375" style="144"/>
    <col min="4089" max="4089" width="6.5" style="144" customWidth="1"/>
    <col min="4090" max="4090" width="10.5" style="144" customWidth="1"/>
    <col min="4091" max="4091" width="6.25" style="144" customWidth="1"/>
    <col min="4092" max="4092" width="35.5" style="144" customWidth="1"/>
    <col min="4093" max="4093" width="4.75" style="144" customWidth="1"/>
    <col min="4094" max="4094" width="39" style="144" customWidth="1"/>
    <col min="4095" max="4095" width="5" style="144" customWidth="1"/>
    <col min="4096" max="4096" width="19.375" style="144" customWidth="1"/>
    <col min="4097" max="4097" width="2.375" style="144" customWidth="1"/>
    <col min="4098" max="4098" width="19.375" style="144" customWidth="1"/>
    <col min="4099" max="4099" width="2.375" style="144" customWidth="1"/>
    <col min="4100" max="4100" width="19.375" style="144" customWidth="1"/>
    <col min="4101" max="4101" width="19.375" style="144"/>
    <col min="4102" max="4102" width="6.5" style="144" customWidth="1"/>
    <col min="4103" max="4103" width="19.375" style="144" customWidth="1"/>
    <col min="4104" max="4104" width="2.375" style="144" customWidth="1"/>
    <col min="4105" max="4105" width="19.375" style="144" customWidth="1"/>
    <col min="4106" max="4106" width="2.375" style="144" customWidth="1"/>
    <col min="4107" max="4107" width="19.375" style="144"/>
    <col min="4108" max="4108" width="6.5" style="144" customWidth="1"/>
    <col min="4109" max="4109" width="19.375" style="144" customWidth="1"/>
    <col min="4110" max="4110" width="2.375" style="144" customWidth="1"/>
    <col min="4111" max="4111" width="19.375" style="144" customWidth="1"/>
    <col min="4112" max="4112" width="2.375" style="144" customWidth="1"/>
    <col min="4113" max="4113" width="19.375" style="144" customWidth="1"/>
    <col min="4114" max="4114" width="6.375" style="144" customWidth="1"/>
    <col min="4115" max="4115" width="19.375" style="144" customWidth="1"/>
    <col min="4116" max="4116" width="2.25" style="144" customWidth="1"/>
    <col min="4117" max="4117" width="19.375" style="144"/>
    <col min="4118" max="4118" width="2.25" style="144" customWidth="1"/>
    <col min="4119" max="4344" width="19.375" style="144"/>
    <col min="4345" max="4345" width="6.5" style="144" customWidth="1"/>
    <col min="4346" max="4346" width="10.5" style="144" customWidth="1"/>
    <col min="4347" max="4347" width="6.25" style="144" customWidth="1"/>
    <col min="4348" max="4348" width="35.5" style="144" customWidth="1"/>
    <col min="4349" max="4349" width="4.75" style="144" customWidth="1"/>
    <col min="4350" max="4350" width="39" style="144" customWidth="1"/>
    <col min="4351" max="4351" width="5" style="144" customWidth="1"/>
    <col min="4352" max="4352" width="19.375" style="144" customWidth="1"/>
    <col min="4353" max="4353" width="2.375" style="144" customWidth="1"/>
    <col min="4354" max="4354" width="19.375" style="144" customWidth="1"/>
    <col min="4355" max="4355" width="2.375" style="144" customWidth="1"/>
    <col min="4356" max="4356" width="19.375" style="144" customWidth="1"/>
    <col min="4357" max="4357" width="19.375" style="144"/>
    <col min="4358" max="4358" width="6.5" style="144" customWidth="1"/>
    <col min="4359" max="4359" width="19.375" style="144" customWidth="1"/>
    <col min="4360" max="4360" width="2.375" style="144" customWidth="1"/>
    <col min="4361" max="4361" width="19.375" style="144" customWidth="1"/>
    <col min="4362" max="4362" width="2.375" style="144" customWidth="1"/>
    <col min="4363" max="4363" width="19.375" style="144"/>
    <col min="4364" max="4364" width="6.5" style="144" customWidth="1"/>
    <col min="4365" max="4365" width="19.375" style="144" customWidth="1"/>
    <col min="4366" max="4366" width="2.375" style="144" customWidth="1"/>
    <col min="4367" max="4367" width="19.375" style="144" customWidth="1"/>
    <col min="4368" max="4368" width="2.375" style="144" customWidth="1"/>
    <col min="4369" max="4369" width="19.375" style="144" customWidth="1"/>
    <col min="4370" max="4370" width="6.375" style="144" customWidth="1"/>
    <col min="4371" max="4371" width="19.375" style="144" customWidth="1"/>
    <col min="4372" max="4372" width="2.25" style="144" customWidth="1"/>
    <col min="4373" max="4373" width="19.375" style="144"/>
    <col min="4374" max="4374" width="2.25" style="144" customWidth="1"/>
    <col min="4375" max="4600" width="19.375" style="144"/>
    <col min="4601" max="4601" width="6.5" style="144" customWidth="1"/>
    <col min="4602" max="4602" width="10.5" style="144" customWidth="1"/>
    <col min="4603" max="4603" width="6.25" style="144" customWidth="1"/>
    <col min="4604" max="4604" width="35.5" style="144" customWidth="1"/>
    <col min="4605" max="4605" width="4.75" style="144" customWidth="1"/>
    <col min="4606" max="4606" width="39" style="144" customWidth="1"/>
    <col min="4607" max="4607" width="5" style="144" customWidth="1"/>
    <col min="4608" max="4608" width="19.375" style="144" customWidth="1"/>
    <col min="4609" max="4609" width="2.375" style="144" customWidth="1"/>
    <col min="4610" max="4610" width="19.375" style="144" customWidth="1"/>
    <col min="4611" max="4611" width="2.375" style="144" customWidth="1"/>
    <col min="4612" max="4612" width="19.375" style="144" customWidth="1"/>
    <col min="4613" max="4613" width="19.375" style="144"/>
    <col min="4614" max="4614" width="6.5" style="144" customWidth="1"/>
    <col min="4615" max="4615" width="19.375" style="144" customWidth="1"/>
    <col min="4616" max="4616" width="2.375" style="144" customWidth="1"/>
    <col min="4617" max="4617" width="19.375" style="144" customWidth="1"/>
    <col min="4618" max="4618" width="2.375" style="144" customWidth="1"/>
    <col min="4619" max="4619" width="19.375" style="144"/>
    <col min="4620" max="4620" width="6.5" style="144" customWidth="1"/>
    <col min="4621" max="4621" width="19.375" style="144" customWidth="1"/>
    <col min="4622" max="4622" width="2.375" style="144" customWidth="1"/>
    <col min="4623" max="4623" width="19.375" style="144" customWidth="1"/>
    <col min="4624" max="4624" width="2.375" style="144" customWidth="1"/>
    <col min="4625" max="4625" width="19.375" style="144" customWidth="1"/>
    <col min="4626" max="4626" width="6.375" style="144" customWidth="1"/>
    <col min="4627" max="4627" width="19.375" style="144" customWidth="1"/>
    <col min="4628" max="4628" width="2.25" style="144" customWidth="1"/>
    <col min="4629" max="4629" width="19.375" style="144"/>
    <col min="4630" max="4630" width="2.25" style="144" customWidth="1"/>
    <col min="4631" max="4856" width="19.375" style="144"/>
    <col min="4857" max="4857" width="6.5" style="144" customWidth="1"/>
    <col min="4858" max="4858" width="10.5" style="144" customWidth="1"/>
    <col min="4859" max="4859" width="6.25" style="144" customWidth="1"/>
    <col min="4860" max="4860" width="35.5" style="144" customWidth="1"/>
    <col min="4861" max="4861" width="4.75" style="144" customWidth="1"/>
    <col min="4862" max="4862" width="39" style="144" customWidth="1"/>
    <col min="4863" max="4863" width="5" style="144" customWidth="1"/>
    <col min="4864" max="4864" width="19.375" style="144" customWidth="1"/>
    <col min="4865" max="4865" width="2.375" style="144" customWidth="1"/>
    <col min="4866" max="4866" width="19.375" style="144" customWidth="1"/>
    <col min="4867" max="4867" width="2.375" style="144" customWidth="1"/>
    <col min="4868" max="4868" width="19.375" style="144" customWidth="1"/>
    <col min="4869" max="4869" width="19.375" style="144"/>
    <col min="4870" max="4870" width="6.5" style="144" customWidth="1"/>
    <col min="4871" max="4871" width="19.375" style="144" customWidth="1"/>
    <col min="4872" max="4872" width="2.375" style="144" customWidth="1"/>
    <col min="4873" max="4873" width="19.375" style="144" customWidth="1"/>
    <col min="4874" max="4874" width="2.375" style="144" customWidth="1"/>
    <col min="4875" max="4875" width="19.375" style="144"/>
    <col min="4876" max="4876" width="6.5" style="144" customWidth="1"/>
    <col min="4877" max="4877" width="19.375" style="144" customWidth="1"/>
    <col min="4878" max="4878" width="2.375" style="144" customWidth="1"/>
    <col min="4879" max="4879" width="19.375" style="144" customWidth="1"/>
    <col min="4880" max="4880" width="2.375" style="144" customWidth="1"/>
    <col min="4881" max="4881" width="19.375" style="144" customWidth="1"/>
    <col min="4882" max="4882" width="6.375" style="144" customWidth="1"/>
    <col min="4883" max="4883" width="19.375" style="144" customWidth="1"/>
    <col min="4884" max="4884" width="2.25" style="144" customWidth="1"/>
    <col min="4885" max="4885" width="19.375" style="144"/>
    <col min="4886" max="4886" width="2.25" style="144" customWidth="1"/>
    <col min="4887" max="5112" width="19.375" style="144"/>
    <col min="5113" max="5113" width="6.5" style="144" customWidth="1"/>
    <col min="5114" max="5114" width="10.5" style="144" customWidth="1"/>
    <col min="5115" max="5115" width="6.25" style="144" customWidth="1"/>
    <col min="5116" max="5116" width="35.5" style="144" customWidth="1"/>
    <col min="5117" max="5117" width="4.75" style="144" customWidth="1"/>
    <col min="5118" max="5118" width="39" style="144" customWidth="1"/>
    <col min="5119" max="5119" width="5" style="144" customWidth="1"/>
    <col min="5120" max="5120" width="19.375" style="144" customWidth="1"/>
    <col min="5121" max="5121" width="2.375" style="144" customWidth="1"/>
    <col min="5122" max="5122" width="19.375" style="144" customWidth="1"/>
    <col min="5123" max="5123" width="2.375" style="144" customWidth="1"/>
    <col min="5124" max="5124" width="19.375" style="144" customWidth="1"/>
    <col min="5125" max="5125" width="19.375" style="144"/>
    <col min="5126" max="5126" width="6.5" style="144" customWidth="1"/>
    <col min="5127" max="5127" width="19.375" style="144" customWidth="1"/>
    <col min="5128" max="5128" width="2.375" style="144" customWidth="1"/>
    <col min="5129" max="5129" width="19.375" style="144" customWidth="1"/>
    <col min="5130" max="5130" width="2.375" style="144" customWidth="1"/>
    <col min="5131" max="5131" width="19.375" style="144"/>
    <col min="5132" max="5132" width="6.5" style="144" customWidth="1"/>
    <col min="5133" max="5133" width="19.375" style="144" customWidth="1"/>
    <col min="5134" max="5134" width="2.375" style="144" customWidth="1"/>
    <col min="5135" max="5135" width="19.375" style="144" customWidth="1"/>
    <col min="5136" max="5136" width="2.375" style="144" customWidth="1"/>
    <col min="5137" max="5137" width="19.375" style="144" customWidth="1"/>
    <col min="5138" max="5138" width="6.375" style="144" customWidth="1"/>
    <col min="5139" max="5139" width="19.375" style="144" customWidth="1"/>
    <col min="5140" max="5140" width="2.25" style="144" customWidth="1"/>
    <col min="5141" max="5141" width="19.375" style="144"/>
    <col min="5142" max="5142" width="2.25" style="144" customWidth="1"/>
    <col min="5143" max="5368" width="19.375" style="144"/>
    <col min="5369" max="5369" width="6.5" style="144" customWidth="1"/>
    <col min="5370" max="5370" width="10.5" style="144" customWidth="1"/>
    <col min="5371" max="5371" width="6.25" style="144" customWidth="1"/>
    <col min="5372" max="5372" width="35.5" style="144" customWidth="1"/>
    <col min="5373" max="5373" width="4.75" style="144" customWidth="1"/>
    <col min="5374" max="5374" width="39" style="144" customWidth="1"/>
    <col min="5375" max="5375" width="5" style="144" customWidth="1"/>
    <col min="5376" max="5376" width="19.375" style="144" customWidth="1"/>
    <col min="5377" max="5377" width="2.375" style="144" customWidth="1"/>
    <col min="5378" max="5378" width="19.375" style="144" customWidth="1"/>
    <col min="5379" max="5379" width="2.375" style="144" customWidth="1"/>
    <col min="5380" max="5380" width="19.375" style="144" customWidth="1"/>
    <col min="5381" max="5381" width="19.375" style="144"/>
    <col min="5382" max="5382" width="6.5" style="144" customWidth="1"/>
    <col min="5383" max="5383" width="19.375" style="144" customWidth="1"/>
    <col min="5384" max="5384" width="2.375" style="144" customWidth="1"/>
    <col min="5385" max="5385" width="19.375" style="144" customWidth="1"/>
    <col min="5386" max="5386" width="2.375" style="144" customWidth="1"/>
    <col min="5387" max="5387" width="19.375" style="144"/>
    <col min="5388" max="5388" width="6.5" style="144" customWidth="1"/>
    <col min="5389" max="5389" width="19.375" style="144" customWidth="1"/>
    <col min="5390" max="5390" width="2.375" style="144" customWidth="1"/>
    <col min="5391" max="5391" width="19.375" style="144" customWidth="1"/>
    <col min="5392" max="5392" width="2.375" style="144" customWidth="1"/>
    <col min="5393" max="5393" width="19.375" style="144" customWidth="1"/>
    <col min="5394" max="5394" width="6.375" style="144" customWidth="1"/>
    <col min="5395" max="5395" width="19.375" style="144" customWidth="1"/>
    <col min="5396" max="5396" width="2.25" style="144" customWidth="1"/>
    <col min="5397" max="5397" width="19.375" style="144"/>
    <col min="5398" max="5398" width="2.25" style="144" customWidth="1"/>
    <col min="5399" max="5624" width="19.375" style="144"/>
    <col min="5625" max="5625" width="6.5" style="144" customWidth="1"/>
    <col min="5626" max="5626" width="10.5" style="144" customWidth="1"/>
    <col min="5627" max="5627" width="6.25" style="144" customWidth="1"/>
    <col min="5628" max="5628" width="35.5" style="144" customWidth="1"/>
    <col min="5629" max="5629" width="4.75" style="144" customWidth="1"/>
    <col min="5630" max="5630" width="39" style="144" customWidth="1"/>
    <col min="5631" max="5631" width="5" style="144" customWidth="1"/>
    <col min="5632" max="5632" width="19.375" style="144" customWidth="1"/>
    <col min="5633" max="5633" width="2.375" style="144" customWidth="1"/>
    <col min="5634" max="5634" width="19.375" style="144" customWidth="1"/>
    <col min="5635" max="5635" width="2.375" style="144" customWidth="1"/>
    <col min="5636" max="5636" width="19.375" style="144" customWidth="1"/>
    <col min="5637" max="5637" width="19.375" style="144"/>
    <col min="5638" max="5638" width="6.5" style="144" customWidth="1"/>
    <col min="5639" max="5639" width="19.375" style="144" customWidth="1"/>
    <col min="5640" max="5640" width="2.375" style="144" customWidth="1"/>
    <col min="5641" max="5641" width="19.375" style="144" customWidth="1"/>
    <col min="5642" max="5642" width="2.375" style="144" customWidth="1"/>
    <col min="5643" max="5643" width="19.375" style="144"/>
    <col min="5644" max="5644" width="6.5" style="144" customWidth="1"/>
    <col min="5645" max="5645" width="19.375" style="144" customWidth="1"/>
    <col min="5646" max="5646" width="2.375" style="144" customWidth="1"/>
    <col min="5647" max="5647" width="19.375" style="144" customWidth="1"/>
    <col min="5648" max="5648" width="2.375" style="144" customWidth="1"/>
    <col min="5649" max="5649" width="19.375" style="144" customWidth="1"/>
    <col min="5650" max="5650" width="6.375" style="144" customWidth="1"/>
    <col min="5651" max="5651" width="19.375" style="144" customWidth="1"/>
    <col min="5652" max="5652" width="2.25" style="144" customWidth="1"/>
    <col min="5653" max="5653" width="19.375" style="144"/>
    <col min="5654" max="5654" width="2.25" style="144" customWidth="1"/>
    <col min="5655" max="5880" width="19.375" style="144"/>
    <col min="5881" max="5881" width="6.5" style="144" customWidth="1"/>
    <col min="5882" max="5882" width="10.5" style="144" customWidth="1"/>
    <col min="5883" max="5883" width="6.25" style="144" customWidth="1"/>
    <col min="5884" max="5884" width="35.5" style="144" customWidth="1"/>
    <col min="5885" max="5885" width="4.75" style="144" customWidth="1"/>
    <col min="5886" max="5886" width="39" style="144" customWidth="1"/>
    <col min="5887" max="5887" width="5" style="144" customWidth="1"/>
    <col min="5888" max="5888" width="19.375" style="144" customWidth="1"/>
    <col min="5889" max="5889" width="2.375" style="144" customWidth="1"/>
    <col min="5890" max="5890" width="19.375" style="144" customWidth="1"/>
    <col min="5891" max="5891" width="2.375" style="144" customWidth="1"/>
    <col min="5892" max="5892" width="19.375" style="144" customWidth="1"/>
    <col min="5893" max="5893" width="19.375" style="144"/>
    <col min="5894" max="5894" width="6.5" style="144" customWidth="1"/>
    <col min="5895" max="5895" width="19.375" style="144" customWidth="1"/>
    <col min="5896" max="5896" width="2.375" style="144" customWidth="1"/>
    <col min="5897" max="5897" width="19.375" style="144" customWidth="1"/>
    <col min="5898" max="5898" width="2.375" style="144" customWidth="1"/>
    <col min="5899" max="5899" width="19.375" style="144"/>
    <col min="5900" max="5900" width="6.5" style="144" customWidth="1"/>
    <col min="5901" max="5901" width="19.375" style="144" customWidth="1"/>
    <col min="5902" max="5902" width="2.375" style="144" customWidth="1"/>
    <col min="5903" max="5903" width="19.375" style="144" customWidth="1"/>
    <col min="5904" max="5904" width="2.375" style="144" customWidth="1"/>
    <col min="5905" max="5905" width="19.375" style="144" customWidth="1"/>
    <col min="5906" max="5906" width="6.375" style="144" customWidth="1"/>
    <col min="5907" max="5907" width="19.375" style="144" customWidth="1"/>
    <col min="5908" max="5908" width="2.25" style="144" customWidth="1"/>
    <col min="5909" max="5909" width="19.375" style="144"/>
    <col min="5910" max="5910" width="2.25" style="144" customWidth="1"/>
    <col min="5911" max="6136" width="19.375" style="144"/>
    <col min="6137" max="6137" width="6.5" style="144" customWidth="1"/>
    <col min="6138" max="6138" width="10.5" style="144" customWidth="1"/>
    <col min="6139" max="6139" width="6.25" style="144" customWidth="1"/>
    <col min="6140" max="6140" width="35.5" style="144" customWidth="1"/>
    <col min="6141" max="6141" width="4.75" style="144" customWidth="1"/>
    <col min="6142" max="6142" width="39" style="144" customWidth="1"/>
    <col min="6143" max="6143" width="5" style="144" customWidth="1"/>
    <col min="6144" max="6144" width="19.375" style="144" customWidth="1"/>
    <col min="6145" max="6145" width="2.375" style="144" customWidth="1"/>
    <col min="6146" max="6146" width="19.375" style="144" customWidth="1"/>
    <col min="6147" max="6147" width="2.375" style="144" customWidth="1"/>
    <col min="6148" max="6148" width="19.375" style="144" customWidth="1"/>
    <col min="6149" max="6149" width="19.375" style="144"/>
    <col min="6150" max="6150" width="6.5" style="144" customWidth="1"/>
    <col min="6151" max="6151" width="19.375" style="144" customWidth="1"/>
    <col min="6152" max="6152" width="2.375" style="144" customWidth="1"/>
    <col min="6153" max="6153" width="19.375" style="144" customWidth="1"/>
    <col min="6154" max="6154" width="2.375" style="144" customWidth="1"/>
    <col min="6155" max="6155" width="19.375" style="144"/>
    <col min="6156" max="6156" width="6.5" style="144" customWidth="1"/>
    <col min="6157" max="6157" width="19.375" style="144" customWidth="1"/>
    <col min="6158" max="6158" width="2.375" style="144" customWidth="1"/>
    <col min="6159" max="6159" width="19.375" style="144" customWidth="1"/>
    <col min="6160" max="6160" width="2.375" style="144" customWidth="1"/>
    <col min="6161" max="6161" width="19.375" style="144" customWidth="1"/>
    <col min="6162" max="6162" width="6.375" style="144" customWidth="1"/>
    <col min="6163" max="6163" width="19.375" style="144" customWidth="1"/>
    <col min="6164" max="6164" width="2.25" style="144" customWidth="1"/>
    <col min="6165" max="6165" width="19.375" style="144"/>
    <col min="6166" max="6166" width="2.25" style="144" customWidth="1"/>
    <col min="6167" max="6392" width="19.375" style="144"/>
    <col min="6393" max="6393" width="6.5" style="144" customWidth="1"/>
    <col min="6394" max="6394" width="10.5" style="144" customWidth="1"/>
    <col min="6395" max="6395" width="6.25" style="144" customWidth="1"/>
    <col min="6396" max="6396" width="35.5" style="144" customWidth="1"/>
    <col min="6397" max="6397" width="4.75" style="144" customWidth="1"/>
    <col min="6398" max="6398" width="39" style="144" customWidth="1"/>
    <col min="6399" max="6399" width="5" style="144" customWidth="1"/>
    <col min="6400" max="6400" width="19.375" style="144" customWidth="1"/>
    <col min="6401" max="6401" width="2.375" style="144" customWidth="1"/>
    <col min="6402" max="6402" width="19.375" style="144" customWidth="1"/>
    <col min="6403" max="6403" width="2.375" style="144" customWidth="1"/>
    <col min="6404" max="6404" width="19.375" style="144" customWidth="1"/>
    <col min="6405" max="6405" width="19.375" style="144"/>
    <col min="6406" max="6406" width="6.5" style="144" customWidth="1"/>
    <col min="6407" max="6407" width="19.375" style="144" customWidth="1"/>
    <col min="6408" max="6408" width="2.375" style="144" customWidth="1"/>
    <col min="6409" max="6409" width="19.375" style="144" customWidth="1"/>
    <col min="6410" max="6410" width="2.375" style="144" customWidth="1"/>
    <col min="6411" max="6411" width="19.375" style="144"/>
    <col min="6412" max="6412" width="6.5" style="144" customWidth="1"/>
    <col min="6413" max="6413" width="19.375" style="144" customWidth="1"/>
    <col min="6414" max="6414" width="2.375" style="144" customWidth="1"/>
    <col min="6415" max="6415" width="19.375" style="144" customWidth="1"/>
    <col min="6416" max="6416" width="2.375" style="144" customWidth="1"/>
    <col min="6417" max="6417" width="19.375" style="144" customWidth="1"/>
    <col min="6418" max="6418" width="6.375" style="144" customWidth="1"/>
    <col min="6419" max="6419" width="19.375" style="144" customWidth="1"/>
    <col min="6420" max="6420" width="2.25" style="144" customWidth="1"/>
    <col min="6421" max="6421" width="19.375" style="144"/>
    <col min="6422" max="6422" width="2.25" style="144" customWidth="1"/>
    <col min="6423" max="6648" width="19.375" style="144"/>
    <col min="6649" max="6649" width="6.5" style="144" customWidth="1"/>
    <col min="6650" max="6650" width="10.5" style="144" customWidth="1"/>
    <col min="6651" max="6651" width="6.25" style="144" customWidth="1"/>
    <col min="6652" max="6652" width="35.5" style="144" customWidth="1"/>
    <col min="6653" max="6653" width="4.75" style="144" customWidth="1"/>
    <col min="6654" max="6654" width="39" style="144" customWidth="1"/>
    <col min="6655" max="6655" width="5" style="144" customWidth="1"/>
    <col min="6656" max="6656" width="19.375" style="144" customWidth="1"/>
    <col min="6657" max="6657" width="2.375" style="144" customWidth="1"/>
    <col min="6658" max="6658" width="19.375" style="144" customWidth="1"/>
    <col min="6659" max="6659" width="2.375" style="144" customWidth="1"/>
    <col min="6660" max="6660" width="19.375" style="144" customWidth="1"/>
    <col min="6661" max="6661" width="19.375" style="144"/>
    <col min="6662" max="6662" width="6.5" style="144" customWidth="1"/>
    <col min="6663" max="6663" width="19.375" style="144" customWidth="1"/>
    <col min="6664" max="6664" width="2.375" style="144" customWidth="1"/>
    <col min="6665" max="6665" width="19.375" style="144" customWidth="1"/>
    <col min="6666" max="6666" width="2.375" style="144" customWidth="1"/>
    <col min="6667" max="6667" width="19.375" style="144"/>
    <col min="6668" max="6668" width="6.5" style="144" customWidth="1"/>
    <col min="6669" max="6669" width="19.375" style="144" customWidth="1"/>
    <col min="6670" max="6670" width="2.375" style="144" customWidth="1"/>
    <col min="6671" max="6671" width="19.375" style="144" customWidth="1"/>
    <col min="6672" max="6672" width="2.375" style="144" customWidth="1"/>
    <col min="6673" max="6673" width="19.375" style="144" customWidth="1"/>
    <col min="6674" max="6674" width="6.375" style="144" customWidth="1"/>
    <col min="6675" max="6675" width="19.375" style="144" customWidth="1"/>
    <col min="6676" max="6676" width="2.25" style="144" customWidth="1"/>
    <col min="6677" max="6677" width="19.375" style="144"/>
    <col min="6678" max="6678" width="2.25" style="144" customWidth="1"/>
    <col min="6679" max="6904" width="19.375" style="144"/>
    <col min="6905" max="6905" width="6.5" style="144" customWidth="1"/>
    <col min="6906" max="6906" width="10.5" style="144" customWidth="1"/>
    <col min="6907" max="6907" width="6.25" style="144" customWidth="1"/>
    <col min="6908" max="6908" width="35.5" style="144" customWidth="1"/>
    <col min="6909" max="6909" width="4.75" style="144" customWidth="1"/>
    <col min="6910" max="6910" width="39" style="144" customWidth="1"/>
    <col min="6911" max="6911" width="5" style="144" customWidth="1"/>
    <col min="6912" max="6912" width="19.375" style="144" customWidth="1"/>
    <col min="6913" max="6913" width="2.375" style="144" customWidth="1"/>
    <col min="6914" max="6914" width="19.375" style="144" customWidth="1"/>
    <col min="6915" max="6915" width="2.375" style="144" customWidth="1"/>
    <col min="6916" max="6916" width="19.375" style="144" customWidth="1"/>
    <col min="6917" max="6917" width="19.375" style="144"/>
    <col min="6918" max="6918" width="6.5" style="144" customWidth="1"/>
    <col min="6919" max="6919" width="19.375" style="144" customWidth="1"/>
    <col min="6920" max="6920" width="2.375" style="144" customWidth="1"/>
    <col min="6921" max="6921" width="19.375" style="144" customWidth="1"/>
    <col min="6922" max="6922" width="2.375" style="144" customWidth="1"/>
    <col min="6923" max="6923" width="19.375" style="144"/>
    <col min="6924" max="6924" width="6.5" style="144" customWidth="1"/>
    <col min="6925" max="6925" width="19.375" style="144" customWidth="1"/>
    <col min="6926" max="6926" width="2.375" style="144" customWidth="1"/>
    <col min="6927" max="6927" width="19.375" style="144" customWidth="1"/>
    <col min="6928" max="6928" width="2.375" style="144" customWidth="1"/>
    <col min="6929" max="6929" width="19.375" style="144" customWidth="1"/>
    <col min="6930" max="6930" width="6.375" style="144" customWidth="1"/>
    <col min="6931" max="6931" width="19.375" style="144" customWidth="1"/>
    <col min="6932" max="6932" width="2.25" style="144" customWidth="1"/>
    <col min="6933" max="6933" width="19.375" style="144"/>
    <col min="6934" max="6934" width="2.25" style="144" customWidth="1"/>
    <col min="6935" max="7160" width="19.375" style="144"/>
    <col min="7161" max="7161" width="6.5" style="144" customWidth="1"/>
    <col min="7162" max="7162" width="10.5" style="144" customWidth="1"/>
    <col min="7163" max="7163" width="6.25" style="144" customWidth="1"/>
    <col min="7164" max="7164" width="35.5" style="144" customWidth="1"/>
    <col min="7165" max="7165" width="4.75" style="144" customWidth="1"/>
    <col min="7166" max="7166" width="39" style="144" customWidth="1"/>
    <col min="7167" max="7167" width="5" style="144" customWidth="1"/>
    <col min="7168" max="7168" width="19.375" style="144" customWidth="1"/>
    <col min="7169" max="7169" width="2.375" style="144" customWidth="1"/>
    <col min="7170" max="7170" width="19.375" style="144" customWidth="1"/>
    <col min="7171" max="7171" width="2.375" style="144" customWidth="1"/>
    <col min="7172" max="7172" width="19.375" style="144" customWidth="1"/>
    <col min="7173" max="7173" width="19.375" style="144"/>
    <col min="7174" max="7174" width="6.5" style="144" customWidth="1"/>
    <col min="7175" max="7175" width="19.375" style="144" customWidth="1"/>
    <col min="7176" max="7176" width="2.375" style="144" customWidth="1"/>
    <col min="7177" max="7177" width="19.375" style="144" customWidth="1"/>
    <col min="7178" max="7178" width="2.375" style="144" customWidth="1"/>
    <col min="7179" max="7179" width="19.375" style="144"/>
    <col min="7180" max="7180" width="6.5" style="144" customWidth="1"/>
    <col min="7181" max="7181" width="19.375" style="144" customWidth="1"/>
    <col min="7182" max="7182" width="2.375" style="144" customWidth="1"/>
    <col min="7183" max="7183" width="19.375" style="144" customWidth="1"/>
    <col min="7184" max="7184" width="2.375" style="144" customWidth="1"/>
    <col min="7185" max="7185" width="19.375" style="144" customWidth="1"/>
    <col min="7186" max="7186" width="6.375" style="144" customWidth="1"/>
    <col min="7187" max="7187" width="19.375" style="144" customWidth="1"/>
    <col min="7188" max="7188" width="2.25" style="144" customWidth="1"/>
    <col min="7189" max="7189" width="19.375" style="144"/>
    <col min="7190" max="7190" width="2.25" style="144" customWidth="1"/>
    <col min="7191" max="7416" width="19.375" style="144"/>
    <col min="7417" max="7417" width="6.5" style="144" customWidth="1"/>
    <col min="7418" max="7418" width="10.5" style="144" customWidth="1"/>
    <col min="7419" max="7419" width="6.25" style="144" customWidth="1"/>
    <col min="7420" max="7420" width="35.5" style="144" customWidth="1"/>
    <col min="7421" max="7421" width="4.75" style="144" customWidth="1"/>
    <col min="7422" max="7422" width="39" style="144" customWidth="1"/>
    <col min="7423" max="7423" width="5" style="144" customWidth="1"/>
    <col min="7424" max="7424" width="19.375" style="144" customWidth="1"/>
    <col min="7425" max="7425" width="2.375" style="144" customWidth="1"/>
    <col min="7426" max="7426" width="19.375" style="144" customWidth="1"/>
    <col min="7427" max="7427" width="2.375" style="144" customWidth="1"/>
    <col min="7428" max="7428" width="19.375" style="144" customWidth="1"/>
    <col min="7429" max="7429" width="19.375" style="144"/>
    <col min="7430" max="7430" width="6.5" style="144" customWidth="1"/>
    <col min="7431" max="7431" width="19.375" style="144" customWidth="1"/>
    <col min="7432" max="7432" width="2.375" style="144" customWidth="1"/>
    <col min="7433" max="7433" width="19.375" style="144" customWidth="1"/>
    <col min="7434" max="7434" width="2.375" style="144" customWidth="1"/>
    <col min="7435" max="7435" width="19.375" style="144"/>
    <col min="7436" max="7436" width="6.5" style="144" customWidth="1"/>
    <col min="7437" max="7437" width="19.375" style="144" customWidth="1"/>
    <col min="7438" max="7438" width="2.375" style="144" customWidth="1"/>
    <col min="7439" max="7439" width="19.375" style="144" customWidth="1"/>
    <col min="7440" max="7440" width="2.375" style="144" customWidth="1"/>
    <col min="7441" max="7441" width="19.375" style="144" customWidth="1"/>
    <col min="7442" max="7442" width="6.375" style="144" customWidth="1"/>
    <col min="7443" max="7443" width="19.375" style="144" customWidth="1"/>
    <col min="7444" max="7444" width="2.25" style="144" customWidth="1"/>
    <col min="7445" max="7445" width="19.375" style="144"/>
    <col min="7446" max="7446" width="2.25" style="144" customWidth="1"/>
    <col min="7447" max="7672" width="19.375" style="144"/>
    <col min="7673" max="7673" width="6.5" style="144" customWidth="1"/>
    <col min="7674" max="7674" width="10.5" style="144" customWidth="1"/>
    <col min="7675" max="7675" width="6.25" style="144" customWidth="1"/>
    <col min="7676" max="7676" width="35.5" style="144" customWidth="1"/>
    <col min="7677" max="7677" width="4.75" style="144" customWidth="1"/>
    <col min="7678" max="7678" width="39" style="144" customWidth="1"/>
    <col min="7679" max="7679" width="5" style="144" customWidth="1"/>
    <col min="7680" max="7680" width="19.375" style="144" customWidth="1"/>
    <col min="7681" max="7681" width="2.375" style="144" customWidth="1"/>
    <col min="7682" max="7682" width="19.375" style="144" customWidth="1"/>
    <col min="7683" max="7683" width="2.375" style="144" customWidth="1"/>
    <col min="7684" max="7684" width="19.375" style="144" customWidth="1"/>
    <col min="7685" max="7685" width="19.375" style="144"/>
    <col min="7686" max="7686" width="6.5" style="144" customWidth="1"/>
    <col min="7687" max="7687" width="19.375" style="144" customWidth="1"/>
    <col min="7688" max="7688" width="2.375" style="144" customWidth="1"/>
    <col min="7689" max="7689" width="19.375" style="144" customWidth="1"/>
    <col min="7690" max="7690" width="2.375" style="144" customWidth="1"/>
    <col min="7691" max="7691" width="19.375" style="144"/>
    <col min="7692" max="7692" width="6.5" style="144" customWidth="1"/>
    <col min="7693" max="7693" width="19.375" style="144" customWidth="1"/>
    <col min="7694" max="7694" width="2.375" style="144" customWidth="1"/>
    <col min="7695" max="7695" width="19.375" style="144" customWidth="1"/>
    <col min="7696" max="7696" width="2.375" style="144" customWidth="1"/>
    <col min="7697" max="7697" width="19.375" style="144" customWidth="1"/>
    <col min="7698" max="7698" width="6.375" style="144" customWidth="1"/>
    <col min="7699" max="7699" width="19.375" style="144" customWidth="1"/>
    <col min="7700" max="7700" width="2.25" style="144" customWidth="1"/>
    <col min="7701" max="7701" width="19.375" style="144"/>
    <col min="7702" max="7702" width="2.25" style="144" customWidth="1"/>
    <col min="7703" max="7928" width="19.375" style="144"/>
    <col min="7929" max="7929" width="6.5" style="144" customWidth="1"/>
    <col min="7930" max="7930" width="10.5" style="144" customWidth="1"/>
    <col min="7931" max="7931" width="6.25" style="144" customWidth="1"/>
    <col min="7932" max="7932" width="35.5" style="144" customWidth="1"/>
    <col min="7933" max="7933" width="4.75" style="144" customWidth="1"/>
    <col min="7934" max="7934" width="39" style="144" customWidth="1"/>
    <col min="7935" max="7935" width="5" style="144" customWidth="1"/>
    <col min="7936" max="7936" width="19.375" style="144" customWidth="1"/>
    <col min="7937" max="7937" width="2.375" style="144" customWidth="1"/>
    <col min="7938" max="7938" width="19.375" style="144" customWidth="1"/>
    <col min="7939" max="7939" width="2.375" style="144" customWidth="1"/>
    <col min="7940" max="7940" width="19.375" style="144" customWidth="1"/>
    <col min="7941" max="7941" width="19.375" style="144"/>
    <col min="7942" max="7942" width="6.5" style="144" customWidth="1"/>
    <col min="7943" max="7943" width="19.375" style="144" customWidth="1"/>
    <col min="7944" max="7944" width="2.375" style="144" customWidth="1"/>
    <col min="7945" max="7945" width="19.375" style="144" customWidth="1"/>
    <col min="7946" max="7946" width="2.375" style="144" customWidth="1"/>
    <col min="7947" max="7947" width="19.375" style="144"/>
    <col min="7948" max="7948" width="6.5" style="144" customWidth="1"/>
    <col min="7949" max="7949" width="19.375" style="144" customWidth="1"/>
    <col min="7950" max="7950" width="2.375" style="144" customWidth="1"/>
    <col min="7951" max="7951" width="19.375" style="144" customWidth="1"/>
    <col min="7952" max="7952" width="2.375" style="144" customWidth="1"/>
    <col min="7953" max="7953" width="19.375" style="144" customWidth="1"/>
    <col min="7954" max="7954" width="6.375" style="144" customWidth="1"/>
    <col min="7955" max="7955" width="19.375" style="144" customWidth="1"/>
    <col min="7956" max="7956" width="2.25" style="144" customWidth="1"/>
    <col min="7957" max="7957" width="19.375" style="144"/>
    <col min="7958" max="7958" width="2.25" style="144" customWidth="1"/>
    <col min="7959" max="8184" width="19.375" style="144"/>
    <col min="8185" max="8185" width="6.5" style="144" customWidth="1"/>
    <col min="8186" max="8186" width="10.5" style="144" customWidth="1"/>
    <col min="8187" max="8187" width="6.25" style="144" customWidth="1"/>
    <col min="8188" max="8188" width="35.5" style="144" customWidth="1"/>
    <col min="8189" max="8189" width="4.75" style="144" customWidth="1"/>
    <col min="8190" max="8190" width="39" style="144" customWidth="1"/>
    <col min="8191" max="8191" width="5" style="144" customWidth="1"/>
    <col min="8192" max="8192" width="19.375" style="144" customWidth="1"/>
    <col min="8193" max="8193" width="2.375" style="144" customWidth="1"/>
    <col min="8194" max="8194" width="19.375" style="144" customWidth="1"/>
    <col min="8195" max="8195" width="2.375" style="144" customWidth="1"/>
    <col min="8196" max="8196" width="19.375" style="144" customWidth="1"/>
    <col min="8197" max="8197" width="19.375" style="144"/>
    <col min="8198" max="8198" width="6.5" style="144" customWidth="1"/>
    <col min="8199" max="8199" width="19.375" style="144" customWidth="1"/>
    <col min="8200" max="8200" width="2.375" style="144" customWidth="1"/>
    <col min="8201" max="8201" width="19.375" style="144" customWidth="1"/>
    <col min="8202" max="8202" width="2.375" style="144" customWidth="1"/>
    <col min="8203" max="8203" width="19.375" style="144"/>
    <col min="8204" max="8204" width="6.5" style="144" customWidth="1"/>
    <col min="8205" max="8205" width="19.375" style="144" customWidth="1"/>
    <col min="8206" max="8206" width="2.375" style="144" customWidth="1"/>
    <col min="8207" max="8207" width="19.375" style="144" customWidth="1"/>
    <col min="8208" max="8208" width="2.375" style="144" customWidth="1"/>
    <col min="8209" max="8209" width="19.375" style="144" customWidth="1"/>
    <col min="8210" max="8210" width="6.375" style="144" customWidth="1"/>
    <col min="8211" max="8211" width="19.375" style="144" customWidth="1"/>
    <col min="8212" max="8212" width="2.25" style="144" customWidth="1"/>
    <col min="8213" max="8213" width="19.375" style="144"/>
    <col min="8214" max="8214" width="2.25" style="144" customWidth="1"/>
    <col min="8215" max="8440" width="19.375" style="144"/>
    <col min="8441" max="8441" width="6.5" style="144" customWidth="1"/>
    <col min="8442" max="8442" width="10.5" style="144" customWidth="1"/>
    <col min="8443" max="8443" width="6.25" style="144" customWidth="1"/>
    <col min="8444" max="8444" width="35.5" style="144" customWidth="1"/>
    <col min="8445" max="8445" width="4.75" style="144" customWidth="1"/>
    <col min="8446" max="8446" width="39" style="144" customWidth="1"/>
    <col min="8447" max="8447" width="5" style="144" customWidth="1"/>
    <col min="8448" max="8448" width="19.375" style="144" customWidth="1"/>
    <col min="8449" max="8449" width="2.375" style="144" customWidth="1"/>
    <col min="8450" max="8450" width="19.375" style="144" customWidth="1"/>
    <col min="8451" max="8451" width="2.375" style="144" customWidth="1"/>
    <col min="8452" max="8452" width="19.375" style="144" customWidth="1"/>
    <col min="8453" max="8453" width="19.375" style="144"/>
    <col min="8454" max="8454" width="6.5" style="144" customWidth="1"/>
    <col min="8455" max="8455" width="19.375" style="144" customWidth="1"/>
    <col min="8456" max="8456" width="2.375" style="144" customWidth="1"/>
    <col min="8457" max="8457" width="19.375" style="144" customWidth="1"/>
    <col min="8458" max="8458" width="2.375" style="144" customWidth="1"/>
    <col min="8459" max="8459" width="19.375" style="144"/>
    <col min="8460" max="8460" width="6.5" style="144" customWidth="1"/>
    <col min="8461" max="8461" width="19.375" style="144" customWidth="1"/>
    <col min="8462" max="8462" width="2.375" style="144" customWidth="1"/>
    <col min="8463" max="8463" width="19.375" style="144" customWidth="1"/>
    <col min="8464" max="8464" width="2.375" style="144" customWidth="1"/>
    <col min="8465" max="8465" width="19.375" style="144" customWidth="1"/>
    <col min="8466" max="8466" width="6.375" style="144" customWidth="1"/>
    <col min="8467" max="8467" width="19.375" style="144" customWidth="1"/>
    <col min="8468" max="8468" width="2.25" style="144" customWidth="1"/>
    <col min="8469" max="8469" width="19.375" style="144"/>
    <col min="8470" max="8470" width="2.25" style="144" customWidth="1"/>
    <col min="8471" max="8696" width="19.375" style="144"/>
    <col min="8697" max="8697" width="6.5" style="144" customWidth="1"/>
    <col min="8698" max="8698" width="10.5" style="144" customWidth="1"/>
    <col min="8699" max="8699" width="6.25" style="144" customWidth="1"/>
    <col min="8700" max="8700" width="35.5" style="144" customWidth="1"/>
    <col min="8701" max="8701" width="4.75" style="144" customWidth="1"/>
    <col min="8702" max="8702" width="39" style="144" customWidth="1"/>
    <col min="8703" max="8703" width="5" style="144" customWidth="1"/>
    <col min="8704" max="8704" width="19.375" style="144" customWidth="1"/>
    <col min="8705" max="8705" width="2.375" style="144" customWidth="1"/>
    <col min="8706" max="8706" width="19.375" style="144" customWidth="1"/>
    <col min="8707" max="8707" width="2.375" style="144" customWidth="1"/>
    <col min="8708" max="8708" width="19.375" style="144" customWidth="1"/>
    <col min="8709" max="8709" width="19.375" style="144"/>
    <col min="8710" max="8710" width="6.5" style="144" customWidth="1"/>
    <col min="8711" max="8711" width="19.375" style="144" customWidth="1"/>
    <col min="8712" max="8712" width="2.375" style="144" customWidth="1"/>
    <col min="8713" max="8713" width="19.375" style="144" customWidth="1"/>
    <col min="8714" max="8714" width="2.375" style="144" customWidth="1"/>
    <col min="8715" max="8715" width="19.375" style="144"/>
    <col min="8716" max="8716" width="6.5" style="144" customWidth="1"/>
    <col min="8717" max="8717" width="19.375" style="144" customWidth="1"/>
    <col min="8718" max="8718" width="2.375" style="144" customWidth="1"/>
    <col min="8719" max="8719" width="19.375" style="144" customWidth="1"/>
    <col min="8720" max="8720" width="2.375" style="144" customWidth="1"/>
    <col min="8721" max="8721" width="19.375" style="144" customWidth="1"/>
    <col min="8722" max="8722" width="6.375" style="144" customWidth="1"/>
    <col min="8723" max="8723" width="19.375" style="144" customWidth="1"/>
    <col min="8724" max="8724" width="2.25" style="144" customWidth="1"/>
    <col min="8725" max="8725" width="19.375" style="144"/>
    <col min="8726" max="8726" width="2.25" style="144" customWidth="1"/>
    <col min="8727" max="8952" width="19.375" style="144"/>
    <col min="8953" max="8953" width="6.5" style="144" customWidth="1"/>
    <col min="8954" max="8954" width="10.5" style="144" customWidth="1"/>
    <col min="8955" max="8955" width="6.25" style="144" customWidth="1"/>
    <col min="8956" max="8956" width="35.5" style="144" customWidth="1"/>
    <col min="8957" max="8957" width="4.75" style="144" customWidth="1"/>
    <col min="8958" max="8958" width="39" style="144" customWidth="1"/>
    <col min="8959" max="8959" width="5" style="144" customWidth="1"/>
    <col min="8960" max="8960" width="19.375" style="144" customWidth="1"/>
    <col min="8961" max="8961" width="2.375" style="144" customWidth="1"/>
    <col min="8962" max="8962" width="19.375" style="144" customWidth="1"/>
    <col min="8963" max="8963" width="2.375" style="144" customWidth="1"/>
    <col min="8964" max="8964" width="19.375" style="144" customWidth="1"/>
    <col min="8965" max="8965" width="19.375" style="144"/>
    <col min="8966" max="8966" width="6.5" style="144" customWidth="1"/>
    <col min="8967" max="8967" width="19.375" style="144" customWidth="1"/>
    <col min="8968" max="8968" width="2.375" style="144" customWidth="1"/>
    <col min="8969" max="8969" width="19.375" style="144" customWidth="1"/>
    <col min="8970" max="8970" width="2.375" style="144" customWidth="1"/>
    <col min="8971" max="8971" width="19.375" style="144"/>
    <col min="8972" max="8972" width="6.5" style="144" customWidth="1"/>
    <col min="8973" max="8973" width="19.375" style="144" customWidth="1"/>
    <col min="8974" max="8974" width="2.375" style="144" customWidth="1"/>
    <col min="8975" max="8975" width="19.375" style="144" customWidth="1"/>
    <col min="8976" max="8976" width="2.375" style="144" customWidth="1"/>
    <col min="8977" max="8977" width="19.375" style="144" customWidth="1"/>
    <col min="8978" max="8978" width="6.375" style="144" customWidth="1"/>
    <col min="8979" max="8979" width="19.375" style="144" customWidth="1"/>
    <col min="8980" max="8980" width="2.25" style="144" customWidth="1"/>
    <col min="8981" max="8981" width="19.375" style="144"/>
    <col min="8982" max="8982" width="2.25" style="144" customWidth="1"/>
    <col min="8983" max="9208" width="19.375" style="144"/>
    <col min="9209" max="9209" width="6.5" style="144" customWidth="1"/>
    <col min="9210" max="9210" width="10.5" style="144" customWidth="1"/>
    <col min="9211" max="9211" width="6.25" style="144" customWidth="1"/>
    <col min="9212" max="9212" width="35.5" style="144" customWidth="1"/>
    <col min="9213" max="9213" width="4.75" style="144" customWidth="1"/>
    <col min="9214" max="9214" width="39" style="144" customWidth="1"/>
    <col min="9215" max="9215" width="5" style="144" customWidth="1"/>
    <col min="9216" max="9216" width="19.375" style="144" customWidth="1"/>
    <col min="9217" max="9217" width="2.375" style="144" customWidth="1"/>
    <col min="9218" max="9218" width="19.375" style="144" customWidth="1"/>
    <col min="9219" max="9219" width="2.375" style="144" customWidth="1"/>
    <col min="9220" max="9220" width="19.375" style="144" customWidth="1"/>
    <col min="9221" max="9221" width="19.375" style="144"/>
    <col min="9222" max="9222" width="6.5" style="144" customWidth="1"/>
    <col min="9223" max="9223" width="19.375" style="144" customWidth="1"/>
    <col min="9224" max="9224" width="2.375" style="144" customWidth="1"/>
    <col min="9225" max="9225" width="19.375" style="144" customWidth="1"/>
    <col min="9226" max="9226" width="2.375" style="144" customWidth="1"/>
    <col min="9227" max="9227" width="19.375" style="144"/>
    <col min="9228" max="9228" width="6.5" style="144" customWidth="1"/>
    <col min="9229" max="9229" width="19.375" style="144" customWidth="1"/>
    <col min="9230" max="9230" width="2.375" style="144" customWidth="1"/>
    <col min="9231" max="9231" width="19.375" style="144" customWidth="1"/>
    <col min="9232" max="9232" width="2.375" style="144" customWidth="1"/>
    <col min="9233" max="9233" width="19.375" style="144" customWidth="1"/>
    <col min="9234" max="9234" width="6.375" style="144" customWidth="1"/>
    <col min="9235" max="9235" width="19.375" style="144" customWidth="1"/>
    <col min="9236" max="9236" width="2.25" style="144" customWidth="1"/>
    <col min="9237" max="9237" width="19.375" style="144"/>
    <col min="9238" max="9238" width="2.25" style="144" customWidth="1"/>
    <col min="9239" max="9464" width="19.375" style="144"/>
    <col min="9465" max="9465" width="6.5" style="144" customWidth="1"/>
    <col min="9466" max="9466" width="10.5" style="144" customWidth="1"/>
    <col min="9467" max="9467" width="6.25" style="144" customWidth="1"/>
    <col min="9468" max="9468" width="35.5" style="144" customWidth="1"/>
    <col min="9469" max="9469" width="4.75" style="144" customWidth="1"/>
    <col min="9470" max="9470" width="39" style="144" customWidth="1"/>
    <col min="9471" max="9471" width="5" style="144" customWidth="1"/>
    <col min="9472" max="9472" width="19.375" style="144" customWidth="1"/>
    <col min="9473" max="9473" width="2.375" style="144" customWidth="1"/>
    <col min="9474" max="9474" width="19.375" style="144" customWidth="1"/>
    <col min="9475" max="9475" width="2.375" style="144" customWidth="1"/>
    <col min="9476" max="9476" width="19.375" style="144" customWidth="1"/>
    <col min="9477" max="9477" width="19.375" style="144"/>
    <col min="9478" max="9478" width="6.5" style="144" customWidth="1"/>
    <col min="9479" max="9479" width="19.375" style="144" customWidth="1"/>
    <col min="9480" max="9480" width="2.375" style="144" customWidth="1"/>
    <col min="9481" max="9481" width="19.375" style="144" customWidth="1"/>
    <col min="9482" max="9482" width="2.375" style="144" customWidth="1"/>
    <col min="9483" max="9483" width="19.375" style="144"/>
    <col min="9484" max="9484" width="6.5" style="144" customWidth="1"/>
    <col min="9485" max="9485" width="19.375" style="144" customWidth="1"/>
    <col min="9486" max="9486" width="2.375" style="144" customWidth="1"/>
    <col min="9487" max="9487" width="19.375" style="144" customWidth="1"/>
    <col min="9488" max="9488" width="2.375" style="144" customWidth="1"/>
    <col min="9489" max="9489" width="19.375" style="144" customWidth="1"/>
    <col min="9490" max="9490" width="6.375" style="144" customWidth="1"/>
    <col min="9491" max="9491" width="19.375" style="144" customWidth="1"/>
    <col min="9492" max="9492" width="2.25" style="144" customWidth="1"/>
    <col min="9493" max="9493" width="19.375" style="144"/>
    <col min="9494" max="9494" width="2.25" style="144" customWidth="1"/>
    <col min="9495" max="9720" width="19.375" style="144"/>
    <col min="9721" max="9721" width="6.5" style="144" customWidth="1"/>
    <col min="9722" max="9722" width="10.5" style="144" customWidth="1"/>
    <col min="9723" max="9723" width="6.25" style="144" customWidth="1"/>
    <col min="9724" max="9724" width="35.5" style="144" customWidth="1"/>
    <col min="9725" max="9725" width="4.75" style="144" customWidth="1"/>
    <col min="9726" max="9726" width="39" style="144" customWidth="1"/>
    <col min="9727" max="9727" width="5" style="144" customWidth="1"/>
    <col min="9728" max="9728" width="19.375" style="144" customWidth="1"/>
    <col min="9729" max="9729" width="2.375" style="144" customWidth="1"/>
    <col min="9730" max="9730" width="19.375" style="144" customWidth="1"/>
    <col min="9731" max="9731" width="2.375" style="144" customWidth="1"/>
    <col min="9732" max="9732" width="19.375" style="144" customWidth="1"/>
    <col min="9733" max="9733" width="19.375" style="144"/>
    <col min="9734" max="9734" width="6.5" style="144" customWidth="1"/>
    <col min="9735" max="9735" width="19.375" style="144" customWidth="1"/>
    <col min="9736" max="9736" width="2.375" style="144" customWidth="1"/>
    <col min="9737" max="9737" width="19.375" style="144" customWidth="1"/>
    <col min="9738" max="9738" width="2.375" style="144" customWidth="1"/>
    <col min="9739" max="9739" width="19.375" style="144"/>
    <col min="9740" max="9740" width="6.5" style="144" customWidth="1"/>
    <col min="9741" max="9741" width="19.375" style="144" customWidth="1"/>
    <col min="9742" max="9742" width="2.375" style="144" customWidth="1"/>
    <col min="9743" max="9743" width="19.375" style="144" customWidth="1"/>
    <col min="9744" max="9744" width="2.375" style="144" customWidth="1"/>
    <col min="9745" max="9745" width="19.375" style="144" customWidth="1"/>
    <col min="9746" max="9746" width="6.375" style="144" customWidth="1"/>
    <col min="9747" max="9747" width="19.375" style="144" customWidth="1"/>
    <col min="9748" max="9748" width="2.25" style="144" customWidth="1"/>
    <col min="9749" max="9749" width="19.375" style="144"/>
    <col min="9750" max="9750" width="2.25" style="144" customWidth="1"/>
    <col min="9751" max="9976" width="19.375" style="144"/>
    <col min="9977" max="9977" width="6.5" style="144" customWidth="1"/>
    <col min="9978" max="9978" width="10.5" style="144" customWidth="1"/>
    <col min="9979" max="9979" width="6.25" style="144" customWidth="1"/>
    <col min="9980" max="9980" width="35.5" style="144" customWidth="1"/>
    <col min="9981" max="9981" width="4.75" style="144" customWidth="1"/>
    <col min="9982" max="9982" width="39" style="144" customWidth="1"/>
    <col min="9983" max="9983" width="5" style="144" customWidth="1"/>
    <col min="9984" max="9984" width="19.375" style="144" customWidth="1"/>
    <col min="9985" max="9985" width="2.375" style="144" customWidth="1"/>
    <col min="9986" max="9986" width="19.375" style="144" customWidth="1"/>
    <col min="9987" max="9987" width="2.375" style="144" customWidth="1"/>
    <col min="9988" max="9988" width="19.375" style="144" customWidth="1"/>
    <col min="9989" max="9989" width="19.375" style="144"/>
    <col min="9990" max="9990" width="6.5" style="144" customWidth="1"/>
    <col min="9991" max="9991" width="19.375" style="144" customWidth="1"/>
    <col min="9992" max="9992" width="2.375" style="144" customWidth="1"/>
    <col min="9993" max="9993" width="19.375" style="144" customWidth="1"/>
    <col min="9994" max="9994" width="2.375" style="144" customWidth="1"/>
    <col min="9995" max="9995" width="19.375" style="144"/>
    <col min="9996" max="9996" width="6.5" style="144" customWidth="1"/>
    <col min="9997" max="9997" width="19.375" style="144" customWidth="1"/>
    <col min="9998" max="9998" width="2.375" style="144" customWidth="1"/>
    <col min="9999" max="9999" width="19.375" style="144" customWidth="1"/>
    <col min="10000" max="10000" width="2.375" style="144" customWidth="1"/>
    <col min="10001" max="10001" width="19.375" style="144" customWidth="1"/>
    <col min="10002" max="10002" width="6.375" style="144" customWidth="1"/>
    <col min="10003" max="10003" width="19.375" style="144" customWidth="1"/>
    <col min="10004" max="10004" width="2.25" style="144" customWidth="1"/>
    <col min="10005" max="10005" width="19.375" style="144"/>
    <col min="10006" max="10006" width="2.25" style="144" customWidth="1"/>
    <col min="10007" max="10232" width="19.375" style="144"/>
    <col min="10233" max="10233" width="6.5" style="144" customWidth="1"/>
    <col min="10234" max="10234" width="10.5" style="144" customWidth="1"/>
    <col min="10235" max="10235" width="6.25" style="144" customWidth="1"/>
    <col min="10236" max="10236" width="35.5" style="144" customWidth="1"/>
    <col min="10237" max="10237" width="4.75" style="144" customWidth="1"/>
    <col min="10238" max="10238" width="39" style="144" customWidth="1"/>
    <col min="10239" max="10239" width="5" style="144" customWidth="1"/>
    <col min="10240" max="10240" width="19.375" style="144" customWidth="1"/>
    <col min="10241" max="10241" width="2.375" style="144" customWidth="1"/>
    <col min="10242" max="10242" width="19.375" style="144" customWidth="1"/>
    <col min="10243" max="10243" width="2.375" style="144" customWidth="1"/>
    <col min="10244" max="10244" width="19.375" style="144" customWidth="1"/>
    <col min="10245" max="10245" width="19.375" style="144"/>
    <col min="10246" max="10246" width="6.5" style="144" customWidth="1"/>
    <col min="10247" max="10247" width="19.375" style="144" customWidth="1"/>
    <col min="10248" max="10248" width="2.375" style="144" customWidth="1"/>
    <col min="10249" max="10249" width="19.375" style="144" customWidth="1"/>
    <col min="10250" max="10250" width="2.375" style="144" customWidth="1"/>
    <col min="10251" max="10251" width="19.375" style="144"/>
    <col min="10252" max="10252" width="6.5" style="144" customWidth="1"/>
    <col min="10253" max="10253" width="19.375" style="144" customWidth="1"/>
    <col min="10254" max="10254" width="2.375" style="144" customWidth="1"/>
    <col min="10255" max="10255" width="19.375" style="144" customWidth="1"/>
    <col min="10256" max="10256" width="2.375" style="144" customWidth="1"/>
    <col min="10257" max="10257" width="19.375" style="144" customWidth="1"/>
    <col min="10258" max="10258" width="6.375" style="144" customWidth="1"/>
    <col min="10259" max="10259" width="19.375" style="144" customWidth="1"/>
    <col min="10260" max="10260" width="2.25" style="144" customWidth="1"/>
    <col min="10261" max="10261" width="19.375" style="144"/>
    <col min="10262" max="10262" width="2.25" style="144" customWidth="1"/>
    <col min="10263" max="10488" width="19.375" style="144"/>
    <col min="10489" max="10489" width="6.5" style="144" customWidth="1"/>
    <col min="10490" max="10490" width="10.5" style="144" customWidth="1"/>
    <col min="10491" max="10491" width="6.25" style="144" customWidth="1"/>
    <col min="10492" max="10492" width="35.5" style="144" customWidth="1"/>
    <col min="10493" max="10493" width="4.75" style="144" customWidth="1"/>
    <col min="10494" max="10494" width="39" style="144" customWidth="1"/>
    <col min="10495" max="10495" width="5" style="144" customWidth="1"/>
    <col min="10496" max="10496" width="19.375" style="144" customWidth="1"/>
    <col min="10497" max="10497" width="2.375" style="144" customWidth="1"/>
    <col min="10498" max="10498" width="19.375" style="144" customWidth="1"/>
    <col min="10499" max="10499" width="2.375" style="144" customWidth="1"/>
    <col min="10500" max="10500" width="19.375" style="144" customWidth="1"/>
    <col min="10501" max="10501" width="19.375" style="144"/>
    <col min="10502" max="10502" width="6.5" style="144" customWidth="1"/>
    <col min="10503" max="10503" width="19.375" style="144" customWidth="1"/>
    <col min="10504" max="10504" width="2.375" style="144" customWidth="1"/>
    <col min="10505" max="10505" width="19.375" style="144" customWidth="1"/>
    <col min="10506" max="10506" width="2.375" style="144" customWidth="1"/>
    <col min="10507" max="10507" width="19.375" style="144"/>
    <col min="10508" max="10508" width="6.5" style="144" customWidth="1"/>
    <col min="10509" max="10509" width="19.375" style="144" customWidth="1"/>
    <col min="10510" max="10510" width="2.375" style="144" customWidth="1"/>
    <col min="10511" max="10511" width="19.375" style="144" customWidth="1"/>
    <col min="10512" max="10512" width="2.375" style="144" customWidth="1"/>
    <col min="10513" max="10513" width="19.375" style="144" customWidth="1"/>
    <col min="10514" max="10514" width="6.375" style="144" customWidth="1"/>
    <col min="10515" max="10515" width="19.375" style="144" customWidth="1"/>
    <col min="10516" max="10516" width="2.25" style="144" customWidth="1"/>
    <col min="10517" max="10517" width="19.375" style="144"/>
    <col min="10518" max="10518" width="2.25" style="144" customWidth="1"/>
    <col min="10519" max="10744" width="19.375" style="144"/>
    <col min="10745" max="10745" width="6.5" style="144" customWidth="1"/>
    <col min="10746" max="10746" width="10.5" style="144" customWidth="1"/>
    <col min="10747" max="10747" width="6.25" style="144" customWidth="1"/>
    <col min="10748" max="10748" width="35.5" style="144" customWidth="1"/>
    <col min="10749" max="10749" width="4.75" style="144" customWidth="1"/>
    <col min="10750" max="10750" width="39" style="144" customWidth="1"/>
    <col min="10751" max="10751" width="5" style="144" customWidth="1"/>
    <col min="10752" max="10752" width="19.375" style="144" customWidth="1"/>
    <col min="10753" max="10753" width="2.375" style="144" customWidth="1"/>
    <col min="10754" max="10754" width="19.375" style="144" customWidth="1"/>
    <col min="10755" max="10755" width="2.375" style="144" customWidth="1"/>
    <col min="10756" max="10756" width="19.375" style="144" customWidth="1"/>
    <col min="10757" max="10757" width="19.375" style="144"/>
    <col min="10758" max="10758" width="6.5" style="144" customWidth="1"/>
    <col min="10759" max="10759" width="19.375" style="144" customWidth="1"/>
    <col min="10760" max="10760" width="2.375" style="144" customWidth="1"/>
    <col min="10761" max="10761" width="19.375" style="144" customWidth="1"/>
    <col min="10762" max="10762" width="2.375" style="144" customWidth="1"/>
    <col min="10763" max="10763" width="19.375" style="144"/>
    <col min="10764" max="10764" width="6.5" style="144" customWidth="1"/>
    <col min="10765" max="10765" width="19.375" style="144" customWidth="1"/>
    <col min="10766" max="10766" width="2.375" style="144" customWidth="1"/>
    <col min="10767" max="10767" width="19.375" style="144" customWidth="1"/>
    <col min="10768" max="10768" width="2.375" style="144" customWidth="1"/>
    <col min="10769" max="10769" width="19.375" style="144" customWidth="1"/>
    <col min="10770" max="10770" width="6.375" style="144" customWidth="1"/>
    <col min="10771" max="10771" width="19.375" style="144" customWidth="1"/>
    <col min="10772" max="10772" width="2.25" style="144" customWidth="1"/>
    <col min="10773" max="10773" width="19.375" style="144"/>
    <col min="10774" max="10774" width="2.25" style="144" customWidth="1"/>
    <col min="10775" max="11000" width="19.375" style="144"/>
    <col min="11001" max="11001" width="6.5" style="144" customWidth="1"/>
    <col min="11002" max="11002" width="10.5" style="144" customWidth="1"/>
    <col min="11003" max="11003" width="6.25" style="144" customWidth="1"/>
    <col min="11004" max="11004" width="35.5" style="144" customWidth="1"/>
    <col min="11005" max="11005" width="4.75" style="144" customWidth="1"/>
    <col min="11006" max="11006" width="39" style="144" customWidth="1"/>
    <col min="11007" max="11007" width="5" style="144" customWidth="1"/>
    <col min="11008" max="11008" width="19.375" style="144" customWidth="1"/>
    <col min="11009" max="11009" width="2.375" style="144" customWidth="1"/>
    <col min="11010" max="11010" width="19.375" style="144" customWidth="1"/>
    <col min="11011" max="11011" width="2.375" style="144" customWidth="1"/>
    <col min="11012" max="11012" width="19.375" style="144" customWidth="1"/>
    <col min="11013" max="11013" width="19.375" style="144"/>
    <col min="11014" max="11014" width="6.5" style="144" customWidth="1"/>
    <col min="11015" max="11015" width="19.375" style="144" customWidth="1"/>
    <col min="11016" max="11016" width="2.375" style="144" customWidth="1"/>
    <col min="11017" max="11017" width="19.375" style="144" customWidth="1"/>
    <col min="11018" max="11018" width="2.375" style="144" customWidth="1"/>
    <col min="11019" max="11019" width="19.375" style="144"/>
    <col min="11020" max="11020" width="6.5" style="144" customWidth="1"/>
    <col min="11021" max="11021" width="19.375" style="144" customWidth="1"/>
    <col min="11022" max="11022" width="2.375" style="144" customWidth="1"/>
    <col min="11023" max="11023" width="19.375" style="144" customWidth="1"/>
    <col min="11024" max="11024" width="2.375" style="144" customWidth="1"/>
    <col min="11025" max="11025" width="19.375" style="144" customWidth="1"/>
    <col min="11026" max="11026" width="6.375" style="144" customWidth="1"/>
    <col min="11027" max="11027" width="19.375" style="144" customWidth="1"/>
    <col min="11028" max="11028" width="2.25" style="144" customWidth="1"/>
    <col min="11029" max="11029" width="19.375" style="144"/>
    <col min="11030" max="11030" width="2.25" style="144" customWidth="1"/>
    <col min="11031" max="11256" width="19.375" style="144"/>
    <col min="11257" max="11257" width="6.5" style="144" customWidth="1"/>
    <col min="11258" max="11258" width="10.5" style="144" customWidth="1"/>
    <col min="11259" max="11259" width="6.25" style="144" customWidth="1"/>
    <col min="11260" max="11260" width="35.5" style="144" customWidth="1"/>
    <col min="11261" max="11261" width="4.75" style="144" customWidth="1"/>
    <col min="11262" max="11262" width="39" style="144" customWidth="1"/>
    <col min="11263" max="11263" width="5" style="144" customWidth="1"/>
    <col min="11264" max="11264" width="19.375" style="144" customWidth="1"/>
    <col min="11265" max="11265" width="2.375" style="144" customWidth="1"/>
    <col min="11266" max="11266" width="19.375" style="144" customWidth="1"/>
    <col min="11267" max="11267" width="2.375" style="144" customWidth="1"/>
    <col min="11268" max="11268" width="19.375" style="144" customWidth="1"/>
    <col min="11269" max="11269" width="19.375" style="144"/>
    <col min="11270" max="11270" width="6.5" style="144" customWidth="1"/>
    <col min="11271" max="11271" width="19.375" style="144" customWidth="1"/>
    <col min="11272" max="11272" width="2.375" style="144" customWidth="1"/>
    <col min="11273" max="11273" width="19.375" style="144" customWidth="1"/>
    <col min="11274" max="11274" width="2.375" style="144" customWidth="1"/>
    <col min="11275" max="11275" width="19.375" style="144"/>
    <col min="11276" max="11276" width="6.5" style="144" customWidth="1"/>
    <col min="11277" max="11277" width="19.375" style="144" customWidth="1"/>
    <col min="11278" max="11278" width="2.375" style="144" customWidth="1"/>
    <col min="11279" max="11279" width="19.375" style="144" customWidth="1"/>
    <col min="11280" max="11280" width="2.375" style="144" customWidth="1"/>
    <col min="11281" max="11281" width="19.375" style="144" customWidth="1"/>
    <col min="11282" max="11282" width="6.375" style="144" customWidth="1"/>
    <col min="11283" max="11283" width="19.375" style="144" customWidth="1"/>
    <col min="11284" max="11284" width="2.25" style="144" customWidth="1"/>
    <col min="11285" max="11285" width="19.375" style="144"/>
    <col min="11286" max="11286" width="2.25" style="144" customWidth="1"/>
    <col min="11287" max="11512" width="19.375" style="144"/>
    <col min="11513" max="11513" width="6.5" style="144" customWidth="1"/>
    <col min="11514" max="11514" width="10.5" style="144" customWidth="1"/>
    <col min="11515" max="11515" width="6.25" style="144" customWidth="1"/>
    <col min="11516" max="11516" width="35.5" style="144" customWidth="1"/>
    <col min="11517" max="11517" width="4.75" style="144" customWidth="1"/>
    <col min="11518" max="11518" width="39" style="144" customWidth="1"/>
    <col min="11519" max="11519" width="5" style="144" customWidth="1"/>
    <col min="11520" max="11520" width="19.375" style="144" customWidth="1"/>
    <col min="11521" max="11521" width="2.375" style="144" customWidth="1"/>
    <col min="11522" max="11522" width="19.375" style="144" customWidth="1"/>
    <col min="11523" max="11523" width="2.375" style="144" customWidth="1"/>
    <col min="11524" max="11524" width="19.375" style="144" customWidth="1"/>
    <col min="11525" max="11525" width="19.375" style="144"/>
    <col min="11526" max="11526" width="6.5" style="144" customWidth="1"/>
    <col min="11527" max="11527" width="19.375" style="144" customWidth="1"/>
    <col min="11528" max="11528" width="2.375" style="144" customWidth="1"/>
    <col min="11529" max="11529" width="19.375" style="144" customWidth="1"/>
    <col min="11530" max="11530" width="2.375" style="144" customWidth="1"/>
    <col min="11531" max="11531" width="19.375" style="144"/>
    <col min="11532" max="11532" width="6.5" style="144" customWidth="1"/>
    <col min="11533" max="11533" width="19.375" style="144" customWidth="1"/>
    <col min="11534" max="11534" width="2.375" style="144" customWidth="1"/>
    <col min="11535" max="11535" width="19.375" style="144" customWidth="1"/>
    <col min="11536" max="11536" width="2.375" style="144" customWidth="1"/>
    <col min="11537" max="11537" width="19.375" style="144" customWidth="1"/>
    <col min="11538" max="11538" width="6.375" style="144" customWidth="1"/>
    <col min="11539" max="11539" width="19.375" style="144" customWidth="1"/>
    <col min="11540" max="11540" width="2.25" style="144" customWidth="1"/>
    <col min="11541" max="11541" width="19.375" style="144"/>
    <col min="11542" max="11542" width="2.25" style="144" customWidth="1"/>
    <col min="11543" max="11768" width="19.375" style="144"/>
    <col min="11769" max="11769" width="6.5" style="144" customWidth="1"/>
    <col min="11770" max="11770" width="10.5" style="144" customWidth="1"/>
    <col min="11771" max="11771" width="6.25" style="144" customWidth="1"/>
    <col min="11772" max="11772" width="35.5" style="144" customWidth="1"/>
    <col min="11773" max="11773" width="4.75" style="144" customWidth="1"/>
    <col min="11774" max="11774" width="39" style="144" customWidth="1"/>
    <col min="11775" max="11775" width="5" style="144" customWidth="1"/>
    <col min="11776" max="11776" width="19.375" style="144" customWidth="1"/>
    <col min="11777" max="11777" width="2.375" style="144" customWidth="1"/>
    <col min="11778" max="11778" width="19.375" style="144" customWidth="1"/>
    <col min="11779" max="11779" width="2.375" style="144" customWidth="1"/>
    <col min="11780" max="11780" width="19.375" style="144" customWidth="1"/>
    <col min="11781" max="11781" width="19.375" style="144"/>
    <col min="11782" max="11782" width="6.5" style="144" customWidth="1"/>
    <col min="11783" max="11783" width="19.375" style="144" customWidth="1"/>
    <col min="11784" max="11784" width="2.375" style="144" customWidth="1"/>
    <col min="11785" max="11785" width="19.375" style="144" customWidth="1"/>
    <col min="11786" max="11786" width="2.375" style="144" customWidth="1"/>
    <col min="11787" max="11787" width="19.375" style="144"/>
    <col min="11788" max="11788" width="6.5" style="144" customWidth="1"/>
    <col min="11789" max="11789" width="19.375" style="144" customWidth="1"/>
    <col min="11790" max="11790" width="2.375" style="144" customWidth="1"/>
    <col min="11791" max="11791" width="19.375" style="144" customWidth="1"/>
    <col min="11792" max="11792" width="2.375" style="144" customWidth="1"/>
    <col min="11793" max="11793" width="19.375" style="144" customWidth="1"/>
    <col min="11794" max="11794" width="6.375" style="144" customWidth="1"/>
    <col min="11795" max="11795" width="19.375" style="144" customWidth="1"/>
    <col min="11796" max="11796" width="2.25" style="144" customWidth="1"/>
    <col min="11797" max="11797" width="19.375" style="144"/>
    <col min="11798" max="11798" width="2.25" style="144" customWidth="1"/>
    <col min="11799" max="12024" width="19.375" style="144"/>
    <col min="12025" max="12025" width="6.5" style="144" customWidth="1"/>
    <col min="12026" max="12026" width="10.5" style="144" customWidth="1"/>
    <col min="12027" max="12027" width="6.25" style="144" customWidth="1"/>
    <col min="12028" max="12028" width="35.5" style="144" customWidth="1"/>
    <col min="12029" max="12029" width="4.75" style="144" customWidth="1"/>
    <col min="12030" max="12030" width="39" style="144" customWidth="1"/>
    <col min="12031" max="12031" width="5" style="144" customWidth="1"/>
    <col min="12032" max="12032" width="19.375" style="144" customWidth="1"/>
    <col min="12033" max="12033" width="2.375" style="144" customWidth="1"/>
    <col min="12034" max="12034" width="19.375" style="144" customWidth="1"/>
    <col min="12035" max="12035" width="2.375" style="144" customWidth="1"/>
    <col min="12036" max="12036" width="19.375" style="144" customWidth="1"/>
    <col min="12037" max="12037" width="19.375" style="144"/>
    <col min="12038" max="12038" width="6.5" style="144" customWidth="1"/>
    <col min="12039" max="12039" width="19.375" style="144" customWidth="1"/>
    <col min="12040" max="12040" width="2.375" style="144" customWidth="1"/>
    <col min="12041" max="12041" width="19.375" style="144" customWidth="1"/>
    <col min="12042" max="12042" width="2.375" style="144" customWidth="1"/>
    <col min="12043" max="12043" width="19.375" style="144"/>
    <col min="12044" max="12044" width="6.5" style="144" customWidth="1"/>
    <col min="12045" max="12045" width="19.375" style="144" customWidth="1"/>
    <col min="12046" max="12046" width="2.375" style="144" customWidth="1"/>
    <col min="12047" max="12047" width="19.375" style="144" customWidth="1"/>
    <col min="12048" max="12048" width="2.375" style="144" customWidth="1"/>
    <col min="12049" max="12049" width="19.375" style="144" customWidth="1"/>
    <col min="12050" max="12050" width="6.375" style="144" customWidth="1"/>
    <col min="12051" max="12051" width="19.375" style="144" customWidth="1"/>
    <col min="12052" max="12052" width="2.25" style="144" customWidth="1"/>
    <col min="12053" max="12053" width="19.375" style="144"/>
    <col min="12054" max="12054" width="2.25" style="144" customWidth="1"/>
    <col min="12055" max="12280" width="19.375" style="144"/>
    <col min="12281" max="12281" width="6.5" style="144" customWidth="1"/>
    <col min="12282" max="12282" width="10.5" style="144" customWidth="1"/>
    <col min="12283" max="12283" width="6.25" style="144" customWidth="1"/>
    <col min="12284" max="12284" width="35.5" style="144" customWidth="1"/>
    <col min="12285" max="12285" width="4.75" style="144" customWidth="1"/>
    <col min="12286" max="12286" width="39" style="144" customWidth="1"/>
    <col min="12287" max="12287" width="5" style="144" customWidth="1"/>
    <col min="12288" max="12288" width="19.375" style="144" customWidth="1"/>
    <col min="12289" max="12289" width="2.375" style="144" customWidth="1"/>
    <col min="12290" max="12290" width="19.375" style="144" customWidth="1"/>
    <col min="12291" max="12291" width="2.375" style="144" customWidth="1"/>
    <col min="12292" max="12292" width="19.375" style="144" customWidth="1"/>
    <col min="12293" max="12293" width="19.375" style="144"/>
    <col min="12294" max="12294" width="6.5" style="144" customWidth="1"/>
    <col min="12295" max="12295" width="19.375" style="144" customWidth="1"/>
    <col min="12296" max="12296" width="2.375" style="144" customWidth="1"/>
    <col min="12297" max="12297" width="19.375" style="144" customWidth="1"/>
    <col min="12298" max="12298" width="2.375" style="144" customWidth="1"/>
    <col min="12299" max="12299" width="19.375" style="144"/>
    <col min="12300" max="12300" width="6.5" style="144" customWidth="1"/>
    <col min="12301" max="12301" width="19.375" style="144" customWidth="1"/>
    <col min="12302" max="12302" width="2.375" style="144" customWidth="1"/>
    <col min="12303" max="12303" width="19.375" style="144" customWidth="1"/>
    <col min="12304" max="12304" width="2.375" style="144" customWidth="1"/>
    <col min="12305" max="12305" width="19.375" style="144" customWidth="1"/>
    <col min="12306" max="12306" width="6.375" style="144" customWidth="1"/>
    <col min="12307" max="12307" width="19.375" style="144" customWidth="1"/>
    <col min="12308" max="12308" width="2.25" style="144" customWidth="1"/>
    <col min="12309" max="12309" width="19.375" style="144"/>
    <col min="12310" max="12310" width="2.25" style="144" customWidth="1"/>
    <col min="12311" max="12536" width="19.375" style="144"/>
    <col min="12537" max="12537" width="6.5" style="144" customWidth="1"/>
    <col min="12538" max="12538" width="10.5" style="144" customWidth="1"/>
    <col min="12539" max="12539" width="6.25" style="144" customWidth="1"/>
    <col min="12540" max="12540" width="35.5" style="144" customWidth="1"/>
    <col min="12541" max="12541" width="4.75" style="144" customWidth="1"/>
    <col min="12542" max="12542" width="39" style="144" customWidth="1"/>
    <col min="12543" max="12543" width="5" style="144" customWidth="1"/>
    <col min="12544" max="12544" width="19.375" style="144" customWidth="1"/>
    <col min="12545" max="12545" width="2.375" style="144" customWidth="1"/>
    <col min="12546" max="12546" width="19.375" style="144" customWidth="1"/>
    <col min="12547" max="12547" width="2.375" style="144" customWidth="1"/>
    <col min="12548" max="12548" width="19.375" style="144" customWidth="1"/>
    <col min="12549" max="12549" width="19.375" style="144"/>
    <col min="12550" max="12550" width="6.5" style="144" customWidth="1"/>
    <col min="12551" max="12551" width="19.375" style="144" customWidth="1"/>
    <col min="12552" max="12552" width="2.375" style="144" customWidth="1"/>
    <col min="12553" max="12553" width="19.375" style="144" customWidth="1"/>
    <col min="12554" max="12554" width="2.375" style="144" customWidth="1"/>
    <col min="12555" max="12555" width="19.375" style="144"/>
    <col min="12556" max="12556" width="6.5" style="144" customWidth="1"/>
    <col min="12557" max="12557" width="19.375" style="144" customWidth="1"/>
    <col min="12558" max="12558" width="2.375" style="144" customWidth="1"/>
    <col min="12559" max="12559" width="19.375" style="144" customWidth="1"/>
    <col min="12560" max="12560" width="2.375" style="144" customWidth="1"/>
    <col min="12561" max="12561" width="19.375" style="144" customWidth="1"/>
    <col min="12562" max="12562" width="6.375" style="144" customWidth="1"/>
    <col min="12563" max="12563" width="19.375" style="144" customWidth="1"/>
    <col min="12564" max="12564" width="2.25" style="144" customWidth="1"/>
    <col min="12565" max="12565" width="19.375" style="144"/>
    <col min="12566" max="12566" width="2.25" style="144" customWidth="1"/>
    <col min="12567" max="12792" width="19.375" style="144"/>
    <col min="12793" max="12793" width="6.5" style="144" customWidth="1"/>
    <col min="12794" max="12794" width="10.5" style="144" customWidth="1"/>
    <col min="12795" max="12795" width="6.25" style="144" customWidth="1"/>
    <col min="12796" max="12796" width="35.5" style="144" customWidth="1"/>
    <col min="12797" max="12797" width="4.75" style="144" customWidth="1"/>
    <col min="12798" max="12798" width="39" style="144" customWidth="1"/>
    <col min="12799" max="12799" width="5" style="144" customWidth="1"/>
    <col min="12800" max="12800" width="19.375" style="144" customWidth="1"/>
    <col min="12801" max="12801" width="2.375" style="144" customWidth="1"/>
    <col min="12802" max="12802" width="19.375" style="144" customWidth="1"/>
    <col min="12803" max="12803" width="2.375" style="144" customWidth="1"/>
    <col min="12804" max="12804" width="19.375" style="144" customWidth="1"/>
    <col min="12805" max="12805" width="19.375" style="144"/>
    <col min="12806" max="12806" width="6.5" style="144" customWidth="1"/>
    <col min="12807" max="12807" width="19.375" style="144" customWidth="1"/>
    <col min="12808" max="12808" width="2.375" style="144" customWidth="1"/>
    <col min="12809" max="12809" width="19.375" style="144" customWidth="1"/>
    <col min="12810" max="12810" width="2.375" style="144" customWidth="1"/>
    <col min="12811" max="12811" width="19.375" style="144"/>
    <col min="12812" max="12812" width="6.5" style="144" customWidth="1"/>
    <col min="12813" max="12813" width="19.375" style="144" customWidth="1"/>
    <col min="12814" max="12814" width="2.375" style="144" customWidth="1"/>
    <col min="12815" max="12815" width="19.375" style="144" customWidth="1"/>
    <col min="12816" max="12816" width="2.375" style="144" customWidth="1"/>
    <col min="12817" max="12817" width="19.375" style="144" customWidth="1"/>
    <col min="12818" max="12818" width="6.375" style="144" customWidth="1"/>
    <col min="12819" max="12819" width="19.375" style="144" customWidth="1"/>
    <col min="12820" max="12820" width="2.25" style="144" customWidth="1"/>
    <col min="12821" max="12821" width="19.375" style="144"/>
    <col min="12822" max="12822" width="2.25" style="144" customWidth="1"/>
    <col min="12823" max="13048" width="19.375" style="144"/>
    <col min="13049" max="13049" width="6.5" style="144" customWidth="1"/>
    <col min="13050" max="13050" width="10.5" style="144" customWidth="1"/>
    <col min="13051" max="13051" width="6.25" style="144" customWidth="1"/>
    <col min="13052" max="13052" width="35.5" style="144" customWidth="1"/>
    <col min="13053" max="13053" width="4.75" style="144" customWidth="1"/>
    <col min="13054" max="13054" width="39" style="144" customWidth="1"/>
    <col min="13055" max="13055" width="5" style="144" customWidth="1"/>
    <col min="13056" max="13056" width="19.375" style="144" customWidth="1"/>
    <col min="13057" max="13057" width="2.375" style="144" customWidth="1"/>
    <col min="13058" max="13058" width="19.375" style="144" customWidth="1"/>
    <col min="13059" max="13059" width="2.375" style="144" customWidth="1"/>
    <col min="13060" max="13060" width="19.375" style="144" customWidth="1"/>
    <col min="13061" max="13061" width="19.375" style="144"/>
    <col min="13062" max="13062" width="6.5" style="144" customWidth="1"/>
    <col min="13063" max="13063" width="19.375" style="144" customWidth="1"/>
    <col min="13064" max="13064" width="2.375" style="144" customWidth="1"/>
    <col min="13065" max="13065" width="19.375" style="144" customWidth="1"/>
    <col min="13066" max="13066" width="2.375" style="144" customWidth="1"/>
    <col min="13067" max="13067" width="19.375" style="144"/>
    <col min="13068" max="13068" width="6.5" style="144" customWidth="1"/>
    <col min="13069" max="13069" width="19.375" style="144" customWidth="1"/>
    <col min="13070" max="13070" width="2.375" style="144" customWidth="1"/>
    <col min="13071" max="13071" width="19.375" style="144" customWidth="1"/>
    <col min="13072" max="13072" width="2.375" style="144" customWidth="1"/>
    <col min="13073" max="13073" width="19.375" style="144" customWidth="1"/>
    <col min="13074" max="13074" width="6.375" style="144" customWidth="1"/>
    <col min="13075" max="13075" width="19.375" style="144" customWidth="1"/>
    <col min="13076" max="13076" width="2.25" style="144" customWidth="1"/>
    <col min="13077" max="13077" width="19.375" style="144"/>
    <col min="13078" max="13078" width="2.25" style="144" customWidth="1"/>
    <col min="13079" max="13304" width="19.375" style="144"/>
    <col min="13305" max="13305" width="6.5" style="144" customWidth="1"/>
    <col min="13306" max="13306" width="10.5" style="144" customWidth="1"/>
    <col min="13307" max="13307" width="6.25" style="144" customWidth="1"/>
    <col min="13308" max="13308" width="35.5" style="144" customWidth="1"/>
    <col min="13309" max="13309" width="4.75" style="144" customWidth="1"/>
    <col min="13310" max="13310" width="39" style="144" customWidth="1"/>
    <col min="13311" max="13311" width="5" style="144" customWidth="1"/>
    <col min="13312" max="13312" width="19.375" style="144" customWidth="1"/>
    <col min="13313" max="13313" width="2.375" style="144" customWidth="1"/>
    <col min="13314" max="13314" width="19.375" style="144" customWidth="1"/>
    <col min="13315" max="13315" width="2.375" style="144" customWidth="1"/>
    <col min="13316" max="13316" width="19.375" style="144" customWidth="1"/>
    <col min="13317" max="13317" width="19.375" style="144"/>
    <col min="13318" max="13318" width="6.5" style="144" customWidth="1"/>
    <col min="13319" max="13319" width="19.375" style="144" customWidth="1"/>
    <col min="13320" max="13320" width="2.375" style="144" customWidth="1"/>
    <col min="13321" max="13321" width="19.375" style="144" customWidth="1"/>
    <col min="13322" max="13322" width="2.375" style="144" customWidth="1"/>
    <col min="13323" max="13323" width="19.375" style="144"/>
    <col min="13324" max="13324" width="6.5" style="144" customWidth="1"/>
    <col min="13325" max="13325" width="19.375" style="144" customWidth="1"/>
    <col min="13326" max="13326" width="2.375" style="144" customWidth="1"/>
    <col min="13327" max="13327" width="19.375" style="144" customWidth="1"/>
    <col min="13328" max="13328" width="2.375" style="144" customWidth="1"/>
    <col min="13329" max="13329" width="19.375" style="144" customWidth="1"/>
    <col min="13330" max="13330" width="6.375" style="144" customWidth="1"/>
    <col min="13331" max="13331" width="19.375" style="144" customWidth="1"/>
    <col min="13332" max="13332" width="2.25" style="144" customWidth="1"/>
    <col min="13333" max="13333" width="19.375" style="144"/>
    <col min="13334" max="13334" width="2.25" style="144" customWidth="1"/>
    <col min="13335" max="13560" width="19.375" style="144"/>
    <col min="13561" max="13561" width="6.5" style="144" customWidth="1"/>
    <col min="13562" max="13562" width="10.5" style="144" customWidth="1"/>
    <col min="13563" max="13563" width="6.25" style="144" customWidth="1"/>
    <col min="13564" max="13564" width="35.5" style="144" customWidth="1"/>
    <col min="13565" max="13565" width="4.75" style="144" customWidth="1"/>
    <col min="13566" max="13566" width="39" style="144" customWidth="1"/>
    <col min="13567" max="13567" width="5" style="144" customWidth="1"/>
    <col min="13568" max="13568" width="19.375" style="144" customWidth="1"/>
    <col min="13569" max="13569" width="2.375" style="144" customWidth="1"/>
    <col min="13570" max="13570" width="19.375" style="144" customWidth="1"/>
    <col min="13571" max="13571" width="2.375" style="144" customWidth="1"/>
    <col min="13572" max="13572" width="19.375" style="144" customWidth="1"/>
    <col min="13573" max="13573" width="19.375" style="144"/>
    <col min="13574" max="13574" width="6.5" style="144" customWidth="1"/>
    <col min="13575" max="13575" width="19.375" style="144" customWidth="1"/>
    <col min="13576" max="13576" width="2.375" style="144" customWidth="1"/>
    <col min="13577" max="13577" width="19.375" style="144" customWidth="1"/>
    <col min="13578" max="13578" width="2.375" style="144" customWidth="1"/>
    <col min="13579" max="13579" width="19.375" style="144"/>
    <col min="13580" max="13580" width="6.5" style="144" customWidth="1"/>
    <col min="13581" max="13581" width="19.375" style="144" customWidth="1"/>
    <col min="13582" max="13582" width="2.375" style="144" customWidth="1"/>
    <col min="13583" max="13583" width="19.375" style="144" customWidth="1"/>
    <col min="13584" max="13584" width="2.375" style="144" customWidth="1"/>
    <col min="13585" max="13585" width="19.375" style="144" customWidth="1"/>
    <col min="13586" max="13586" width="6.375" style="144" customWidth="1"/>
    <col min="13587" max="13587" width="19.375" style="144" customWidth="1"/>
    <col min="13588" max="13588" width="2.25" style="144" customWidth="1"/>
    <col min="13589" max="13589" width="19.375" style="144"/>
    <col min="13590" max="13590" width="2.25" style="144" customWidth="1"/>
    <col min="13591" max="13816" width="19.375" style="144"/>
    <col min="13817" max="13817" width="6.5" style="144" customWidth="1"/>
    <col min="13818" max="13818" width="10.5" style="144" customWidth="1"/>
    <col min="13819" max="13819" width="6.25" style="144" customWidth="1"/>
    <col min="13820" max="13820" width="35.5" style="144" customWidth="1"/>
    <col min="13821" max="13821" width="4.75" style="144" customWidth="1"/>
    <col min="13822" max="13822" width="39" style="144" customWidth="1"/>
    <col min="13823" max="13823" width="5" style="144" customWidth="1"/>
    <col min="13824" max="13824" width="19.375" style="144" customWidth="1"/>
    <col min="13825" max="13825" width="2.375" style="144" customWidth="1"/>
    <col min="13826" max="13826" width="19.375" style="144" customWidth="1"/>
    <col min="13827" max="13827" width="2.375" style="144" customWidth="1"/>
    <col min="13828" max="13828" width="19.375" style="144" customWidth="1"/>
    <col min="13829" max="13829" width="19.375" style="144"/>
    <col min="13830" max="13830" width="6.5" style="144" customWidth="1"/>
    <col min="13831" max="13831" width="19.375" style="144" customWidth="1"/>
    <col min="13832" max="13832" width="2.375" style="144" customWidth="1"/>
    <col min="13833" max="13833" width="19.375" style="144" customWidth="1"/>
    <col min="13834" max="13834" width="2.375" style="144" customWidth="1"/>
    <col min="13835" max="13835" width="19.375" style="144"/>
    <col min="13836" max="13836" width="6.5" style="144" customWidth="1"/>
    <col min="13837" max="13837" width="19.375" style="144" customWidth="1"/>
    <col min="13838" max="13838" width="2.375" style="144" customWidth="1"/>
    <col min="13839" max="13839" width="19.375" style="144" customWidth="1"/>
    <col min="13840" max="13840" width="2.375" style="144" customWidth="1"/>
    <col min="13841" max="13841" width="19.375" style="144" customWidth="1"/>
    <col min="13842" max="13842" width="6.375" style="144" customWidth="1"/>
    <col min="13843" max="13843" width="19.375" style="144" customWidth="1"/>
    <col min="13844" max="13844" width="2.25" style="144" customWidth="1"/>
    <col min="13845" max="13845" width="19.375" style="144"/>
    <col min="13846" max="13846" width="2.25" style="144" customWidth="1"/>
    <col min="13847" max="14072" width="19.375" style="144"/>
    <col min="14073" max="14073" width="6.5" style="144" customWidth="1"/>
    <col min="14074" max="14074" width="10.5" style="144" customWidth="1"/>
    <col min="14075" max="14075" width="6.25" style="144" customWidth="1"/>
    <col min="14076" max="14076" width="35.5" style="144" customWidth="1"/>
    <col min="14077" max="14077" width="4.75" style="144" customWidth="1"/>
    <col min="14078" max="14078" width="39" style="144" customWidth="1"/>
    <col min="14079" max="14079" width="5" style="144" customWidth="1"/>
    <col min="14080" max="14080" width="19.375" style="144" customWidth="1"/>
    <col min="14081" max="14081" width="2.375" style="144" customWidth="1"/>
    <col min="14082" max="14082" width="19.375" style="144" customWidth="1"/>
    <col min="14083" max="14083" width="2.375" style="144" customWidth="1"/>
    <col min="14084" max="14084" width="19.375" style="144" customWidth="1"/>
    <col min="14085" max="14085" width="19.375" style="144"/>
    <col min="14086" max="14086" width="6.5" style="144" customWidth="1"/>
    <col min="14087" max="14087" width="19.375" style="144" customWidth="1"/>
    <col min="14088" max="14088" width="2.375" style="144" customWidth="1"/>
    <col min="14089" max="14089" width="19.375" style="144" customWidth="1"/>
    <col min="14090" max="14090" width="2.375" style="144" customWidth="1"/>
    <col min="14091" max="14091" width="19.375" style="144"/>
    <col min="14092" max="14092" width="6.5" style="144" customWidth="1"/>
    <col min="14093" max="14093" width="19.375" style="144" customWidth="1"/>
    <col min="14094" max="14094" width="2.375" style="144" customWidth="1"/>
    <col min="14095" max="14095" width="19.375" style="144" customWidth="1"/>
    <col min="14096" max="14096" width="2.375" style="144" customWidth="1"/>
    <col min="14097" max="14097" width="19.375" style="144" customWidth="1"/>
    <col min="14098" max="14098" width="6.375" style="144" customWidth="1"/>
    <col min="14099" max="14099" width="19.375" style="144" customWidth="1"/>
    <col min="14100" max="14100" width="2.25" style="144" customWidth="1"/>
    <col min="14101" max="14101" width="19.375" style="144"/>
    <col min="14102" max="14102" width="2.25" style="144" customWidth="1"/>
    <col min="14103" max="14328" width="19.375" style="144"/>
    <col min="14329" max="14329" width="6.5" style="144" customWidth="1"/>
    <col min="14330" max="14330" width="10.5" style="144" customWidth="1"/>
    <col min="14331" max="14331" width="6.25" style="144" customWidth="1"/>
    <col min="14332" max="14332" width="35.5" style="144" customWidth="1"/>
    <col min="14333" max="14333" width="4.75" style="144" customWidth="1"/>
    <col min="14334" max="14334" width="39" style="144" customWidth="1"/>
    <col min="14335" max="14335" width="5" style="144" customWidth="1"/>
    <col min="14336" max="14336" width="19.375" style="144" customWidth="1"/>
    <col min="14337" max="14337" width="2.375" style="144" customWidth="1"/>
    <col min="14338" max="14338" width="19.375" style="144" customWidth="1"/>
    <col min="14339" max="14339" width="2.375" style="144" customWidth="1"/>
    <col min="14340" max="14340" width="19.375" style="144" customWidth="1"/>
    <col min="14341" max="14341" width="19.375" style="144"/>
    <col min="14342" max="14342" width="6.5" style="144" customWidth="1"/>
    <col min="14343" max="14343" width="19.375" style="144" customWidth="1"/>
    <col min="14344" max="14344" width="2.375" style="144" customWidth="1"/>
    <col min="14345" max="14345" width="19.375" style="144" customWidth="1"/>
    <col min="14346" max="14346" width="2.375" style="144" customWidth="1"/>
    <col min="14347" max="14347" width="19.375" style="144"/>
    <col min="14348" max="14348" width="6.5" style="144" customWidth="1"/>
    <col min="14349" max="14349" width="19.375" style="144" customWidth="1"/>
    <col min="14350" max="14350" width="2.375" style="144" customWidth="1"/>
    <col min="14351" max="14351" width="19.375" style="144" customWidth="1"/>
    <col min="14352" max="14352" width="2.375" style="144" customWidth="1"/>
    <col min="14353" max="14353" width="19.375" style="144" customWidth="1"/>
    <col min="14354" max="14354" width="6.375" style="144" customWidth="1"/>
    <col min="14355" max="14355" width="19.375" style="144" customWidth="1"/>
    <col min="14356" max="14356" width="2.25" style="144" customWidth="1"/>
    <col min="14357" max="14357" width="19.375" style="144"/>
    <col min="14358" max="14358" width="2.25" style="144" customWidth="1"/>
    <col min="14359" max="14584" width="19.375" style="144"/>
    <col min="14585" max="14585" width="6.5" style="144" customWidth="1"/>
    <col min="14586" max="14586" width="10.5" style="144" customWidth="1"/>
    <col min="14587" max="14587" width="6.25" style="144" customWidth="1"/>
    <col min="14588" max="14588" width="35.5" style="144" customWidth="1"/>
    <col min="14589" max="14589" width="4.75" style="144" customWidth="1"/>
    <col min="14590" max="14590" width="39" style="144" customWidth="1"/>
    <col min="14591" max="14591" width="5" style="144" customWidth="1"/>
    <col min="14592" max="14592" width="19.375" style="144" customWidth="1"/>
    <col min="14593" max="14593" width="2.375" style="144" customWidth="1"/>
    <col min="14594" max="14594" width="19.375" style="144" customWidth="1"/>
    <col min="14595" max="14595" width="2.375" style="144" customWidth="1"/>
    <col min="14596" max="14596" width="19.375" style="144" customWidth="1"/>
    <col min="14597" max="14597" width="19.375" style="144"/>
    <col min="14598" max="14598" width="6.5" style="144" customWidth="1"/>
    <col min="14599" max="14599" width="19.375" style="144" customWidth="1"/>
    <col min="14600" max="14600" width="2.375" style="144" customWidth="1"/>
    <col min="14601" max="14601" width="19.375" style="144" customWidth="1"/>
    <col min="14602" max="14602" width="2.375" style="144" customWidth="1"/>
    <col min="14603" max="14603" width="19.375" style="144"/>
    <col min="14604" max="14604" width="6.5" style="144" customWidth="1"/>
    <col min="14605" max="14605" width="19.375" style="144" customWidth="1"/>
    <col min="14606" max="14606" width="2.375" style="144" customWidth="1"/>
    <col min="14607" max="14607" width="19.375" style="144" customWidth="1"/>
    <col min="14608" max="14608" width="2.375" style="144" customWidth="1"/>
    <col min="14609" max="14609" width="19.375" style="144" customWidth="1"/>
    <col min="14610" max="14610" width="6.375" style="144" customWidth="1"/>
    <col min="14611" max="14611" width="19.375" style="144" customWidth="1"/>
    <col min="14612" max="14612" width="2.25" style="144" customWidth="1"/>
    <col min="14613" max="14613" width="19.375" style="144"/>
    <col min="14614" max="14614" width="2.25" style="144" customWidth="1"/>
    <col min="14615" max="14840" width="19.375" style="144"/>
    <col min="14841" max="14841" width="6.5" style="144" customWidth="1"/>
    <col min="14842" max="14842" width="10.5" style="144" customWidth="1"/>
    <col min="14843" max="14843" width="6.25" style="144" customWidth="1"/>
    <col min="14844" max="14844" width="35.5" style="144" customWidth="1"/>
    <col min="14845" max="14845" width="4.75" style="144" customWidth="1"/>
    <col min="14846" max="14846" width="39" style="144" customWidth="1"/>
    <col min="14847" max="14847" width="5" style="144" customWidth="1"/>
    <col min="14848" max="14848" width="19.375" style="144" customWidth="1"/>
    <col min="14849" max="14849" width="2.375" style="144" customWidth="1"/>
    <col min="14850" max="14850" width="19.375" style="144" customWidth="1"/>
    <col min="14851" max="14851" width="2.375" style="144" customWidth="1"/>
    <col min="14852" max="14852" width="19.375" style="144" customWidth="1"/>
    <col min="14853" max="14853" width="19.375" style="144"/>
    <col min="14854" max="14854" width="6.5" style="144" customWidth="1"/>
    <col min="14855" max="14855" width="19.375" style="144" customWidth="1"/>
    <col min="14856" max="14856" width="2.375" style="144" customWidth="1"/>
    <col min="14857" max="14857" width="19.375" style="144" customWidth="1"/>
    <col min="14858" max="14858" width="2.375" style="144" customWidth="1"/>
    <col min="14859" max="14859" width="19.375" style="144"/>
    <col min="14860" max="14860" width="6.5" style="144" customWidth="1"/>
    <col min="14861" max="14861" width="19.375" style="144" customWidth="1"/>
    <col min="14862" max="14862" width="2.375" style="144" customWidth="1"/>
    <col min="14863" max="14863" width="19.375" style="144" customWidth="1"/>
    <col min="14864" max="14864" width="2.375" style="144" customWidth="1"/>
    <col min="14865" max="14865" width="19.375" style="144" customWidth="1"/>
    <col min="14866" max="14866" width="6.375" style="144" customWidth="1"/>
    <col min="14867" max="14867" width="19.375" style="144" customWidth="1"/>
    <col min="14868" max="14868" width="2.25" style="144" customWidth="1"/>
    <col min="14869" max="14869" width="19.375" style="144"/>
    <col min="14870" max="14870" width="2.25" style="144" customWidth="1"/>
    <col min="14871" max="15096" width="19.375" style="144"/>
    <col min="15097" max="15097" width="6.5" style="144" customWidth="1"/>
    <col min="15098" max="15098" width="10.5" style="144" customWidth="1"/>
    <col min="15099" max="15099" width="6.25" style="144" customWidth="1"/>
    <col min="15100" max="15100" width="35.5" style="144" customWidth="1"/>
    <col min="15101" max="15101" width="4.75" style="144" customWidth="1"/>
    <col min="15102" max="15102" width="39" style="144" customWidth="1"/>
    <col min="15103" max="15103" width="5" style="144" customWidth="1"/>
    <col min="15104" max="15104" width="19.375" style="144" customWidth="1"/>
    <col min="15105" max="15105" width="2.375" style="144" customWidth="1"/>
    <col min="15106" max="15106" width="19.375" style="144" customWidth="1"/>
    <col min="15107" max="15107" width="2.375" style="144" customWidth="1"/>
    <col min="15108" max="15108" width="19.375" style="144" customWidth="1"/>
    <col min="15109" max="15109" width="19.375" style="144"/>
    <col min="15110" max="15110" width="6.5" style="144" customWidth="1"/>
    <col min="15111" max="15111" width="19.375" style="144" customWidth="1"/>
    <col min="15112" max="15112" width="2.375" style="144" customWidth="1"/>
    <col min="15113" max="15113" width="19.375" style="144" customWidth="1"/>
    <col min="15114" max="15114" width="2.375" style="144" customWidth="1"/>
    <col min="15115" max="15115" width="19.375" style="144"/>
    <col min="15116" max="15116" width="6.5" style="144" customWidth="1"/>
    <col min="15117" max="15117" width="19.375" style="144" customWidth="1"/>
    <col min="15118" max="15118" width="2.375" style="144" customWidth="1"/>
    <col min="15119" max="15119" width="19.375" style="144" customWidth="1"/>
    <col min="15120" max="15120" width="2.375" style="144" customWidth="1"/>
    <col min="15121" max="15121" width="19.375" style="144" customWidth="1"/>
    <col min="15122" max="15122" width="6.375" style="144" customWidth="1"/>
    <col min="15123" max="15123" width="19.375" style="144" customWidth="1"/>
    <col min="15124" max="15124" width="2.25" style="144" customWidth="1"/>
    <col min="15125" max="15125" width="19.375" style="144"/>
    <col min="15126" max="15126" width="2.25" style="144" customWidth="1"/>
    <col min="15127" max="15352" width="19.375" style="144"/>
    <col min="15353" max="15353" width="6.5" style="144" customWidth="1"/>
    <col min="15354" max="15354" width="10.5" style="144" customWidth="1"/>
    <col min="15355" max="15355" width="6.25" style="144" customWidth="1"/>
    <col min="15356" max="15356" width="35.5" style="144" customWidth="1"/>
    <col min="15357" max="15357" width="4.75" style="144" customWidth="1"/>
    <col min="15358" max="15358" width="39" style="144" customWidth="1"/>
    <col min="15359" max="15359" width="5" style="144" customWidth="1"/>
    <col min="15360" max="15360" width="19.375" style="144" customWidth="1"/>
    <col min="15361" max="15361" width="2.375" style="144" customWidth="1"/>
    <col min="15362" max="15362" width="19.375" style="144" customWidth="1"/>
    <col min="15363" max="15363" width="2.375" style="144" customWidth="1"/>
    <col min="15364" max="15364" width="19.375" style="144" customWidth="1"/>
    <col min="15365" max="15365" width="19.375" style="144"/>
    <col min="15366" max="15366" width="6.5" style="144" customWidth="1"/>
    <col min="15367" max="15367" width="19.375" style="144" customWidth="1"/>
    <col min="15368" max="15368" width="2.375" style="144" customWidth="1"/>
    <col min="15369" max="15369" width="19.375" style="144" customWidth="1"/>
    <col min="15370" max="15370" width="2.375" style="144" customWidth="1"/>
    <col min="15371" max="15371" width="19.375" style="144"/>
    <col min="15372" max="15372" width="6.5" style="144" customWidth="1"/>
    <col min="15373" max="15373" width="19.375" style="144" customWidth="1"/>
    <col min="15374" max="15374" width="2.375" style="144" customWidth="1"/>
    <col min="15375" max="15375" width="19.375" style="144" customWidth="1"/>
    <col min="15376" max="15376" width="2.375" style="144" customWidth="1"/>
    <col min="15377" max="15377" width="19.375" style="144" customWidth="1"/>
    <col min="15378" max="15378" width="6.375" style="144" customWidth="1"/>
    <col min="15379" max="15379" width="19.375" style="144" customWidth="1"/>
    <col min="15380" max="15380" width="2.25" style="144" customWidth="1"/>
    <col min="15381" max="15381" width="19.375" style="144"/>
    <col min="15382" max="15382" width="2.25" style="144" customWidth="1"/>
    <col min="15383" max="15608" width="19.375" style="144"/>
    <col min="15609" max="15609" width="6.5" style="144" customWidth="1"/>
    <col min="15610" max="15610" width="10.5" style="144" customWidth="1"/>
    <col min="15611" max="15611" width="6.25" style="144" customWidth="1"/>
    <col min="15612" max="15612" width="35.5" style="144" customWidth="1"/>
    <col min="15613" max="15613" width="4.75" style="144" customWidth="1"/>
    <col min="15614" max="15614" width="39" style="144" customWidth="1"/>
    <col min="15615" max="15615" width="5" style="144" customWidth="1"/>
    <col min="15616" max="15616" width="19.375" style="144" customWidth="1"/>
    <col min="15617" max="15617" width="2.375" style="144" customWidth="1"/>
    <col min="15618" max="15618" width="19.375" style="144" customWidth="1"/>
    <col min="15619" max="15619" width="2.375" style="144" customWidth="1"/>
    <col min="15620" max="15620" width="19.375" style="144" customWidth="1"/>
    <col min="15621" max="15621" width="19.375" style="144"/>
    <col min="15622" max="15622" width="6.5" style="144" customWidth="1"/>
    <col min="15623" max="15623" width="19.375" style="144" customWidth="1"/>
    <col min="15624" max="15624" width="2.375" style="144" customWidth="1"/>
    <col min="15625" max="15625" width="19.375" style="144" customWidth="1"/>
    <col min="15626" max="15626" width="2.375" style="144" customWidth="1"/>
    <col min="15627" max="15627" width="19.375" style="144"/>
    <col min="15628" max="15628" width="6.5" style="144" customWidth="1"/>
    <col min="15629" max="15629" width="19.375" style="144" customWidth="1"/>
    <col min="15630" max="15630" width="2.375" style="144" customWidth="1"/>
    <col min="15631" max="15631" width="19.375" style="144" customWidth="1"/>
    <col min="15632" max="15632" width="2.375" style="144" customWidth="1"/>
    <col min="15633" max="15633" width="19.375" style="144" customWidth="1"/>
    <col min="15634" max="15634" width="6.375" style="144" customWidth="1"/>
    <col min="15635" max="15635" width="19.375" style="144" customWidth="1"/>
    <col min="15636" max="15636" width="2.25" style="144" customWidth="1"/>
    <col min="15637" max="15637" width="19.375" style="144"/>
    <col min="15638" max="15638" width="2.25" style="144" customWidth="1"/>
    <col min="15639" max="15864" width="19.375" style="144"/>
    <col min="15865" max="15865" width="6.5" style="144" customWidth="1"/>
    <col min="15866" max="15866" width="10.5" style="144" customWidth="1"/>
    <col min="15867" max="15867" width="6.25" style="144" customWidth="1"/>
    <col min="15868" max="15868" width="35.5" style="144" customWidth="1"/>
    <col min="15869" max="15869" width="4.75" style="144" customWidth="1"/>
    <col min="15870" max="15870" width="39" style="144" customWidth="1"/>
    <col min="15871" max="15871" width="5" style="144" customWidth="1"/>
    <col min="15872" max="15872" width="19.375" style="144" customWidth="1"/>
    <col min="15873" max="15873" width="2.375" style="144" customWidth="1"/>
    <col min="15874" max="15874" width="19.375" style="144" customWidth="1"/>
    <col min="15875" max="15875" width="2.375" style="144" customWidth="1"/>
    <col min="15876" max="15876" width="19.375" style="144" customWidth="1"/>
    <col min="15877" max="15877" width="19.375" style="144"/>
    <col min="15878" max="15878" width="6.5" style="144" customWidth="1"/>
    <col min="15879" max="15879" width="19.375" style="144" customWidth="1"/>
    <col min="15880" max="15880" width="2.375" style="144" customWidth="1"/>
    <col min="15881" max="15881" width="19.375" style="144" customWidth="1"/>
    <col min="15882" max="15882" width="2.375" style="144" customWidth="1"/>
    <col min="15883" max="15883" width="19.375" style="144"/>
    <col min="15884" max="15884" width="6.5" style="144" customWidth="1"/>
    <col min="15885" max="15885" width="19.375" style="144" customWidth="1"/>
    <col min="15886" max="15886" width="2.375" style="144" customWidth="1"/>
    <col min="15887" max="15887" width="19.375" style="144" customWidth="1"/>
    <col min="15888" max="15888" width="2.375" style="144" customWidth="1"/>
    <col min="15889" max="15889" width="19.375" style="144" customWidth="1"/>
    <col min="15890" max="15890" width="6.375" style="144" customWidth="1"/>
    <col min="15891" max="15891" width="19.375" style="144" customWidth="1"/>
    <col min="15892" max="15892" width="2.25" style="144" customWidth="1"/>
    <col min="15893" max="15893" width="19.375" style="144"/>
    <col min="15894" max="15894" width="2.25" style="144" customWidth="1"/>
    <col min="15895" max="16120" width="19.375" style="144"/>
    <col min="16121" max="16121" width="6.5" style="144" customWidth="1"/>
    <col min="16122" max="16122" width="10.5" style="144" customWidth="1"/>
    <col min="16123" max="16123" width="6.25" style="144" customWidth="1"/>
    <col min="16124" max="16124" width="35.5" style="144" customWidth="1"/>
    <col min="16125" max="16125" width="4.75" style="144" customWidth="1"/>
    <col min="16126" max="16126" width="39" style="144" customWidth="1"/>
    <col min="16127" max="16127" width="5" style="144" customWidth="1"/>
    <col min="16128" max="16128" width="19.375" style="144" customWidth="1"/>
    <col min="16129" max="16129" width="2.375" style="144" customWidth="1"/>
    <col min="16130" max="16130" width="19.375" style="144" customWidth="1"/>
    <col min="16131" max="16131" width="2.375" style="144" customWidth="1"/>
    <col min="16132" max="16132" width="19.375" style="144" customWidth="1"/>
    <col min="16133" max="16133" width="19.375" style="144"/>
    <col min="16134" max="16134" width="6.5" style="144" customWidth="1"/>
    <col min="16135" max="16135" width="19.375" style="144" customWidth="1"/>
    <col min="16136" max="16136" width="2.375" style="144" customWidth="1"/>
    <col min="16137" max="16137" width="19.375" style="144" customWidth="1"/>
    <col min="16138" max="16138" width="2.375" style="144" customWidth="1"/>
    <col min="16139" max="16139" width="19.375" style="144"/>
    <col min="16140" max="16140" width="6.5" style="144" customWidth="1"/>
    <col min="16141" max="16141" width="19.375" style="144" customWidth="1"/>
    <col min="16142" max="16142" width="2.375" style="144" customWidth="1"/>
    <col min="16143" max="16143" width="19.375" style="144" customWidth="1"/>
    <col min="16144" max="16144" width="2.375" style="144" customWidth="1"/>
    <col min="16145" max="16145" width="19.375" style="144" customWidth="1"/>
    <col min="16146" max="16146" width="6.375" style="144" customWidth="1"/>
    <col min="16147" max="16147" width="19.375" style="144" customWidth="1"/>
    <col min="16148" max="16148" width="2.25" style="144" customWidth="1"/>
    <col min="16149" max="16149" width="19.375" style="144"/>
    <col min="16150" max="16150" width="2.25" style="144" customWidth="1"/>
    <col min="16151" max="16384" width="19.375" style="144"/>
  </cols>
  <sheetData>
    <row r="1" spans="1:23" s="145" customFormat="1">
      <c r="A1" s="392"/>
      <c r="B1" s="392"/>
      <c r="C1" s="393"/>
      <c r="D1" s="393"/>
      <c r="E1" s="397"/>
      <c r="F1" s="397"/>
      <c r="G1" s="365" t="s">
        <v>964</v>
      </c>
      <c r="H1" s="392"/>
      <c r="I1" s="392"/>
      <c r="J1" s="392"/>
      <c r="K1" s="662"/>
      <c r="L1" s="662"/>
      <c r="M1" s="662"/>
      <c r="N1" s="662"/>
      <c r="O1" s="662"/>
      <c r="P1" s="662"/>
      <c r="Q1" s="662"/>
      <c r="R1" s="146"/>
    </row>
    <row r="2" spans="1:23" s="145" customFormat="1">
      <c r="A2" s="392"/>
      <c r="B2" s="392"/>
      <c r="C2" s="393"/>
      <c r="D2" s="393"/>
      <c r="E2" s="397"/>
      <c r="F2" s="397"/>
      <c r="G2" s="313"/>
      <c r="H2" s="392"/>
      <c r="I2" s="392"/>
      <c r="J2" s="392"/>
      <c r="K2" s="662"/>
      <c r="L2" s="662"/>
      <c r="M2" s="662"/>
      <c r="N2" s="662"/>
      <c r="O2" s="662"/>
      <c r="P2" s="662"/>
      <c r="Q2" s="662"/>
      <c r="R2" s="146"/>
    </row>
    <row r="3" spans="1:23" s="145" customFormat="1">
      <c r="A3" s="392"/>
      <c r="B3" s="392"/>
      <c r="C3" s="393"/>
      <c r="D3" s="393"/>
      <c r="E3" s="397"/>
      <c r="F3" s="397"/>
      <c r="G3" s="392"/>
      <c r="H3" s="394"/>
      <c r="I3" s="394"/>
      <c r="J3" s="392"/>
      <c r="K3" s="662"/>
      <c r="L3" s="662"/>
      <c r="M3" s="662"/>
      <c r="N3" s="662"/>
      <c r="O3" s="662"/>
      <c r="P3" s="662"/>
      <c r="Q3" s="662"/>
      <c r="R3" s="146"/>
    </row>
    <row r="4" spans="1:23" s="13" customFormat="1" ht="18">
      <c r="A4" s="395"/>
      <c r="B4" s="395"/>
      <c r="C4" s="395"/>
      <c r="D4" s="395"/>
      <c r="E4" s="1326"/>
      <c r="F4" s="1326"/>
      <c r="G4" s="1845" t="s">
        <v>200</v>
      </c>
      <c r="H4" s="1845"/>
      <c r="I4" s="1845"/>
      <c r="J4" s="1845"/>
      <c r="K4" s="1845"/>
      <c r="L4" s="1845"/>
      <c r="M4" s="1845"/>
      <c r="N4" s="1845"/>
      <c r="O4" s="1845"/>
      <c r="P4" s="1845"/>
      <c r="Q4" s="1845"/>
    </row>
    <row r="5" spans="1:23" s="13" customFormat="1" ht="18">
      <c r="A5" s="395"/>
      <c r="B5" s="395"/>
      <c r="C5" s="395"/>
      <c r="D5" s="395"/>
      <c r="E5" s="1326"/>
      <c r="F5" s="1326"/>
      <c r="G5" s="1845" t="s">
        <v>103</v>
      </c>
      <c r="H5" s="1845"/>
      <c r="I5" s="1845"/>
      <c r="J5" s="1845"/>
      <c r="K5" s="1845"/>
      <c r="L5" s="1845"/>
      <c r="M5" s="1845"/>
      <c r="N5" s="1845"/>
      <c r="O5" s="1845"/>
      <c r="P5" s="1845"/>
      <c r="Q5" s="1845"/>
    </row>
    <row r="6" spans="1:23" s="13" customFormat="1" ht="18">
      <c r="A6" s="395"/>
      <c r="B6" s="395"/>
      <c r="C6" s="395"/>
      <c r="D6" s="395"/>
      <c r="E6" s="1326"/>
      <c r="F6" s="1326"/>
      <c r="G6" s="1789" t="str">
        <f>SUMMARY!A7</f>
        <v>YEAR ENDING DECEMBER 31, 2018</v>
      </c>
      <c r="H6" s="1789"/>
      <c r="I6" s="1789"/>
      <c r="J6" s="1789"/>
      <c r="K6" s="1789"/>
      <c r="L6" s="1789"/>
      <c r="M6" s="1789"/>
      <c r="N6" s="1789"/>
      <c r="O6" s="1789"/>
      <c r="P6" s="1789"/>
      <c r="Q6" s="1789"/>
    </row>
    <row r="7" spans="1:23" s="13" customFormat="1" ht="12" customHeight="1">
      <c r="A7" s="370"/>
      <c r="B7" s="372"/>
      <c r="C7" s="370"/>
      <c r="D7" s="370"/>
      <c r="E7" s="1327"/>
      <c r="F7" s="1327"/>
      <c r="G7" s="370"/>
      <c r="H7" s="370"/>
      <c r="I7" s="370"/>
      <c r="J7" s="313"/>
      <c r="K7" s="651"/>
      <c r="L7" s="651"/>
      <c r="M7" s="651"/>
      <c r="N7" s="651"/>
      <c r="O7" s="651"/>
      <c r="P7" s="651"/>
      <c r="Q7" s="651"/>
    </row>
    <row r="8" spans="1:23" s="13" customFormat="1" ht="18">
      <c r="A8" s="396"/>
      <c r="B8" s="396"/>
      <c r="C8" s="396"/>
      <c r="D8" s="396"/>
      <c r="E8" s="1328"/>
      <c r="F8" s="1328"/>
      <c r="G8" s="1846" t="s">
        <v>963</v>
      </c>
      <c r="H8" s="1846"/>
      <c r="I8" s="1846"/>
      <c r="J8" s="1846"/>
      <c r="K8" s="1846"/>
      <c r="L8" s="1846"/>
      <c r="M8" s="1846"/>
      <c r="N8" s="1846"/>
      <c r="O8" s="1846"/>
      <c r="P8" s="1846"/>
      <c r="Q8" s="1846"/>
    </row>
    <row r="9" spans="1:23" s="13" customFormat="1" ht="18">
      <c r="A9" s="395"/>
      <c r="B9" s="395"/>
      <c r="C9" s="395"/>
      <c r="D9" s="395"/>
      <c r="E9" s="1326"/>
      <c r="F9" s="1326"/>
      <c r="G9" s="1845" t="s">
        <v>2038</v>
      </c>
      <c r="H9" s="1845"/>
      <c r="I9" s="1845"/>
      <c r="J9" s="1845"/>
      <c r="K9" s="1845"/>
      <c r="L9" s="1845"/>
      <c r="M9" s="1845"/>
      <c r="N9" s="1845"/>
      <c r="O9" s="1845"/>
      <c r="P9" s="1845"/>
      <c r="Q9" s="1845"/>
    </row>
    <row r="10" spans="1:23" s="13" customFormat="1" ht="18">
      <c r="A10" s="373"/>
      <c r="B10" s="373"/>
      <c r="C10" s="373"/>
      <c r="D10" s="1283"/>
      <c r="E10" s="1326"/>
      <c r="F10" s="1326"/>
      <c r="G10" s="1286" t="s">
        <v>192</v>
      </c>
      <c r="H10" s="1286" t="s">
        <v>193</v>
      </c>
      <c r="I10" s="1286" t="s">
        <v>194</v>
      </c>
      <c r="J10" s="1286"/>
      <c r="K10" s="1286" t="s">
        <v>195</v>
      </c>
      <c r="L10" s="1286" t="s">
        <v>196</v>
      </c>
      <c r="M10" s="1286" t="s">
        <v>371</v>
      </c>
      <c r="N10" s="1286" t="s">
        <v>372</v>
      </c>
      <c r="O10" s="1286" t="s">
        <v>901</v>
      </c>
      <c r="P10" s="1286" t="s">
        <v>902</v>
      </c>
      <c r="Q10" s="1286" t="s">
        <v>903</v>
      </c>
      <c r="R10" s="1286" t="s">
        <v>904</v>
      </c>
    </row>
    <row r="11" spans="1:23" s="13" customFormat="1" ht="18">
      <c r="A11" s="1321"/>
      <c r="B11" s="1321"/>
      <c r="C11" s="1321"/>
      <c r="D11" s="1321"/>
      <c r="E11" s="1326"/>
      <c r="F11" s="1326"/>
      <c r="G11" s="1321"/>
      <c r="H11" s="1371"/>
      <c r="I11" s="1321"/>
      <c r="J11" s="313"/>
      <c r="K11" s="651"/>
      <c r="L11" s="651"/>
      <c r="M11" s="651"/>
      <c r="N11" s="651"/>
      <c r="O11" s="651"/>
      <c r="P11" s="651"/>
      <c r="Q11" s="651"/>
    </row>
    <row r="12" spans="1:23" s="13" customFormat="1" ht="18">
      <c r="A12" s="1321"/>
      <c r="B12" s="1321"/>
      <c r="C12" s="1321"/>
      <c r="D12" s="1321"/>
      <c r="E12" s="1326"/>
      <c r="F12" s="1326"/>
      <c r="G12" s="1321"/>
      <c r="H12" s="1371"/>
      <c r="I12" s="1321"/>
      <c r="J12" s="313"/>
      <c r="K12" s="651"/>
      <c r="L12" s="651"/>
      <c r="M12" s="651"/>
      <c r="N12" s="651"/>
      <c r="O12" s="651"/>
      <c r="P12" s="651"/>
      <c r="Q12" s="651"/>
    </row>
    <row r="13" spans="1:23" s="13" customFormat="1" ht="18">
      <c r="A13" s="373"/>
      <c r="B13" s="373"/>
      <c r="C13" s="373"/>
      <c r="D13" s="1283"/>
      <c r="E13" s="1326"/>
      <c r="F13" s="1326"/>
      <c r="G13" s="646"/>
      <c r="H13" s="1371"/>
      <c r="I13" s="646"/>
      <c r="J13" s="313"/>
      <c r="K13" s="1842" t="s">
        <v>2037</v>
      </c>
      <c r="L13" s="1843"/>
      <c r="M13" s="1843"/>
      <c r="N13" s="1844"/>
      <c r="O13" s="1842" t="s">
        <v>1851</v>
      </c>
      <c r="P13" s="1843"/>
      <c r="Q13" s="1843"/>
      <c r="R13" s="1844"/>
      <c r="S13" s="335"/>
    </row>
    <row r="14" spans="1:23" s="282" customFormat="1" ht="15">
      <c r="A14" s="374"/>
      <c r="B14" s="375"/>
      <c r="C14" s="375"/>
      <c r="D14" s="375"/>
      <c r="E14" s="1329"/>
      <c r="F14" s="1329"/>
      <c r="G14" s="375"/>
      <c r="H14" s="375"/>
      <c r="I14" s="375"/>
      <c r="J14" s="375"/>
      <c r="K14" s="652"/>
      <c r="L14" s="652"/>
      <c r="M14" s="663"/>
      <c r="N14" s="663"/>
      <c r="O14" s="663"/>
      <c r="P14" s="663"/>
      <c r="Q14" s="663"/>
    </row>
    <row r="15" spans="1:23" s="810" customFormat="1">
      <c r="A15" s="805"/>
      <c r="B15" s="805"/>
      <c r="C15" s="806"/>
      <c r="D15" s="806"/>
      <c r="E15" s="807"/>
      <c r="F15" s="807"/>
      <c r="G15" s="807"/>
      <c r="H15" s="805"/>
      <c r="I15" s="805"/>
      <c r="J15" s="805"/>
      <c r="K15" s="808" t="s">
        <v>105</v>
      </c>
      <c r="L15" s="652"/>
      <c r="M15" s="808" t="s">
        <v>105</v>
      </c>
      <c r="N15" s="808"/>
      <c r="O15" s="808" t="s">
        <v>105</v>
      </c>
      <c r="P15" s="652"/>
      <c r="Q15" s="808" t="s">
        <v>105</v>
      </c>
      <c r="R15" s="34"/>
      <c r="S15" s="809" t="s">
        <v>105</v>
      </c>
      <c r="W15" s="809" t="s">
        <v>105</v>
      </c>
    </row>
    <row r="16" spans="1:23" s="810" customFormat="1">
      <c r="A16" s="805"/>
      <c r="B16" s="805"/>
      <c r="C16" s="806"/>
      <c r="D16" s="806"/>
      <c r="E16" s="807"/>
      <c r="F16" s="807"/>
      <c r="G16" s="807"/>
      <c r="H16" s="811"/>
      <c r="I16" s="811"/>
      <c r="J16" s="805"/>
      <c r="K16" s="808" t="s">
        <v>234</v>
      </c>
      <c r="L16" s="808" t="s">
        <v>150</v>
      </c>
      <c r="M16" s="808" t="s">
        <v>234</v>
      </c>
      <c r="N16" s="808" t="s">
        <v>68</v>
      </c>
      <c r="O16" s="808" t="s">
        <v>234</v>
      </c>
      <c r="P16" s="808" t="s">
        <v>150</v>
      </c>
      <c r="Q16" s="808" t="s">
        <v>234</v>
      </c>
      <c r="R16" s="808" t="s">
        <v>68</v>
      </c>
      <c r="S16" s="809" t="s">
        <v>149</v>
      </c>
      <c r="U16" s="809" t="s">
        <v>150</v>
      </c>
      <c r="W16" s="809" t="s">
        <v>149</v>
      </c>
    </row>
    <row r="17" spans="1:25" s="810" customFormat="1" ht="16.5" thickBot="1">
      <c r="A17" s="805"/>
      <c r="B17" s="805"/>
      <c r="C17" s="806"/>
      <c r="D17" s="806"/>
      <c r="E17" s="807"/>
      <c r="F17" s="807"/>
      <c r="G17" s="807"/>
      <c r="H17" s="805"/>
      <c r="I17" s="805"/>
      <c r="J17" s="805"/>
      <c r="K17" s="812" t="s">
        <v>792</v>
      </c>
      <c r="L17" s="812" t="s">
        <v>280</v>
      </c>
      <c r="M17" s="812" t="s">
        <v>795</v>
      </c>
      <c r="N17" s="812" t="s">
        <v>794</v>
      </c>
      <c r="O17" s="812" t="s">
        <v>792</v>
      </c>
      <c r="P17" s="812" t="s">
        <v>280</v>
      </c>
      <c r="Q17" s="812" t="s">
        <v>795</v>
      </c>
      <c r="R17" s="812" t="s">
        <v>794</v>
      </c>
      <c r="S17" s="813" t="s">
        <v>151</v>
      </c>
      <c r="U17" s="813" t="s">
        <v>68</v>
      </c>
      <c r="W17" s="813" t="s">
        <v>152</v>
      </c>
    </row>
    <row r="18" spans="1:25" s="149" customFormat="1" ht="18.75">
      <c r="A18" s="398"/>
      <c r="B18" s="399"/>
      <c r="C18" s="400"/>
      <c r="D18" s="400"/>
      <c r="E18" s="1330" t="s">
        <v>1</v>
      </c>
      <c r="F18" s="770" t="s">
        <v>35</v>
      </c>
      <c r="G18" s="401" t="s">
        <v>240</v>
      </c>
      <c r="H18" s="398"/>
      <c r="I18" s="398"/>
      <c r="J18" s="398"/>
      <c r="K18" s="664"/>
      <c r="L18" s="664"/>
      <c r="M18" s="662"/>
      <c r="N18" s="662"/>
      <c r="O18" s="664"/>
      <c r="P18" s="664"/>
      <c r="Q18" s="662"/>
      <c r="R18" s="662"/>
      <c r="S18" s="166"/>
      <c r="T18" s="164"/>
      <c r="U18" s="166"/>
      <c r="V18" s="164"/>
      <c r="W18" s="166"/>
    </row>
    <row r="19" spans="1:25" s="149" customFormat="1" ht="12.75" customHeight="1">
      <c r="A19" s="398"/>
      <c r="B19" s="399"/>
      <c r="C19" s="402"/>
      <c r="D19" s="657"/>
      <c r="E19" s="1330">
        <v>1</v>
      </c>
      <c r="F19" s="1330"/>
      <c r="G19" s="403"/>
      <c r="H19" s="398"/>
      <c r="I19" s="398"/>
      <c r="J19" s="398"/>
      <c r="K19" s="664"/>
      <c r="L19" s="664"/>
      <c r="M19" s="662"/>
      <c r="N19" s="662"/>
      <c r="O19" s="664"/>
      <c r="P19" s="664"/>
      <c r="Q19" s="662"/>
      <c r="R19" s="662"/>
      <c r="S19" s="166"/>
      <c r="T19" s="164"/>
      <c r="U19" s="166"/>
      <c r="V19" s="164"/>
      <c r="W19" s="166"/>
    </row>
    <row r="20" spans="1:25" s="800" customFormat="1">
      <c r="A20" s="366" t="s">
        <v>148</v>
      </c>
      <c r="B20" s="802" t="s">
        <v>241</v>
      </c>
      <c r="C20" s="791" t="s">
        <v>153</v>
      </c>
      <c r="D20" s="1305" t="str">
        <f>CONCATENATE(H20,G20,I20)</f>
        <v>500mW C - C at Astoria353Station Equip - Transmission</v>
      </c>
      <c r="E20" s="1333" t="s">
        <v>471</v>
      </c>
      <c r="F20" s="716" t="str">
        <f>CONCATENATE("WP-BC, line ",VLOOKUP(D20,'WP-BC'!$A$18:$N$341,2,FALSE))</f>
        <v>WP-BC, line 10au</v>
      </c>
      <c r="G20" s="1392">
        <v>353</v>
      </c>
      <c r="H20" s="1393" t="s">
        <v>153</v>
      </c>
      <c r="I20" s="659" t="s">
        <v>1852</v>
      </c>
      <c r="J20" s="366"/>
      <c r="K20" s="1314">
        <f>VLOOKUP($D20,'WP-BC'!$A$1:$N$352,7,FALSE)</f>
        <v>85142278.459999993</v>
      </c>
      <c r="L20" s="1314">
        <f>VLOOKUP($D20,'WP-BC'!$A$1:$N$352,8,FALSE)</f>
        <v>34035174.700000003</v>
      </c>
      <c r="M20" s="1315">
        <f>+K20-L20</f>
        <v>51107103.75999999</v>
      </c>
      <c r="N20" s="1314">
        <f>VLOOKUP($D20,'WP-BC'!$A$1:$N$352,10,FALSE)</f>
        <v>2729335</v>
      </c>
      <c r="O20" s="1314">
        <f>VLOOKUP($D20,'WP-BC'!$A$1:$N$352,11,FALSE)</f>
        <v>85142278.459999993</v>
      </c>
      <c r="P20" s="1314">
        <f>VLOOKUP($D20,'WP-BC'!$A$1:$N$352,12,FALSE)</f>
        <v>31305839.700000003</v>
      </c>
      <c r="Q20" s="1315">
        <f>+O20-P20</f>
        <v>53836438.75999999</v>
      </c>
      <c r="R20" s="1314">
        <f>VLOOKUP($D20,'WP-BC'!$A$1:$N$352,14,FALSE)</f>
        <v>2729331.16</v>
      </c>
      <c r="S20" s="1307">
        <v>71707767.760000005</v>
      </c>
      <c r="T20" s="1307"/>
      <c r="U20" s="1307">
        <v>9509690.2599999998</v>
      </c>
      <c r="V20" s="1307"/>
      <c r="W20" s="1307">
        <f>+S20-U20</f>
        <v>62198077.500000007</v>
      </c>
      <c r="X20" s="1308"/>
      <c r="Y20" s="1308"/>
    </row>
    <row r="21" spans="1:25" s="800" customFormat="1">
      <c r="A21" s="366"/>
      <c r="B21" s="802" t="s">
        <v>241</v>
      </c>
      <c r="C21" s="791" t="s">
        <v>153</v>
      </c>
      <c r="D21" s="1305" t="str">
        <f>CONCATENATE(H21,G21,I21)</f>
        <v/>
      </c>
      <c r="E21" s="1333" t="s">
        <v>541</v>
      </c>
      <c r="F21" s="1394"/>
      <c r="G21" s="1395"/>
      <c r="H21" s="1396"/>
      <c r="I21" s="1394"/>
      <c r="J21" s="366"/>
      <c r="K21" s="1316" t="s">
        <v>1166</v>
      </c>
      <c r="L21" s="1316" t="s">
        <v>1166</v>
      </c>
      <c r="M21" s="1316" t="s">
        <v>1166</v>
      </c>
      <c r="N21" s="1316" t="s">
        <v>1166</v>
      </c>
      <c r="O21" s="1316" t="s">
        <v>1166</v>
      </c>
      <c r="P21" s="1316" t="s">
        <v>1166</v>
      </c>
      <c r="Q21" s="1316" t="s">
        <v>1166</v>
      </c>
      <c r="R21" s="1316" t="s">
        <v>1166</v>
      </c>
      <c r="S21" s="1307"/>
      <c r="T21" s="1307"/>
      <c r="U21" s="1307"/>
      <c r="V21" s="1307"/>
      <c r="W21" s="1307"/>
      <c r="X21" s="1308"/>
      <c r="Y21" s="1308"/>
    </row>
    <row r="22" spans="1:25" s="800" customFormat="1">
      <c r="A22" s="366"/>
      <c r="B22" s="802"/>
      <c r="C22" s="791"/>
      <c r="D22" s="1305"/>
      <c r="E22" s="1335"/>
      <c r="F22" s="772"/>
      <c r="G22" s="792"/>
      <c r="H22" s="789"/>
      <c r="I22" s="789"/>
      <c r="J22" s="366"/>
      <c r="K22" s="1312"/>
      <c r="L22" s="1312"/>
      <c r="M22" s="1313"/>
      <c r="N22" s="1312"/>
      <c r="O22" s="1312"/>
      <c r="P22" s="1312"/>
      <c r="Q22" s="1313"/>
      <c r="R22" s="1312"/>
      <c r="S22" s="1307"/>
      <c r="T22" s="1307"/>
      <c r="U22" s="1307"/>
      <c r="V22" s="1307"/>
      <c r="W22" s="1307"/>
      <c r="X22" s="1308"/>
      <c r="Y22" s="1308"/>
    </row>
    <row r="23" spans="1:25" s="800" customFormat="1">
      <c r="A23" s="366"/>
      <c r="B23" s="802"/>
      <c r="C23" s="791"/>
      <c r="D23" s="1305"/>
      <c r="E23" s="1335">
        <v>2</v>
      </c>
      <c r="F23" s="772"/>
      <c r="G23" s="799" t="s">
        <v>1311</v>
      </c>
      <c r="H23" s="789"/>
      <c r="I23" s="789"/>
      <c r="J23" s="366"/>
      <c r="K23" s="1312">
        <f>SUM(K20:K21)</f>
        <v>85142278.459999993</v>
      </c>
      <c r="L23" s="1312">
        <f t="shared" ref="L23:R23" si="0">SUM(L20:L21)</f>
        <v>34035174.700000003</v>
      </c>
      <c r="M23" s="1312">
        <f t="shared" si="0"/>
        <v>51107103.75999999</v>
      </c>
      <c r="N23" s="1312">
        <f t="shared" si="0"/>
        <v>2729335</v>
      </c>
      <c r="O23" s="1312">
        <f t="shared" si="0"/>
        <v>85142278.459999993</v>
      </c>
      <c r="P23" s="1312">
        <f t="shared" si="0"/>
        <v>31305839.700000003</v>
      </c>
      <c r="Q23" s="1312">
        <f t="shared" si="0"/>
        <v>53836438.75999999</v>
      </c>
      <c r="R23" s="1312">
        <f t="shared" si="0"/>
        <v>2729331.16</v>
      </c>
      <c r="S23" s="1307"/>
      <c r="T23" s="1307"/>
      <c r="U23" s="1307"/>
      <c r="V23" s="1307"/>
      <c r="W23" s="1307"/>
      <c r="X23" s="1308"/>
      <c r="Y23" s="1308"/>
    </row>
    <row r="24" spans="1:25" s="795" customFormat="1">
      <c r="A24" s="789"/>
      <c r="B24" s="790"/>
      <c r="C24" s="791"/>
      <c r="D24" s="1305" t="str">
        <f t="shared" ref="D24:D111" si="1">CONCATENATE(H24,G24,I24)</f>
        <v/>
      </c>
      <c r="E24" s="1409">
        <v>3</v>
      </c>
      <c r="F24" s="1334"/>
      <c r="G24" s="792"/>
      <c r="H24" s="789"/>
      <c r="I24" s="789"/>
      <c r="J24" s="789"/>
      <c r="K24" s="1314"/>
      <c r="L24" s="1314"/>
      <c r="M24" s="1315"/>
      <c r="N24" s="1314"/>
      <c r="O24" s="1312"/>
      <c r="P24" s="1312"/>
      <c r="Q24" s="1313"/>
      <c r="R24" s="1312"/>
      <c r="S24" s="1309"/>
      <c r="T24" s="1309"/>
      <c r="U24" s="1309"/>
      <c r="V24" s="1309"/>
      <c r="W24" s="1309"/>
      <c r="X24" s="1310"/>
      <c r="Y24" s="1310"/>
    </row>
    <row r="25" spans="1:25" s="795" customFormat="1">
      <c r="A25" s="789" t="s">
        <v>148</v>
      </c>
      <c r="B25" s="790" t="s">
        <v>241</v>
      </c>
      <c r="C25" s="791" t="s">
        <v>448</v>
      </c>
      <c r="D25" s="1305" t="str">
        <f t="shared" si="1"/>
        <v>Astoria 2 (AE-II) Substation350Land &amp; Land Rights</v>
      </c>
      <c r="E25" s="313" t="s">
        <v>1277</v>
      </c>
      <c r="F25" s="707" t="str">
        <f>CONCATENATE("WP-BC, line ",VLOOKUP(D25,'WP-BC'!$A$18:$N$341,2,FALSE))</f>
        <v>WP-BC, line 1o</v>
      </c>
      <c r="G25" s="1395">
        <v>350</v>
      </c>
      <c r="H25" s="1647" t="s">
        <v>448</v>
      </c>
      <c r="I25" s="1394" t="s">
        <v>1930</v>
      </c>
      <c r="J25" s="789"/>
      <c r="K25" s="1314">
        <f>VLOOKUP($D25,'WP-BC'!$A$1:$N$352,7,FALSE)</f>
        <v>0</v>
      </c>
      <c r="L25" s="1314">
        <f>VLOOKUP($D25,'WP-BC'!$A$1:$N$352,8,FALSE)</f>
        <v>0</v>
      </c>
      <c r="M25" s="1315">
        <f t="shared" ref="M25:M32" si="2">+K25-L25</f>
        <v>0</v>
      </c>
      <c r="N25" s="1314">
        <f>VLOOKUP($D25,'WP-BC'!$A$1:$N$352,10,FALSE)</f>
        <v>0</v>
      </c>
      <c r="O25" s="1312">
        <f>VLOOKUP($D25,'WP-BC'!$A$1:$N$352,11,FALSE)</f>
        <v>0</v>
      </c>
      <c r="P25" s="1312">
        <f>VLOOKUP($D25,'WP-BC'!$A$1:$N$352,12,FALSE)</f>
        <v>0</v>
      </c>
      <c r="Q25" s="1313">
        <f t="shared" ref="Q25:Q32" si="3">+O25-P25</f>
        <v>0</v>
      </c>
      <c r="R25" s="1312">
        <f>VLOOKUP($D25,'WP-BC'!$A$1:$N$352,14,FALSE)</f>
        <v>0</v>
      </c>
      <c r="S25" s="1309"/>
      <c r="T25" s="1309"/>
      <c r="U25" s="1309"/>
      <c r="V25" s="1309"/>
      <c r="W25" s="1309"/>
      <c r="X25" s="1310"/>
      <c r="Y25" s="1310"/>
    </row>
    <row r="26" spans="1:25" s="795" customFormat="1">
      <c r="A26" s="789" t="s">
        <v>148</v>
      </c>
      <c r="B26" s="790" t="s">
        <v>241</v>
      </c>
      <c r="C26" s="791" t="s">
        <v>448</v>
      </c>
      <c r="D26" s="1305" t="str">
        <f t="shared" si="1"/>
        <v>Astoria 2 (AE-II) Substation352Structures &amp; Improvements</v>
      </c>
      <c r="E26" s="313" t="s">
        <v>1278</v>
      </c>
      <c r="F26" s="707" t="str">
        <f>CONCATENATE("WP-BC, line ",VLOOKUP(D26,'WP-BC'!$A$18:$N$341,2,FALSE))</f>
        <v>WP-BC, line 10av</v>
      </c>
      <c r="G26" s="1395">
        <v>352</v>
      </c>
      <c r="H26" s="1647" t="s">
        <v>448</v>
      </c>
      <c r="I26" s="1394" t="s">
        <v>69</v>
      </c>
      <c r="J26" s="789"/>
      <c r="K26" s="1314">
        <f>VLOOKUP($D26,'WP-BC'!$A$1:$N$352,7,FALSE)</f>
        <v>0</v>
      </c>
      <c r="L26" s="1314">
        <f>VLOOKUP($D26,'WP-BC'!$A$1:$N$352,8,FALSE)</f>
        <v>0</v>
      </c>
      <c r="M26" s="1315">
        <f t="shared" si="2"/>
        <v>0</v>
      </c>
      <c r="N26" s="1314">
        <f>VLOOKUP($D26,'WP-BC'!$A$1:$N$352,10,FALSE)</f>
        <v>0</v>
      </c>
      <c r="O26" s="1314">
        <f>VLOOKUP($D26,'WP-BC'!$A$1:$N$352,11,FALSE)</f>
        <v>0</v>
      </c>
      <c r="P26" s="1314">
        <f>VLOOKUP($D26,'WP-BC'!$A$1:$N$352,12,FALSE)</f>
        <v>0</v>
      </c>
      <c r="Q26" s="1315">
        <f t="shared" si="3"/>
        <v>0</v>
      </c>
      <c r="R26" s="1314">
        <f>VLOOKUP($D26,'WP-BC'!$A$1:$N$352,14,FALSE)</f>
        <v>0</v>
      </c>
      <c r="S26" s="1309"/>
      <c r="T26" s="1309"/>
      <c r="U26" s="1309"/>
      <c r="V26" s="1309"/>
      <c r="W26" s="1309"/>
      <c r="X26" s="1310"/>
      <c r="Y26" s="1310"/>
    </row>
    <row r="27" spans="1:25" s="795" customFormat="1">
      <c r="A27" s="789" t="s">
        <v>148</v>
      </c>
      <c r="B27" s="790" t="s">
        <v>241</v>
      </c>
      <c r="C27" s="791" t="s">
        <v>448</v>
      </c>
      <c r="D27" s="1305" t="str">
        <f t="shared" si="1"/>
        <v>Astoria 2 (AE-II) Substation353Station Equipment</v>
      </c>
      <c r="E27" s="313" t="s">
        <v>1279</v>
      </c>
      <c r="F27" s="707" t="str">
        <f>CONCATENATE("WP-BC, line ",VLOOKUP(D27,'WP-BC'!$A$18:$N$341,2,FALSE))</f>
        <v>WP-BC, line 10aw</v>
      </c>
      <c r="G27" s="1395">
        <v>353</v>
      </c>
      <c r="H27" s="1647" t="s">
        <v>448</v>
      </c>
      <c r="I27" s="1394" t="s">
        <v>20</v>
      </c>
      <c r="J27" s="789"/>
      <c r="K27" s="1314">
        <f>VLOOKUP($D27,'WP-BC'!$A$1:$N$352,7,FALSE)</f>
        <v>60481915</v>
      </c>
      <c r="L27" s="1314">
        <f>VLOOKUP($D27,'WP-BC'!$A$1:$N$352,8,FALSE)</f>
        <v>22642583</v>
      </c>
      <c r="M27" s="1315">
        <f t="shared" si="2"/>
        <v>37839332</v>
      </c>
      <c r="N27" s="1314">
        <f>VLOOKUP($D27,'WP-BC'!$A$1:$N$352,10,FALSE)</f>
        <v>3011360</v>
      </c>
      <c r="O27" s="1314">
        <f>VLOOKUP($D27,'WP-BC'!$A$1:$N$352,11,FALSE)</f>
        <v>60481915</v>
      </c>
      <c r="P27" s="1314">
        <f>VLOOKUP($D27,'WP-BC'!$A$1:$N$352,12,FALSE)</f>
        <v>19631223</v>
      </c>
      <c r="Q27" s="1315">
        <f t="shared" si="3"/>
        <v>40850692</v>
      </c>
      <c r="R27" s="1314">
        <f>VLOOKUP($D27,'WP-BC'!$A$1:$N$352,14,FALSE)</f>
        <v>3011360</v>
      </c>
      <c r="S27" s="1309"/>
      <c r="T27" s="1309"/>
      <c r="U27" s="1309"/>
      <c r="V27" s="1309"/>
      <c r="W27" s="1309"/>
      <c r="X27" s="1310"/>
      <c r="Y27" s="1310"/>
    </row>
    <row r="28" spans="1:25" s="795" customFormat="1">
      <c r="A28" s="789" t="s">
        <v>148</v>
      </c>
      <c r="B28" s="790" t="s">
        <v>241</v>
      </c>
      <c r="C28" s="791" t="s">
        <v>448</v>
      </c>
      <c r="D28" s="1305" t="str">
        <f t="shared" si="1"/>
        <v>Astoria 2 (AE-II) Substation354Towers &amp; Fixtures</v>
      </c>
      <c r="E28" s="313" t="s">
        <v>1280</v>
      </c>
      <c r="F28" s="707" t="str">
        <f>CONCATENATE("WP-BC, line ",VLOOKUP(D28,'WP-BC'!$A$18:$N$341,2,FALSE))</f>
        <v>WP-BC, line 10ax</v>
      </c>
      <c r="G28" s="1395">
        <v>354</v>
      </c>
      <c r="H28" s="1647" t="s">
        <v>448</v>
      </c>
      <c r="I28" s="1394" t="s">
        <v>70</v>
      </c>
      <c r="J28" s="789"/>
      <c r="K28" s="1314">
        <f>VLOOKUP($D28,'WP-BC'!$A$1:$N$352,7,FALSE)</f>
        <v>0</v>
      </c>
      <c r="L28" s="1314">
        <f>VLOOKUP($D28,'WP-BC'!$A$1:$N$352,8,FALSE)</f>
        <v>0</v>
      </c>
      <c r="M28" s="1315">
        <f t="shared" si="2"/>
        <v>0</v>
      </c>
      <c r="N28" s="1314">
        <f>VLOOKUP($D28,'WP-BC'!$A$1:$N$352,10,FALSE)</f>
        <v>0</v>
      </c>
      <c r="O28" s="1314">
        <f>VLOOKUP($D28,'WP-BC'!$A$1:$N$352,11,FALSE)</f>
        <v>0</v>
      </c>
      <c r="P28" s="1314">
        <f>VLOOKUP($D28,'WP-BC'!$A$1:$N$352,12,FALSE)</f>
        <v>0</v>
      </c>
      <c r="Q28" s="1315">
        <f t="shared" si="3"/>
        <v>0</v>
      </c>
      <c r="R28" s="1314">
        <f>VLOOKUP($D28,'WP-BC'!$A$1:$N$352,14,FALSE)</f>
        <v>0</v>
      </c>
      <c r="S28" s="1309"/>
      <c r="T28" s="1309"/>
      <c r="U28" s="1309"/>
      <c r="V28" s="1309"/>
      <c r="W28" s="1309"/>
      <c r="X28" s="1310"/>
      <c r="Y28" s="1310"/>
    </row>
    <row r="29" spans="1:25" s="795" customFormat="1">
      <c r="A29" s="789" t="s">
        <v>148</v>
      </c>
      <c r="B29" s="790" t="s">
        <v>241</v>
      </c>
      <c r="C29" s="791" t="s">
        <v>448</v>
      </c>
      <c r="D29" s="1305" t="str">
        <f t="shared" si="1"/>
        <v>Astoria 2 (AE-II) Substation355Poles &amp; Fixtures</v>
      </c>
      <c r="E29" s="313" t="s">
        <v>1281</v>
      </c>
      <c r="F29" s="707" t="str">
        <f>CONCATENATE("WP-BC, line ",VLOOKUP(D29,'WP-BC'!$A$18:$N$341,2,FALSE))</f>
        <v>WP-BC, line 10ay</v>
      </c>
      <c r="G29" s="1395">
        <v>355</v>
      </c>
      <c r="H29" s="1647" t="s">
        <v>448</v>
      </c>
      <c r="I29" s="1394" t="s">
        <v>71</v>
      </c>
      <c r="J29" s="789"/>
      <c r="K29" s="1314">
        <f>VLOOKUP($D29,'WP-BC'!$A$1:$N$352,7,FALSE)</f>
        <v>0</v>
      </c>
      <c r="L29" s="1314">
        <f>VLOOKUP($D29,'WP-BC'!$A$1:$N$352,8,FALSE)</f>
        <v>0</v>
      </c>
      <c r="M29" s="1315">
        <f t="shared" si="2"/>
        <v>0</v>
      </c>
      <c r="N29" s="1314">
        <f>VLOOKUP($D29,'WP-BC'!$A$1:$N$352,10,FALSE)</f>
        <v>0</v>
      </c>
      <c r="O29" s="1314">
        <f>VLOOKUP($D29,'WP-BC'!$A$1:$N$352,11,FALSE)</f>
        <v>0</v>
      </c>
      <c r="P29" s="1314">
        <f>VLOOKUP($D29,'WP-BC'!$A$1:$N$352,12,FALSE)</f>
        <v>0</v>
      </c>
      <c r="Q29" s="1315">
        <f t="shared" si="3"/>
        <v>0</v>
      </c>
      <c r="R29" s="1314">
        <f>VLOOKUP($D29,'WP-BC'!$A$1:$N$352,14,FALSE)</f>
        <v>0</v>
      </c>
      <c r="S29" s="1309"/>
      <c r="T29" s="1309"/>
      <c r="U29" s="1309"/>
      <c r="V29" s="1309"/>
      <c r="W29" s="1309"/>
      <c r="X29" s="1310"/>
      <c r="Y29" s="1310"/>
    </row>
    <row r="30" spans="1:25" s="795" customFormat="1">
      <c r="A30" s="789" t="s">
        <v>148</v>
      </c>
      <c r="B30" s="790" t="s">
        <v>241</v>
      </c>
      <c r="C30" s="791" t="s">
        <v>448</v>
      </c>
      <c r="D30" s="1305" t="str">
        <f t="shared" si="1"/>
        <v>Astoria 2 (AE-II) Substation356Overhead Conductors &amp; Devices</v>
      </c>
      <c r="E30" s="313" t="s">
        <v>1313</v>
      </c>
      <c r="F30" s="707" t="str">
        <f>CONCATENATE("WP-BC, line ",VLOOKUP(D30,'WP-BC'!$A$18:$N$341,2,FALSE))</f>
        <v>WP-BC, line 10az</v>
      </c>
      <c r="G30" s="1395">
        <v>356</v>
      </c>
      <c r="H30" s="1647" t="s">
        <v>448</v>
      </c>
      <c r="I30" s="1394" t="s">
        <v>72</v>
      </c>
      <c r="J30" s="789"/>
      <c r="K30" s="1314">
        <f>VLOOKUP($D30,'WP-BC'!$A$1:$N$352,7,FALSE)</f>
        <v>0</v>
      </c>
      <c r="L30" s="1314">
        <f>VLOOKUP($D30,'WP-BC'!$A$1:$N$352,8,FALSE)</f>
        <v>0</v>
      </c>
      <c r="M30" s="1315">
        <f t="shared" si="2"/>
        <v>0</v>
      </c>
      <c r="N30" s="1314">
        <f>VLOOKUP($D30,'WP-BC'!$A$1:$N$352,10,FALSE)</f>
        <v>0</v>
      </c>
      <c r="O30" s="1314">
        <f>VLOOKUP($D30,'WP-BC'!$A$1:$N$352,11,FALSE)</f>
        <v>0</v>
      </c>
      <c r="P30" s="1314">
        <f>VLOOKUP($D30,'WP-BC'!$A$1:$N$352,12,FALSE)</f>
        <v>0</v>
      </c>
      <c r="Q30" s="1315">
        <f t="shared" si="3"/>
        <v>0</v>
      </c>
      <c r="R30" s="1314">
        <f>VLOOKUP($D30,'WP-BC'!$A$1:$N$352,14,FALSE)</f>
        <v>0</v>
      </c>
      <c r="S30" s="1309"/>
      <c r="T30" s="1309"/>
      <c r="U30" s="1309"/>
      <c r="V30" s="1309"/>
      <c r="W30" s="1309"/>
      <c r="X30" s="1310"/>
      <c r="Y30" s="1310"/>
    </row>
    <row r="31" spans="1:25" s="795" customFormat="1">
      <c r="A31" s="789" t="s">
        <v>148</v>
      </c>
      <c r="B31" s="790" t="s">
        <v>241</v>
      </c>
      <c r="C31" s="791" t="s">
        <v>448</v>
      </c>
      <c r="D31" s="1305" t="str">
        <f t="shared" si="1"/>
        <v>Astoria 2 (AE-II) Substation357Underground Conduit</v>
      </c>
      <c r="E31" s="313" t="s">
        <v>1314</v>
      </c>
      <c r="F31" s="707" t="str">
        <f>CONCATENATE("WP-BC, line ",VLOOKUP(D31,'WP-BC'!$A$18:$N$341,2,FALSE))</f>
        <v>WP-BC, line 10ba</v>
      </c>
      <c r="G31" s="1395">
        <v>357</v>
      </c>
      <c r="H31" s="1647" t="s">
        <v>448</v>
      </c>
      <c r="I31" s="1394" t="s">
        <v>73</v>
      </c>
      <c r="J31" s="789"/>
      <c r="K31" s="1314">
        <f>VLOOKUP($D31,'WP-BC'!$A$1:$N$352,7,FALSE)</f>
        <v>24644166</v>
      </c>
      <c r="L31" s="1314">
        <f>VLOOKUP($D31,'WP-BC'!$A$1:$N$352,8,FALSE)</f>
        <v>9241568</v>
      </c>
      <c r="M31" s="1315">
        <f t="shared" si="2"/>
        <v>15402598</v>
      </c>
      <c r="N31" s="1314">
        <f>VLOOKUP($D31,'WP-BC'!$A$1:$N$352,10,FALSE)</f>
        <v>1232209</v>
      </c>
      <c r="O31" s="1314">
        <f>VLOOKUP($D31,'WP-BC'!$A$1:$N$352,11,FALSE)</f>
        <v>24644166</v>
      </c>
      <c r="P31" s="1314">
        <f>VLOOKUP($D31,'WP-BC'!$A$1:$N$352,12,FALSE)</f>
        <v>8009359</v>
      </c>
      <c r="Q31" s="1315">
        <f t="shared" si="3"/>
        <v>16634807</v>
      </c>
      <c r="R31" s="1314">
        <f>VLOOKUP($D31,'WP-BC'!$A$1:$N$352,14,FALSE)</f>
        <v>1232209</v>
      </c>
      <c r="S31" s="1309"/>
      <c r="T31" s="1309"/>
      <c r="U31" s="1309"/>
      <c r="V31" s="1309"/>
      <c r="W31" s="1309"/>
      <c r="X31" s="1310"/>
      <c r="Y31" s="1310"/>
    </row>
    <row r="32" spans="1:25" s="795" customFormat="1">
      <c r="A32" s="789" t="s">
        <v>148</v>
      </c>
      <c r="B32" s="790" t="s">
        <v>241</v>
      </c>
      <c r="C32" s="791" t="s">
        <v>448</v>
      </c>
      <c r="D32" s="1305" t="str">
        <f t="shared" si="1"/>
        <v>Astoria 2 (AE-II) Substation358Underground Conductors &amp; Devices</v>
      </c>
      <c r="E32" s="313" t="s">
        <v>1315</v>
      </c>
      <c r="F32" s="707" t="str">
        <f>CONCATENATE("WP-BC, line ",VLOOKUP(D32,'WP-BC'!$A$18:$N$341,2,FALSE))</f>
        <v>WP-BC, line 10bb</v>
      </c>
      <c r="G32" s="1395">
        <v>358</v>
      </c>
      <c r="H32" s="1647" t="s">
        <v>448</v>
      </c>
      <c r="I32" s="1394" t="s">
        <v>74</v>
      </c>
      <c r="J32" s="789"/>
      <c r="K32" s="1314">
        <f>VLOOKUP($D32,'WP-BC'!$A$1:$N$352,7,FALSE)</f>
        <v>0</v>
      </c>
      <c r="L32" s="1314">
        <f>VLOOKUP($D32,'WP-BC'!$A$1:$N$352,8,FALSE)</f>
        <v>0</v>
      </c>
      <c r="M32" s="1315">
        <f t="shared" si="2"/>
        <v>0</v>
      </c>
      <c r="N32" s="1314">
        <f>VLOOKUP($D32,'WP-BC'!$A$1:$N$352,10,FALSE)</f>
        <v>0</v>
      </c>
      <c r="O32" s="1312">
        <f>VLOOKUP($D32,'WP-BC'!$A$1:$N$352,11,FALSE)</f>
        <v>0</v>
      </c>
      <c r="P32" s="1312">
        <f>VLOOKUP($D32,'WP-BC'!$A$1:$N$352,12,FALSE)</f>
        <v>0</v>
      </c>
      <c r="Q32" s="1313">
        <f t="shared" si="3"/>
        <v>0</v>
      </c>
      <c r="R32" s="1312">
        <f>VLOOKUP($D32,'WP-BC'!$A$1:$N$352,14,FALSE)</f>
        <v>0</v>
      </c>
      <c r="S32" s="1309"/>
      <c r="T32" s="1309"/>
      <c r="U32" s="1309"/>
      <c r="V32" s="1309"/>
      <c r="W32" s="1309"/>
      <c r="X32" s="1310"/>
      <c r="Y32" s="1310"/>
    </row>
    <row r="33" spans="1:25" s="795" customFormat="1">
      <c r="A33" s="789" t="s">
        <v>148</v>
      </c>
      <c r="B33" s="790" t="s">
        <v>241</v>
      </c>
      <c r="C33" s="791" t="s">
        <v>448</v>
      </c>
      <c r="D33" s="1305" t="str">
        <f t="shared" si="1"/>
        <v>Astoria 2 (AE-II) Substation359Roads &amp; Trails</v>
      </c>
      <c r="E33" s="313" t="s">
        <v>1316</v>
      </c>
      <c r="F33" s="707" t="str">
        <f>CONCATENATE("WP-BC, line ",VLOOKUP(D33,'WP-BC'!$A$18:$N$341,2,FALSE))</f>
        <v>WP-BC, line 10bc</v>
      </c>
      <c r="G33" s="1395">
        <v>359</v>
      </c>
      <c r="H33" s="1647" t="s">
        <v>448</v>
      </c>
      <c r="I33" s="1394" t="s">
        <v>75</v>
      </c>
      <c r="J33" s="789"/>
      <c r="K33" s="1314">
        <f>'WP-BC'!G221</f>
        <v>0</v>
      </c>
      <c r="L33" s="1314">
        <f>'WP-BC'!H221</f>
        <v>0</v>
      </c>
      <c r="M33" s="1315">
        <f t="shared" ref="M33" si="4">+K33-L33</f>
        <v>0</v>
      </c>
      <c r="N33" s="1314">
        <f>'WP-BC'!J221</f>
        <v>0</v>
      </c>
      <c r="O33" s="1314">
        <f>'WP-BC'!K221</f>
        <v>0</v>
      </c>
      <c r="P33" s="1314">
        <f>'WP-BC'!L221</f>
        <v>0</v>
      </c>
      <c r="Q33" s="1315">
        <f t="shared" ref="Q33" si="5">+O33-P33</f>
        <v>0</v>
      </c>
      <c r="R33" s="1314">
        <f>'WP-BC'!N221</f>
        <v>0</v>
      </c>
      <c r="S33" s="1311"/>
      <c r="T33" s="1311"/>
      <c r="U33" s="1311"/>
      <c r="V33" s="1311"/>
      <c r="W33" s="1311"/>
      <c r="X33" s="1310"/>
      <c r="Y33" s="1310"/>
    </row>
    <row r="34" spans="1:25" s="795" customFormat="1">
      <c r="A34" s="789"/>
      <c r="B34" s="790"/>
      <c r="C34" s="791"/>
      <c r="D34" s="1305"/>
      <c r="E34" s="1331" t="s">
        <v>541</v>
      </c>
      <c r="F34" s="1394"/>
      <c r="G34" s="1395"/>
      <c r="H34" s="1396"/>
      <c r="I34" s="1394"/>
      <c r="J34" s="789"/>
      <c r="K34" s="1316" t="s">
        <v>1166</v>
      </c>
      <c r="L34" s="1316" t="s">
        <v>1166</v>
      </c>
      <c r="M34" s="1316" t="s">
        <v>1166</v>
      </c>
      <c r="N34" s="1316" t="s">
        <v>1166</v>
      </c>
      <c r="O34" s="1316" t="s">
        <v>1166</v>
      </c>
      <c r="P34" s="1316" t="s">
        <v>1166</v>
      </c>
      <c r="Q34" s="1316" t="s">
        <v>1166</v>
      </c>
      <c r="R34" s="1316" t="s">
        <v>1166</v>
      </c>
      <c r="S34" s="1309"/>
      <c r="T34" s="1309"/>
      <c r="U34" s="1309"/>
      <c r="V34" s="1309"/>
      <c r="W34" s="1309"/>
      <c r="X34" s="1310"/>
      <c r="Y34" s="1310"/>
    </row>
    <row r="35" spans="1:25" s="795" customFormat="1">
      <c r="A35" s="789"/>
      <c r="B35" s="790"/>
      <c r="C35" s="791"/>
      <c r="D35" s="1305"/>
      <c r="E35" s="1331"/>
      <c r="F35" s="1331"/>
      <c r="G35" s="792"/>
      <c r="H35" s="789"/>
      <c r="I35" s="789"/>
      <c r="J35" s="789"/>
      <c r="K35" s="1314"/>
      <c r="L35" s="1314"/>
      <c r="M35" s="1314"/>
      <c r="N35" s="1314"/>
      <c r="O35" s="1314"/>
      <c r="P35" s="1314"/>
      <c r="Q35" s="1314"/>
      <c r="R35" s="1314"/>
      <c r="S35" s="1309"/>
      <c r="T35" s="1309"/>
      <c r="U35" s="1309"/>
      <c r="V35" s="1309"/>
      <c r="W35" s="1309"/>
      <c r="X35" s="1310"/>
      <c r="Y35" s="1310"/>
    </row>
    <row r="36" spans="1:25" s="795" customFormat="1">
      <c r="A36" s="789"/>
      <c r="B36" s="790"/>
      <c r="C36" s="791"/>
      <c r="D36" s="1305" t="str">
        <f t="shared" si="1"/>
        <v>SUBTOTAL Astoria 2 (AE-II) Substation</v>
      </c>
      <c r="E36" s="1409">
        <v>4</v>
      </c>
      <c r="F36" s="1336"/>
      <c r="G36" s="799" t="s">
        <v>620</v>
      </c>
      <c r="H36" s="789"/>
      <c r="I36" s="789"/>
      <c r="J36" s="789"/>
      <c r="K36" s="1312">
        <f t="shared" ref="K36:R36" si="6">SUM(K25:K33)</f>
        <v>85126081</v>
      </c>
      <c r="L36" s="1312">
        <f t="shared" si="6"/>
        <v>31884151</v>
      </c>
      <c r="M36" s="1312">
        <f t="shared" si="6"/>
        <v>53241930</v>
      </c>
      <c r="N36" s="1312">
        <f t="shared" si="6"/>
        <v>4243569</v>
      </c>
      <c r="O36" s="1312">
        <f t="shared" si="6"/>
        <v>85126081</v>
      </c>
      <c r="P36" s="1312">
        <f t="shared" si="6"/>
        <v>27640582</v>
      </c>
      <c r="Q36" s="1312">
        <f t="shared" si="6"/>
        <v>57485499</v>
      </c>
      <c r="R36" s="1312">
        <f t="shared" si="6"/>
        <v>4243569</v>
      </c>
      <c r="S36" s="1309"/>
      <c r="T36" s="1309"/>
      <c r="U36" s="1309"/>
      <c r="V36" s="1309"/>
      <c r="W36" s="1309"/>
      <c r="X36" s="1310"/>
      <c r="Y36" s="1310"/>
    </row>
    <row r="37" spans="1:25" s="795" customFormat="1">
      <c r="A37" s="789"/>
      <c r="B37" s="790"/>
      <c r="C37" s="791"/>
      <c r="D37" s="1305" t="str">
        <f t="shared" si="1"/>
        <v/>
      </c>
      <c r="E37" s="1335">
        <v>5</v>
      </c>
      <c r="F37" s="1333"/>
      <c r="G37" s="792"/>
      <c r="H37" s="789"/>
      <c r="I37" s="789"/>
      <c r="J37" s="789"/>
      <c r="K37" s="1314"/>
      <c r="L37" s="1314"/>
      <c r="M37" s="1315"/>
      <c r="N37" s="1314"/>
      <c r="O37" s="1314"/>
      <c r="P37" s="1314"/>
      <c r="Q37" s="1315"/>
      <c r="R37" s="1314"/>
      <c r="S37" s="1309"/>
      <c r="T37" s="1309"/>
      <c r="U37" s="1309"/>
      <c r="V37" s="1309"/>
      <c r="W37" s="1309"/>
      <c r="X37" s="1310"/>
      <c r="Y37" s="1310"/>
    </row>
    <row r="38" spans="1:25" s="795" customFormat="1">
      <c r="A38" s="789" t="s">
        <v>148</v>
      </c>
      <c r="B38" s="790" t="s">
        <v>241</v>
      </c>
      <c r="C38" s="791" t="s">
        <v>154</v>
      </c>
      <c r="D38" s="1305" t="str">
        <f t="shared" si="1"/>
        <v>Crescent353Station Equip - Transmission</v>
      </c>
      <c r="E38" s="313" t="s">
        <v>1274</v>
      </c>
      <c r="F38" s="707" t="str">
        <f>CONCATENATE("WP-BC, line ",VLOOKUP(D38,'WP-BC'!$A$18:$N$341,2,FALSE))</f>
        <v>WP-BC, line 10be</v>
      </c>
      <c r="G38" s="1395">
        <v>353</v>
      </c>
      <c r="H38" s="1647" t="s">
        <v>154</v>
      </c>
      <c r="I38" s="1394" t="s">
        <v>1852</v>
      </c>
      <c r="J38" s="789"/>
      <c r="K38" s="1314">
        <f>VLOOKUP($D38,'WP-BC'!$A$1:$N$352,7,FALSE)</f>
        <v>2395536</v>
      </c>
      <c r="L38" s="1314">
        <f>VLOOKUP($D38,'WP-BC'!$A$1:$N$352,8,FALSE)</f>
        <v>1102823</v>
      </c>
      <c r="M38" s="1315">
        <f t="shared" ref="M38" si="7">+K38-L38</f>
        <v>1292713</v>
      </c>
      <c r="N38" s="1314">
        <f>VLOOKUP($D38,'WP-BC'!$A$1:$N$352,10,FALSE)</f>
        <v>39926</v>
      </c>
      <c r="O38" s="1314">
        <f>VLOOKUP($D38,'WP-BC'!$A$1:$N$352,11,FALSE)</f>
        <v>2395536</v>
      </c>
      <c r="P38" s="1314">
        <f>VLOOKUP($D38,'WP-BC'!$A$1:$N$352,12,FALSE)</f>
        <v>1062897</v>
      </c>
      <c r="Q38" s="1315">
        <f t="shared" ref="Q38" si="8">+O38-P38</f>
        <v>1332639</v>
      </c>
      <c r="R38" s="1314">
        <f>VLOOKUP($D38,'WP-BC'!$A$1:$N$352,14,FALSE)</f>
        <v>39926</v>
      </c>
      <c r="S38" s="1309">
        <v>2395536</v>
      </c>
      <c r="T38" s="1309"/>
      <c r="U38" s="1309">
        <v>743489</v>
      </c>
      <c r="V38" s="1309"/>
      <c r="W38" s="1309">
        <f>+S38-U38</f>
        <v>1652047</v>
      </c>
      <c r="X38" s="1310"/>
      <c r="Y38" s="1310"/>
    </row>
    <row r="39" spans="1:25" s="795" customFormat="1">
      <c r="A39" s="789" t="s">
        <v>148</v>
      </c>
      <c r="B39" s="790" t="s">
        <v>241</v>
      </c>
      <c r="C39" s="791" t="s">
        <v>164</v>
      </c>
      <c r="D39" s="1305" t="str">
        <f t="shared" si="1"/>
        <v>Vischer Ferry353Station Equip - Transmission</v>
      </c>
      <c r="E39" s="313" t="s">
        <v>1275</v>
      </c>
      <c r="F39" s="707" t="str">
        <f>CONCATENATE("WP-BC, line ",VLOOKUP(D39,'WP-BC'!$A$18:$N$341,2,FALSE))</f>
        <v>WP-BC, line 10bu</v>
      </c>
      <c r="G39" s="1395">
        <v>353</v>
      </c>
      <c r="H39" s="1647" t="s">
        <v>164</v>
      </c>
      <c r="I39" s="1394" t="s">
        <v>1852</v>
      </c>
      <c r="J39" s="789"/>
      <c r="K39" s="1314">
        <f>VLOOKUP($D39,'WP-BC'!$A$1:$N$352,7,FALSE)</f>
        <v>663158</v>
      </c>
      <c r="L39" s="1314">
        <f>VLOOKUP($D39,'WP-BC'!$A$1:$N$352,8,FALSE)</f>
        <v>305301</v>
      </c>
      <c r="M39" s="1315">
        <f t="shared" ref="M39:M40" si="9">+K39-L39</f>
        <v>357857</v>
      </c>
      <c r="N39" s="1314">
        <f>VLOOKUP($D39,'WP-BC'!$A$1:$N$352,10,FALSE)</f>
        <v>11053</v>
      </c>
      <c r="O39" s="1314">
        <f>VLOOKUP($D39,'WP-BC'!$A$1:$N$352,11,FALSE)</f>
        <v>663158</v>
      </c>
      <c r="P39" s="1314">
        <f>VLOOKUP($D39,'WP-BC'!$A$1:$N$352,12,FALSE)</f>
        <v>294248</v>
      </c>
      <c r="Q39" s="1315">
        <f t="shared" ref="Q39:Q40" si="10">+O39-P39</f>
        <v>368910</v>
      </c>
      <c r="R39" s="1314">
        <f>VLOOKUP($D39,'WP-BC'!$A$1:$N$352,14,FALSE)</f>
        <v>11053</v>
      </c>
      <c r="S39" s="1309">
        <v>663158</v>
      </c>
      <c r="T39" s="1309"/>
      <c r="U39" s="1309">
        <v>205824</v>
      </c>
      <c r="V39" s="1309"/>
      <c r="W39" s="1309">
        <f>+S39-U39</f>
        <v>457334</v>
      </c>
      <c r="X39" s="1310"/>
      <c r="Y39" s="1310"/>
    </row>
    <row r="40" spans="1:25" s="795" customFormat="1">
      <c r="A40" s="789" t="s">
        <v>148</v>
      </c>
      <c r="B40" s="790" t="s">
        <v>241</v>
      </c>
      <c r="C40" s="791" t="s">
        <v>162</v>
      </c>
      <c r="D40" s="1305" t="str">
        <f t="shared" si="1"/>
        <v>Jarvis353Station Equip - Transmission</v>
      </c>
      <c r="E40" s="313" t="s">
        <v>1276</v>
      </c>
      <c r="F40" s="707" t="str">
        <f>CONCATENATE("WP-BC, line ",VLOOKUP(D40,'WP-BC'!$A$18:$N$341,2,FALSE))</f>
        <v>WP-BC, line 10bm</v>
      </c>
      <c r="G40" s="1395">
        <v>353</v>
      </c>
      <c r="H40" s="1647" t="s">
        <v>162</v>
      </c>
      <c r="I40" s="1394" t="s">
        <v>1852</v>
      </c>
      <c r="J40" s="789"/>
      <c r="K40" s="1314">
        <f>VLOOKUP($D40,'WP-BC'!$A$1:$N$352,7,FALSE)</f>
        <v>4302254</v>
      </c>
      <c r="L40" s="1314">
        <f>VLOOKUP($D40,'WP-BC'!$A$1:$N$352,8,FALSE)</f>
        <v>1980613</v>
      </c>
      <c r="M40" s="1315">
        <f t="shared" si="9"/>
        <v>2321641</v>
      </c>
      <c r="N40" s="1314">
        <f>VLOOKUP($D40,'WP-BC'!$A$1:$N$352,10,FALSE)</f>
        <v>71705</v>
      </c>
      <c r="O40" s="1314">
        <f>VLOOKUP($D40,'WP-BC'!$A$1:$N$352,11,FALSE)</f>
        <v>4302254</v>
      </c>
      <c r="P40" s="1314">
        <f>VLOOKUP($D40,'WP-BC'!$A$1:$N$352,12,FALSE)</f>
        <v>1908908</v>
      </c>
      <c r="Q40" s="1315">
        <f t="shared" si="10"/>
        <v>2393346</v>
      </c>
      <c r="R40" s="1314">
        <f>VLOOKUP($D40,'WP-BC'!$A$1:$N$352,14,FALSE)</f>
        <v>71705</v>
      </c>
      <c r="S40" s="1309">
        <v>4302254</v>
      </c>
      <c r="T40" s="1309"/>
      <c r="U40" s="1309">
        <v>1335268</v>
      </c>
      <c r="V40" s="1309"/>
      <c r="W40" s="1309">
        <f>+S40-U40</f>
        <v>2966986</v>
      </c>
      <c r="X40" s="1310"/>
      <c r="Y40" s="1310"/>
    </row>
    <row r="41" spans="1:25" s="795" customFormat="1">
      <c r="A41" s="789"/>
      <c r="B41" s="790"/>
      <c r="C41" s="791"/>
      <c r="D41" s="1305"/>
      <c r="E41" s="1331" t="s">
        <v>541</v>
      </c>
      <c r="F41" s="1394"/>
      <c r="G41" s="1395"/>
      <c r="H41" s="1396"/>
      <c r="I41" s="1394"/>
      <c r="J41" s="789"/>
      <c r="K41" s="1316" t="s">
        <v>1166</v>
      </c>
      <c r="L41" s="1316" t="s">
        <v>1166</v>
      </c>
      <c r="M41" s="1316" t="s">
        <v>1166</v>
      </c>
      <c r="N41" s="1316" t="s">
        <v>1166</v>
      </c>
      <c r="O41" s="1316" t="s">
        <v>1166</v>
      </c>
      <c r="P41" s="1316" t="s">
        <v>1166</v>
      </c>
      <c r="Q41" s="1316" t="s">
        <v>1166</v>
      </c>
      <c r="R41" s="1316" t="s">
        <v>1166</v>
      </c>
      <c r="S41" s="1309"/>
      <c r="T41" s="1309"/>
      <c r="U41" s="1309"/>
      <c r="V41" s="1309"/>
      <c r="W41" s="1309"/>
      <c r="X41" s="1310"/>
      <c r="Y41" s="1310"/>
    </row>
    <row r="42" spans="1:25" s="795" customFormat="1">
      <c r="A42" s="789"/>
      <c r="B42" s="790"/>
      <c r="C42" s="791"/>
      <c r="D42" s="1305"/>
      <c r="E42" s="1333"/>
      <c r="F42" s="1333"/>
      <c r="G42" s="792"/>
      <c r="H42" s="789"/>
      <c r="I42" s="789"/>
      <c r="J42" s="789"/>
      <c r="K42" s="1314"/>
      <c r="L42" s="1314"/>
      <c r="M42" s="1314"/>
      <c r="N42" s="1314"/>
      <c r="O42" s="1314"/>
      <c r="P42" s="1314"/>
      <c r="Q42" s="1314"/>
      <c r="R42" s="1314"/>
      <c r="S42" s="1309"/>
      <c r="T42" s="1309"/>
      <c r="U42" s="1309"/>
      <c r="V42" s="1309"/>
      <c r="W42" s="1309"/>
      <c r="X42" s="1310"/>
      <c r="Y42" s="1310"/>
    </row>
    <row r="43" spans="1:25" s="795" customFormat="1">
      <c r="A43" s="789"/>
      <c r="B43" s="790"/>
      <c r="C43" s="791"/>
      <c r="D43" s="1305" t="str">
        <f t="shared" si="1"/>
        <v>SUBTOTAL Small Hydro</v>
      </c>
      <c r="E43" s="1335">
        <v>6</v>
      </c>
      <c r="F43" s="1335"/>
      <c r="G43" s="799" t="s">
        <v>236</v>
      </c>
      <c r="H43" s="789"/>
      <c r="I43" s="789"/>
      <c r="J43" s="789"/>
      <c r="K43" s="1312">
        <f>SUM(K38:K41)</f>
        <v>7360948</v>
      </c>
      <c r="L43" s="1312">
        <f t="shared" ref="L43:R43" si="11">SUM(L38:L41)</f>
        <v>3388737</v>
      </c>
      <c r="M43" s="1312">
        <f t="shared" si="11"/>
        <v>3972211</v>
      </c>
      <c r="N43" s="1312">
        <f t="shared" si="11"/>
        <v>122684</v>
      </c>
      <c r="O43" s="1312">
        <f t="shared" si="11"/>
        <v>7360948</v>
      </c>
      <c r="P43" s="1312">
        <f t="shared" si="11"/>
        <v>3266053</v>
      </c>
      <c r="Q43" s="1312">
        <f t="shared" si="11"/>
        <v>4094895</v>
      </c>
      <c r="R43" s="1312">
        <f t="shared" si="11"/>
        <v>122684</v>
      </c>
      <c r="S43" s="1307">
        <f t="shared" ref="S43" si="12">SUM(S38:S40)</f>
        <v>7360948</v>
      </c>
      <c r="T43" s="1309"/>
      <c r="U43" s="1307">
        <f>SUM(U38:U40)</f>
        <v>2284581</v>
      </c>
      <c r="V43" s="1309"/>
      <c r="W43" s="1307">
        <f>SUM(W38:W40)</f>
        <v>5076367</v>
      </c>
      <c r="X43" s="1310"/>
      <c r="Y43" s="1310"/>
    </row>
    <row r="44" spans="1:25" s="795" customFormat="1" ht="15" customHeight="1">
      <c r="A44" s="789"/>
      <c r="B44" s="790"/>
      <c r="C44" s="791"/>
      <c r="D44" s="1305" t="str">
        <f t="shared" si="1"/>
        <v/>
      </c>
      <c r="E44" s="1335">
        <v>7</v>
      </c>
      <c r="F44" s="1331"/>
      <c r="G44" s="792"/>
      <c r="H44" s="789"/>
      <c r="I44" s="789"/>
      <c r="J44" s="789"/>
      <c r="K44" s="1314"/>
      <c r="L44" s="1314"/>
      <c r="M44" s="1315"/>
      <c r="N44" s="1314"/>
      <c r="O44" s="1314"/>
      <c r="P44" s="1314"/>
      <c r="Q44" s="1315"/>
      <c r="R44" s="1314"/>
      <c r="S44" s="1309"/>
      <c r="T44" s="1309"/>
      <c r="U44" s="1309"/>
      <c r="V44" s="1309"/>
      <c r="W44" s="1309"/>
      <c r="X44" s="1310"/>
      <c r="Y44" s="1310"/>
    </row>
    <row r="45" spans="1:25" s="800" customFormat="1">
      <c r="A45" s="366" t="s">
        <v>148</v>
      </c>
      <c r="B45" s="802" t="s">
        <v>241</v>
      </c>
      <c r="C45" s="791" t="s">
        <v>155</v>
      </c>
      <c r="D45" s="1305" t="str">
        <f t="shared" si="1"/>
        <v>FLYNN  (Holtsville)353Station Equip - Transmission</v>
      </c>
      <c r="E45" s="1333" t="s">
        <v>1284</v>
      </c>
      <c r="F45" s="707" t="str">
        <f>CONCATENATE("WP-BC, line ",VLOOKUP(D45,'WP-BC'!$A$18:$N$341,2,FALSE))</f>
        <v>WP-BC, line 10bh</v>
      </c>
      <c r="G45" s="1392">
        <v>353</v>
      </c>
      <c r="H45" s="1394" t="s">
        <v>155</v>
      </c>
      <c r="I45" s="659" t="s">
        <v>1852</v>
      </c>
      <c r="J45" s="366"/>
      <c r="K45" s="1314">
        <f>VLOOKUP($D45,'WP-BC'!$A$1:$N$352,7,FALSE)</f>
        <v>11956558.059999999</v>
      </c>
      <c r="L45" s="1314">
        <f>VLOOKUP($D45,'WP-BC'!$A$1:$N$352,8,FALSE)</f>
        <v>4774841.62</v>
      </c>
      <c r="M45" s="1315">
        <f>+K45-L45</f>
        <v>7181716.4399999985</v>
      </c>
      <c r="N45" s="1314">
        <f>VLOOKUP($D45,'WP-BC'!$A$1:$N$352,10,FALSE)</f>
        <v>315544</v>
      </c>
      <c r="O45" s="1314">
        <f>VLOOKUP($D45,'WP-BC'!$A$1:$N$352,11,FALSE)</f>
        <v>11956558.059999999</v>
      </c>
      <c r="P45" s="1314">
        <f>VLOOKUP($D45,'WP-BC'!$A$1:$N$352,12,FALSE)</f>
        <v>4459297.62</v>
      </c>
      <c r="Q45" s="1315">
        <f>+O45-P45</f>
        <v>7497260.4399999985</v>
      </c>
      <c r="R45" s="1314">
        <f>VLOOKUP($D45,'WP-BC'!$A$1:$N$352,14,FALSE)</f>
        <v>315220.84999999998</v>
      </c>
      <c r="S45" s="1307">
        <v>7581079</v>
      </c>
      <c r="T45" s="1307"/>
      <c r="U45" s="1307">
        <v>2894210</v>
      </c>
      <c r="V45" s="1307"/>
      <c r="W45" s="1307">
        <f>+S45-U45</f>
        <v>4686869</v>
      </c>
      <c r="X45" s="1308"/>
      <c r="Y45" s="1308"/>
    </row>
    <row r="46" spans="1:25" s="800" customFormat="1">
      <c r="A46" s="366"/>
      <c r="B46" s="802"/>
      <c r="C46" s="791"/>
      <c r="D46" s="1305"/>
      <c r="E46" s="1331" t="s">
        <v>541</v>
      </c>
      <c r="F46" s="1394"/>
      <c r="G46" s="1395"/>
      <c r="H46" s="1396"/>
      <c r="I46" s="1394"/>
      <c r="J46" s="366"/>
      <c r="K46" s="789" t="s">
        <v>1166</v>
      </c>
      <c r="L46" s="789" t="s">
        <v>1166</v>
      </c>
      <c r="M46" s="789" t="s">
        <v>1166</v>
      </c>
      <c r="N46" s="789" t="s">
        <v>1166</v>
      </c>
      <c r="O46" s="789" t="s">
        <v>1166</v>
      </c>
      <c r="P46" s="789" t="s">
        <v>1166</v>
      </c>
      <c r="Q46" s="789" t="s">
        <v>1166</v>
      </c>
      <c r="R46" s="789" t="s">
        <v>1166</v>
      </c>
      <c r="S46" s="1307"/>
      <c r="T46" s="1307"/>
      <c r="U46" s="1307"/>
      <c r="V46" s="1307"/>
      <c r="W46" s="1307"/>
      <c r="X46" s="1308"/>
      <c r="Y46" s="1308"/>
    </row>
    <row r="47" spans="1:25" s="800" customFormat="1">
      <c r="A47" s="366"/>
      <c r="B47" s="802"/>
      <c r="C47" s="791"/>
      <c r="D47" s="1305"/>
      <c r="E47" s="1335"/>
      <c r="F47" s="772"/>
      <c r="G47" s="792"/>
      <c r="H47" s="789"/>
      <c r="I47" s="789"/>
      <c r="J47" s="366"/>
      <c r="K47" s="789"/>
      <c r="L47" s="789"/>
      <c r="M47" s="789"/>
      <c r="N47" s="789"/>
      <c r="O47" s="789"/>
      <c r="P47" s="789"/>
      <c r="Q47" s="789"/>
      <c r="R47" s="789"/>
      <c r="S47" s="1307"/>
      <c r="T47" s="1307"/>
      <c r="U47" s="1307"/>
      <c r="V47" s="1307"/>
      <c r="W47" s="1307"/>
      <c r="X47" s="1308"/>
      <c r="Y47" s="1308"/>
    </row>
    <row r="48" spans="1:25" s="800" customFormat="1">
      <c r="A48" s="366"/>
      <c r="B48" s="802"/>
      <c r="C48" s="791"/>
      <c r="D48" s="1305"/>
      <c r="E48" s="1335">
        <v>8</v>
      </c>
      <c r="F48" s="772"/>
      <c r="G48" s="799" t="s">
        <v>1312</v>
      </c>
      <c r="H48" s="789"/>
      <c r="I48" s="789"/>
      <c r="J48" s="366"/>
      <c r="K48" s="1312">
        <f>SUM(K45:K47)</f>
        <v>11956558.059999999</v>
      </c>
      <c r="L48" s="1312">
        <f t="shared" ref="L48:R48" si="13">SUM(L45:L47)</f>
        <v>4774841.62</v>
      </c>
      <c r="M48" s="1312">
        <f t="shared" si="13"/>
        <v>7181716.4399999985</v>
      </c>
      <c r="N48" s="1312">
        <f t="shared" si="13"/>
        <v>315544</v>
      </c>
      <c r="O48" s="1312">
        <f t="shared" si="13"/>
        <v>11956558.059999999</v>
      </c>
      <c r="P48" s="1312">
        <f t="shared" si="13"/>
        <v>4459297.62</v>
      </c>
      <c r="Q48" s="1312">
        <f t="shared" si="13"/>
        <v>7497260.4399999985</v>
      </c>
      <c r="R48" s="1312">
        <f t="shared" si="13"/>
        <v>315220.84999999998</v>
      </c>
      <c r="S48" s="1307"/>
      <c r="T48" s="1307"/>
      <c r="U48" s="1307"/>
      <c r="V48" s="1307"/>
      <c r="W48" s="1307"/>
      <c r="X48" s="1308"/>
      <c r="Y48" s="1308"/>
    </row>
    <row r="49" spans="1:25" s="795" customFormat="1" ht="9" customHeight="1">
      <c r="A49" s="789"/>
      <c r="B49" s="790"/>
      <c r="C49" s="791"/>
      <c r="D49" s="1305" t="str">
        <f t="shared" si="1"/>
        <v/>
      </c>
      <c r="E49" s="1331"/>
      <c r="F49" s="1331"/>
      <c r="G49" s="799"/>
      <c r="H49" s="789"/>
      <c r="I49" s="789"/>
      <c r="J49" s="789"/>
      <c r="K49" s="1314"/>
      <c r="L49" s="1314"/>
      <c r="M49" s="1315"/>
      <c r="N49" s="1314"/>
      <c r="O49" s="1314"/>
      <c r="P49" s="1314"/>
      <c r="Q49" s="1315"/>
      <c r="R49" s="1314"/>
      <c r="S49" s="1309"/>
      <c r="T49" s="1309"/>
      <c r="U49" s="1309"/>
      <c r="V49" s="1309"/>
      <c r="W49" s="1309"/>
      <c r="X49" s="1310"/>
      <c r="Y49" s="1310"/>
    </row>
    <row r="50" spans="1:25" s="795" customFormat="1">
      <c r="A50" s="789" t="s">
        <v>148</v>
      </c>
      <c r="B50" s="790" t="s">
        <v>241</v>
      </c>
      <c r="C50" s="791" t="s">
        <v>161</v>
      </c>
      <c r="D50" s="1305" t="str">
        <f t="shared" si="1"/>
        <v>POLETTI  (Astoria)350Land &amp; Land Rights</v>
      </c>
      <c r="E50" s="1331" t="s">
        <v>1167</v>
      </c>
      <c r="F50" s="707" t="str">
        <f>CONCATENATE("WP-BC, line ",VLOOKUP(D50,'WP-BC'!$A$18:$N$341,2,FALSE))</f>
        <v>WP-BC, line 1p</v>
      </c>
      <c r="G50" s="1395">
        <v>350</v>
      </c>
      <c r="H50" s="1647" t="s">
        <v>161</v>
      </c>
      <c r="I50" s="1394" t="s">
        <v>1930</v>
      </c>
      <c r="J50" s="789"/>
      <c r="K50" s="1314">
        <f>VLOOKUP($D50,'WP-BC'!$A$1:$N$352,7,FALSE)</f>
        <v>981</v>
      </c>
      <c r="L50" s="1314">
        <f>VLOOKUP($D50,'WP-BC'!$A$1:$N$352,8,FALSE)</f>
        <v>0</v>
      </c>
      <c r="M50" s="1315">
        <f t="shared" ref="M50:M54" si="14">+K50-L50</f>
        <v>981</v>
      </c>
      <c r="N50" s="1314">
        <f>VLOOKUP($D50,'WP-BC'!$A$1:$N$352,10,FALSE)</f>
        <v>0</v>
      </c>
      <c r="O50" s="1314">
        <f>VLOOKUP($D50,'WP-BC'!$A$1:$N$352,11,FALSE)</f>
        <v>981</v>
      </c>
      <c r="P50" s="1314">
        <f>VLOOKUP($D50,'WP-BC'!$A$1:$N$352,12,FALSE)</f>
        <v>0</v>
      </c>
      <c r="Q50" s="1315">
        <f t="shared" ref="Q50:Q54" si="15">+O50-P50</f>
        <v>981</v>
      </c>
      <c r="R50" s="1314">
        <f>VLOOKUP($D50,'WP-BC'!$A$1:$N$352,14,FALSE)</f>
        <v>0</v>
      </c>
      <c r="S50" s="1309">
        <v>981</v>
      </c>
      <c r="T50" s="1309"/>
      <c r="U50" s="1309">
        <v>0</v>
      </c>
      <c r="V50" s="1309"/>
      <c r="W50" s="1309">
        <f>+S50-U50</f>
        <v>981</v>
      </c>
      <c r="X50" s="1310"/>
      <c r="Y50" s="1310"/>
    </row>
    <row r="51" spans="1:25" s="795" customFormat="1">
      <c r="A51" s="789" t="s">
        <v>148</v>
      </c>
      <c r="B51" s="790" t="s">
        <v>241</v>
      </c>
      <c r="C51" s="791" t="s">
        <v>161</v>
      </c>
      <c r="D51" s="1305" t="str">
        <f t="shared" si="1"/>
        <v>POLETTI  (Astoria)352Structures &amp; Improvements</v>
      </c>
      <c r="E51" s="1331" t="s">
        <v>1168</v>
      </c>
      <c r="F51" s="707" t="str">
        <f>CONCATENATE("WP-BC, line ",VLOOKUP(D51,'WP-BC'!$A$18:$N$341,2,FALSE))</f>
        <v>WP-BC, line 10bo</v>
      </c>
      <c r="G51" s="1395">
        <v>352</v>
      </c>
      <c r="H51" s="1647" t="s">
        <v>161</v>
      </c>
      <c r="I51" s="1394" t="s">
        <v>69</v>
      </c>
      <c r="J51" s="789"/>
      <c r="K51" s="1314">
        <f>VLOOKUP($D51,'WP-BC'!$A$1:$N$352,7,FALSE)</f>
        <v>69748</v>
      </c>
      <c r="L51" s="1314">
        <f>VLOOKUP($D51,'WP-BC'!$A$1:$N$352,8,FALSE)</f>
        <v>59684.639999999999</v>
      </c>
      <c r="M51" s="1315">
        <f t="shared" si="14"/>
        <v>10063.36</v>
      </c>
      <c r="N51" s="1314">
        <f>VLOOKUP($D51,'WP-BC'!$A$1:$N$352,10,FALSE)</f>
        <v>1182</v>
      </c>
      <c r="O51" s="1314">
        <f>VLOOKUP($D51,'WP-BC'!$A$1:$N$352,11,FALSE)</f>
        <v>69748</v>
      </c>
      <c r="P51" s="1314">
        <f>VLOOKUP($D51,'WP-BC'!$A$1:$N$352,12,FALSE)</f>
        <v>58502.64</v>
      </c>
      <c r="Q51" s="1315">
        <f t="shared" si="15"/>
        <v>11245.36</v>
      </c>
      <c r="R51" s="1314">
        <f>VLOOKUP($D51,'WP-BC'!$A$1:$N$352,14,FALSE)</f>
        <v>1304</v>
      </c>
      <c r="S51" s="1309">
        <v>69748</v>
      </c>
      <c r="T51" s="1309"/>
      <c r="U51" s="1309">
        <v>52142</v>
      </c>
      <c r="V51" s="1309"/>
      <c r="W51" s="1309">
        <f>+S51-U51</f>
        <v>17606</v>
      </c>
      <c r="X51" s="1310"/>
      <c r="Y51" s="1310"/>
    </row>
    <row r="52" spans="1:25" s="795" customFormat="1">
      <c r="A52" s="789" t="s">
        <v>148</v>
      </c>
      <c r="B52" s="790" t="s">
        <v>241</v>
      </c>
      <c r="C52" s="791" t="s">
        <v>161</v>
      </c>
      <c r="D52" s="1305" t="str">
        <f t="shared" si="1"/>
        <v>POLETTI  (Astoria)353Station Equipment</v>
      </c>
      <c r="E52" s="1331" t="s">
        <v>1188</v>
      </c>
      <c r="F52" s="707" t="str">
        <f>CONCATENATE("WP-BC, line ",VLOOKUP(D52,'WP-BC'!$A$18:$N$341,2,FALSE))</f>
        <v>WP-BC, line 10bp</v>
      </c>
      <c r="G52" s="1395">
        <v>353</v>
      </c>
      <c r="H52" s="1647" t="s">
        <v>161</v>
      </c>
      <c r="I52" s="1394" t="s">
        <v>20</v>
      </c>
      <c r="J52" s="789"/>
      <c r="K52" s="1314">
        <f>VLOOKUP($D52,'WP-BC'!$A$1:$N$352,7,FALSE)</f>
        <v>14716023</v>
      </c>
      <c r="L52" s="1314">
        <f>VLOOKUP($D52,'WP-BC'!$A$1:$N$352,8,FALSE)</f>
        <v>15359851.59</v>
      </c>
      <c r="M52" s="1315">
        <f t="shared" si="14"/>
        <v>-643828.58999999985</v>
      </c>
      <c r="N52" s="1314">
        <f>VLOOKUP($D52,'WP-BC'!$A$1:$N$352,10,FALSE)</f>
        <v>367901</v>
      </c>
      <c r="O52" s="1314">
        <f>VLOOKUP($D52,'WP-BC'!$A$1:$N$352,11,FALSE)</f>
        <v>14716023</v>
      </c>
      <c r="P52" s="1314">
        <f>VLOOKUP($D52,'WP-BC'!$A$1:$N$352,12,FALSE)</f>
        <v>14991950.59</v>
      </c>
      <c r="Q52" s="1315">
        <f t="shared" si="15"/>
        <v>-275927.58999999985</v>
      </c>
      <c r="R52" s="1314">
        <f>VLOOKUP($D52,'WP-BC'!$A$1:$N$352,14,FALSE)</f>
        <v>275927</v>
      </c>
      <c r="S52" s="1309">
        <v>14716023</v>
      </c>
      <c r="T52" s="1309"/>
      <c r="U52" s="1309">
        <v>13714374</v>
      </c>
      <c r="V52" s="1309"/>
      <c r="W52" s="1309">
        <f>+S52-U52</f>
        <v>1001649</v>
      </c>
      <c r="X52" s="1310"/>
      <c r="Y52" s="1310"/>
    </row>
    <row r="53" spans="1:25" s="795" customFormat="1">
      <c r="A53" s="789" t="s">
        <v>148</v>
      </c>
      <c r="B53" s="790" t="s">
        <v>241</v>
      </c>
      <c r="C53" s="791" t="s">
        <v>161</v>
      </c>
      <c r="D53" s="1305" t="str">
        <f t="shared" si="1"/>
        <v>POLETTI  (Astoria)357Underground Conduit</v>
      </c>
      <c r="E53" s="1331" t="s">
        <v>1189</v>
      </c>
      <c r="F53" s="707" t="str">
        <f>CONCATENATE("WP-BC, line ",VLOOKUP(D53,'WP-BC'!$A$18:$N$341,2,FALSE))</f>
        <v>WP-BC, line 10bq</v>
      </c>
      <c r="G53" s="1395">
        <v>357</v>
      </c>
      <c r="H53" s="1647" t="s">
        <v>161</v>
      </c>
      <c r="I53" s="1394" t="s">
        <v>73</v>
      </c>
      <c r="J53" s="789"/>
      <c r="K53" s="1314">
        <f>VLOOKUP($D53,'WP-BC'!$A$1:$N$352,7,FALSE)</f>
        <v>16192845</v>
      </c>
      <c r="L53" s="1314">
        <f>VLOOKUP($D53,'WP-BC'!$A$1:$N$352,8,FALSE)</f>
        <v>16524976.029999999</v>
      </c>
      <c r="M53" s="1315">
        <f t="shared" si="14"/>
        <v>-332131.02999999933</v>
      </c>
      <c r="N53" s="1314">
        <f>VLOOKUP($D53,'WP-BC'!$A$1:$N$352,10,FALSE)</f>
        <v>28514</v>
      </c>
      <c r="O53" s="1314">
        <f>VLOOKUP($D53,'WP-BC'!$A$1:$N$352,11,FALSE)</f>
        <v>16192845</v>
      </c>
      <c r="P53" s="1314">
        <f>VLOOKUP($D53,'WP-BC'!$A$1:$N$352,12,FALSE)</f>
        <v>16496462.029999999</v>
      </c>
      <c r="Q53" s="1315">
        <f t="shared" si="15"/>
        <v>-303617.02999999933</v>
      </c>
      <c r="R53" s="1314">
        <f>VLOOKUP($D53,'WP-BC'!$A$1:$N$352,14,FALSE)</f>
        <v>303617</v>
      </c>
      <c r="S53" s="1309">
        <v>16192845</v>
      </c>
      <c r="T53" s="1309"/>
      <c r="U53" s="1309">
        <v>15487818</v>
      </c>
      <c r="V53" s="1309"/>
      <c r="W53" s="1309">
        <f>+S53-U53</f>
        <v>705027</v>
      </c>
      <c r="X53" s="1310"/>
      <c r="Y53" s="1310"/>
    </row>
    <row r="54" spans="1:25" s="795" customFormat="1">
      <c r="A54" s="789" t="s">
        <v>148</v>
      </c>
      <c r="B54" s="790" t="s">
        <v>241</v>
      </c>
      <c r="C54" s="791" t="s">
        <v>161</v>
      </c>
      <c r="D54" s="1305" t="str">
        <f t="shared" si="1"/>
        <v>POLETTI  (Astoria)358Underground Conductors &amp; Devices</v>
      </c>
      <c r="E54" s="1331" t="s">
        <v>1190</v>
      </c>
      <c r="F54" s="707" t="str">
        <f>CONCATENATE("WP-BC, line ",VLOOKUP(D54,'WP-BC'!$A$18:$N$341,2,FALSE))</f>
        <v>WP-BC, line 10br</v>
      </c>
      <c r="G54" s="1395">
        <v>358</v>
      </c>
      <c r="H54" s="1647" t="s">
        <v>161</v>
      </c>
      <c r="I54" s="1394" t="s">
        <v>74</v>
      </c>
      <c r="J54" s="789"/>
      <c r="K54" s="1314">
        <f>VLOOKUP($D54,'WP-BC'!$A$1:$N$352,7,FALSE)</f>
        <v>14726135</v>
      </c>
      <c r="L54" s="1314">
        <f>VLOOKUP($D54,'WP-BC'!$A$1:$N$352,8,FALSE)</f>
        <v>14362871.74</v>
      </c>
      <c r="M54" s="1315">
        <f t="shared" si="14"/>
        <v>363263.25999999978</v>
      </c>
      <c r="N54" s="1314">
        <f>VLOOKUP($D54,'WP-BC'!$A$1:$N$352,10,FALSE)</f>
        <v>52793</v>
      </c>
      <c r="O54" s="1314">
        <f>VLOOKUP($D54,'WP-BC'!$A$1:$N$352,11,FALSE)</f>
        <v>14726135</v>
      </c>
      <c r="P54" s="1314">
        <f>VLOOKUP($D54,'WP-BC'!$A$1:$N$352,12,FALSE)</f>
        <v>14310078.74</v>
      </c>
      <c r="Q54" s="1315">
        <f t="shared" si="15"/>
        <v>416056.25999999978</v>
      </c>
      <c r="R54" s="1314">
        <f>VLOOKUP($D54,'WP-BC'!$A$1:$N$352,14,FALSE)</f>
        <v>276115</v>
      </c>
      <c r="S54" s="1309">
        <v>14726135</v>
      </c>
      <c r="T54" s="1309"/>
      <c r="U54" s="1309">
        <v>13030098</v>
      </c>
      <c r="V54" s="1309"/>
      <c r="W54" s="1309">
        <f>+S54-U54</f>
        <v>1696037</v>
      </c>
      <c r="X54" s="1310"/>
      <c r="Y54" s="1310"/>
    </row>
    <row r="55" spans="1:25" s="795" customFormat="1">
      <c r="A55" s="789"/>
      <c r="B55" s="790"/>
      <c r="C55" s="791"/>
      <c r="D55" s="1305"/>
      <c r="E55" s="1331" t="s">
        <v>541</v>
      </c>
      <c r="F55" s="1394"/>
      <c r="G55" s="1395"/>
      <c r="H55" s="1396"/>
      <c r="I55" s="1394"/>
      <c r="J55" s="789"/>
      <c r="K55" s="1316" t="s">
        <v>1166</v>
      </c>
      <c r="L55" s="1316" t="s">
        <v>1166</v>
      </c>
      <c r="M55" s="1316" t="s">
        <v>1166</v>
      </c>
      <c r="N55" s="1316" t="s">
        <v>1166</v>
      </c>
      <c r="O55" s="1316" t="s">
        <v>1166</v>
      </c>
      <c r="P55" s="1316" t="s">
        <v>1166</v>
      </c>
      <c r="Q55" s="1316" t="s">
        <v>1166</v>
      </c>
      <c r="R55" s="1316" t="s">
        <v>1166</v>
      </c>
      <c r="S55" s="1309"/>
      <c r="T55" s="1309"/>
      <c r="U55" s="1309"/>
      <c r="V55" s="1309"/>
      <c r="W55" s="1309"/>
      <c r="X55" s="1310"/>
      <c r="Y55" s="1310"/>
    </row>
    <row r="56" spans="1:25" s="795" customFormat="1">
      <c r="A56" s="789"/>
      <c r="B56" s="790"/>
      <c r="C56" s="791"/>
      <c r="D56" s="1305"/>
      <c r="E56" s="1331"/>
      <c r="F56" s="1331"/>
      <c r="G56" s="792"/>
      <c r="H56" s="789"/>
      <c r="I56" s="789"/>
      <c r="J56" s="789"/>
      <c r="K56" s="1314"/>
      <c r="L56" s="1314"/>
      <c r="M56" s="1314"/>
      <c r="N56" s="1314"/>
      <c r="O56" s="1314"/>
      <c r="P56" s="1314"/>
      <c r="Q56" s="1314"/>
      <c r="R56" s="1314"/>
      <c r="S56" s="1309"/>
      <c r="T56" s="1309"/>
      <c r="U56" s="1309"/>
      <c r="V56" s="1309"/>
      <c r="W56" s="1309"/>
      <c r="X56" s="1310"/>
      <c r="Y56" s="1310"/>
    </row>
    <row r="57" spans="1:25" s="795" customFormat="1">
      <c r="A57" s="789"/>
      <c r="B57" s="790"/>
      <c r="C57" s="791"/>
      <c r="D57" s="1305" t="str">
        <f t="shared" si="1"/>
        <v>SUBTOTAL Poletti</v>
      </c>
      <c r="E57" s="1335">
        <v>9</v>
      </c>
      <c r="F57" s="1335"/>
      <c r="G57" s="799" t="s">
        <v>238</v>
      </c>
      <c r="H57" s="789"/>
      <c r="I57" s="789"/>
      <c r="J57" s="789"/>
      <c r="K57" s="1312">
        <f>SUM(K50:K55)</f>
        <v>45705732</v>
      </c>
      <c r="L57" s="1312">
        <f t="shared" ref="L57:R57" si="16">SUM(L50:L55)</f>
        <v>46307384</v>
      </c>
      <c r="M57" s="1312">
        <f t="shared" si="16"/>
        <v>-601651.99999999942</v>
      </c>
      <c r="N57" s="1312">
        <f t="shared" si="16"/>
        <v>450390</v>
      </c>
      <c r="O57" s="1312">
        <f t="shared" si="16"/>
        <v>45705732</v>
      </c>
      <c r="P57" s="1312">
        <f t="shared" si="16"/>
        <v>45856994</v>
      </c>
      <c r="Q57" s="1312">
        <f t="shared" si="16"/>
        <v>-151261.99999999942</v>
      </c>
      <c r="R57" s="1312">
        <f t="shared" si="16"/>
        <v>856963</v>
      </c>
      <c r="S57" s="1307">
        <f>SUM(S50:S54)</f>
        <v>45705732</v>
      </c>
      <c r="T57" s="1309"/>
      <c r="U57" s="1307">
        <f>SUM(U50:U54)</f>
        <v>42284432</v>
      </c>
      <c r="V57" s="1309"/>
      <c r="W57" s="1307">
        <f>SUM(W50:W54)</f>
        <v>3421300</v>
      </c>
      <c r="X57" s="1310"/>
      <c r="Y57" s="1310"/>
    </row>
    <row r="58" spans="1:25" s="795" customFormat="1" ht="22.5" customHeight="1">
      <c r="A58" s="789"/>
      <c r="B58" s="790"/>
      <c r="C58" s="791"/>
      <c r="D58" s="1305" t="str">
        <f t="shared" si="1"/>
        <v/>
      </c>
      <c r="E58" s="1335">
        <v>10</v>
      </c>
      <c r="F58" s="1331"/>
      <c r="G58" s="792"/>
      <c r="H58" s="789"/>
      <c r="I58" s="789"/>
      <c r="J58" s="789"/>
      <c r="K58" s="1314"/>
      <c r="L58" s="1314"/>
      <c r="M58" s="1315"/>
      <c r="N58" s="1314"/>
      <c r="O58" s="1314"/>
      <c r="P58" s="1314"/>
      <c r="Q58" s="1315"/>
      <c r="R58" s="1314"/>
      <c r="S58" s="1309"/>
      <c r="T58" s="1309"/>
      <c r="U58" s="1309"/>
      <c r="V58" s="1309"/>
      <c r="W58" s="1309"/>
      <c r="X58" s="1310"/>
      <c r="Y58" s="1310"/>
    </row>
    <row r="59" spans="1:25" s="795" customFormat="1">
      <c r="A59" s="789" t="s">
        <v>148</v>
      </c>
      <c r="B59" s="790" t="s">
        <v>241</v>
      </c>
      <c r="C59" s="791" t="s">
        <v>159</v>
      </c>
      <c r="D59" s="1305" t="str">
        <f t="shared" si="1"/>
        <v>BRENTWOOD  (Long Island)353Station Equip - Transmission</v>
      </c>
      <c r="E59" s="313" t="s">
        <v>1218</v>
      </c>
      <c r="F59" s="707" t="str">
        <f>CONCATENATE("WP-BC, line ",VLOOKUP(D59,'WP-BC'!$A$18:$N$341,2,FALSE))</f>
        <v>WP-BC, line 10bd</v>
      </c>
      <c r="G59" s="1395">
        <v>353</v>
      </c>
      <c r="H59" s="1647" t="s">
        <v>159</v>
      </c>
      <c r="I59" s="1394" t="s">
        <v>1852</v>
      </c>
      <c r="J59" s="789"/>
      <c r="K59" s="1314">
        <f>VLOOKUP($D59,'WP-BC'!$A$1:$N$352,7,FALSE)</f>
        <v>6883705.7699999996</v>
      </c>
      <c r="L59" s="1314">
        <f>VLOOKUP($D59,'WP-BC'!$A$1:$N$352,8,FALSE)</f>
        <v>5757282</v>
      </c>
      <c r="M59" s="1315">
        <f t="shared" ref="M59:M65" si="17">+K59-L59</f>
        <v>1126423.7699999996</v>
      </c>
      <c r="N59" s="1314">
        <f>VLOOKUP($D59,'WP-BC'!$A$1:$N$352,10,FALSE)</f>
        <v>35874.269999999997</v>
      </c>
      <c r="O59" s="1314">
        <f>VLOOKUP($D59,'WP-BC'!$A$1:$N$352,11,FALSE)</f>
        <v>6857937.5</v>
      </c>
      <c r="P59" s="1314">
        <f>VLOOKUP($D59,'WP-BC'!$A$1:$N$352,12,FALSE)</f>
        <v>5721407.7300000004</v>
      </c>
      <c r="Q59" s="1315">
        <f t="shared" ref="Q59:Q65" si="18">+O59-P59</f>
        <v>1136529.7699999996</v>
      </c>
      <c r="R59" s="1314">
        <f>VLOOKUP($D59,'WP-BC'!$A$1:$N$352,14,FALSE)</f>
        <v>53071.67</v>
      </c>
      <c r="S59" s="1309">
        <v>6324138</v>
      </c>
      <c r="T59" s="1309"/>
      <c r="U59" s="1309">
        <v>3895543.23</v>
      </c>
      <c r="V59" s="1309"/>
      <c r="W59" s="1309">
        <f t="shared" ref="W59:W65" si="19">+S59-U59</f>
        <v>2428594.77</v>
      </c>
      <c r="X59" s="1310"/>
      <c r="Y59" s="1310"/>
    </row>
    <row r="60" spans="1:25" s="795" customFormat="1">
      <c r="A60" s="789" t="s">
        <v>148</v>
      </c>
      <c r="B60" s="790" t="s">
        <v>241</v>
      </c>
      <c r="C60" s="791" t="s">
        <v>156</v>
      </c>
      <c r="D60" s="1305" t="str">
        <f t="shared" si="1"/>
        <v>GOWANUS  (Brooklyn)353Station Equip - Transmission</v>
      </c>
      <c r="E60" s="313" t="s">
        <v>1219</v>
      </c>
      <c r="F60" s="707" t="str">
        <f>CONCATENATE("WP-BC, line ",VLOOKUP(D60,'WP-BC'!$A$18:$N$341,2,FALSE))</f>
        <v>WP-BC, line 10bi</v>
      </c>
      <c r="G60" s="1395">
        <v>353</v>
      </c>
      <c r="H60" s="1647" t="s">
        <v>156</v>
      </c>
      <c r="I60" s="1394" t="s">
        <v>1852</v>
      </c>
      <c r="J60" s="789"/>
      <c r="K60" s="1314">
        <f>VLOOKUP($D60,'WP-BC'!$A$1:$N$352,7,FALSE)</f>
        <v>28715227.16</v>
      </c>
      <c r="L60" s="1314">
        <f>VLOOKUP($D60,'WP-BC'!$A$1:$N$352,8,FALSE)</f>
        <v>27580353.329999998</v>
      </c>
      <c r="M60" s="1315">
        <f t="shared" si="17"/>
        <v>1134873.8300000019</v>
      </c>
      <c r="N60" s="1314">
        <f>VLOOKUP($D60,'WP-BC'!$A$1:$N$352,10,FALSE)</f>
        <v>0</v>
      </c>
      <c r="O60" s="1314">
        <f>VLOOKUP($D60,'WP-BC'!$A$1:$N$352,11,FALSE)</f>
        <v>28715227.16</v>
      </c>
      <c r="P60" s="1314">
        <f>VLOOKUP($D60,'WP-BC'!$A$1:$N$352,12,FALSE)</f>
        <v>27580353.329999998</v>
      </c>
      <c r="Q60" s="1315">
        <f t="shared" si="18"/>
        <v>1134873.8300000019</v>
      </c>
      <c r="R60" s="1314">
        <f>VLOOKUP($D60,'WP-BC'!$A$1:$N$352,14,FALSE)</f>
        <v>275493</v>
      </c>
      <c r="S60" s="1309">
        <v>28929287.280000001</v>
      </c>
      <c r="T60" s="1309"/>
      <c r="U60" s="1309">
        <v>11360221.449999999</v>
      </c>
      <c r="V60" s="1309"/>
      <c r="W60" s="1309">
        <f t="shared" si="19"/>
        <v>17569065.830000002</v>
      </c>
      <c r="X60" s="1310"/>
      <c r="Y60" s="1310"/>
    </row>
    <row r="61" spans="1:25" s="795" customFormat="1">
      <c r="A61" s="789" t="s">
        <v>148</v>
      </c>
      <c r="B61" s="790" t="s">
        <v>241</v>
      </c>
      <c r="C61" s="791" t="s">
        <v>157</v>
      </c>
      <c r="D61" s="1305" t="str">
        <f t="shared" si="1"/>
        <v>HARLEM RIVER YARDS  (Bronx)353Station Equip - Transmission</v>
      </c>
      <c r="E61" s="313" t="s">
        <v>1220</v>
      </c>
      <c r="F61" s="707" t="str">
        <f>CONCATENATE("WP-BC, line ",VLOOKUP(D61,'WP-BC'!$A$18:$N$341,2,FALSE))</f>
        <v>WP-BC, line 10bk</v>
      </c>
      <c r="G61" s="1395">
        <v>353</v>
      </c>
      <c r="H61" s="1647" t="s">
        <v>157</v>
      </c>
      <c r="I61" s="1394" t="s">
        <v>1852</v>
      </c>
      <c r="J61" s="789"/>
      <c r="K61" s="1314">
        <f>VLOOKUP($D61,'WP-BC'!$A$1:$N$352,7,FALSE)</f>
        <v>25080072.09</v>
      </c>
      <c r="L61" s="1314">
        <f>VLOOKUP($D61,'WP-BC'!$A$1:$N$352,8,FALSE)</f>
        <v>19681688.09</v>
      </c>
      <c r="M61" s="1315">
        <f t="shared" si="17"/>
        <v>5398384</v>
      </c>
      <c r="N61" s="1314">
        <f>VLOOKUP($D61,'WP-BC'!$A$1:$N$352,10,FALSE)</f>
        <v>486013.72</v>
      </c>
      <c r="O61" s="1314">
        <f>VLOOKUP($D61,'WP-BC'!$A$1:$N$352,11,FALSE)</f>
        <v>25058084.370000001</v>
      </c>
      <c r="P61" s="1314">
        <f>VLOOKUP($D61,'WP-BC'!$A$1:$N$352,12,FALSE)</f>
        <v>19195674.370000001</v>
      </c>
      <c r="Q61" s="1315">
        <f t="shared" si="18"/>
        <v>5862410</v>
      </c>
      <c r="R61" s="1314">
        <f>VLOOKUP($D61,'WP-BC'!$A$1:$N$352,14,FALSE)</f>
        <v>513095.09</v>
      </c>
      <c r="S61" s="1309">
        <v>18077566</v>
      </c>
      <c r="T61" s="1309"/>
      <c r="U61" s="1309">
        <v>12146580</v>
      </c>
      <c r="V61" s="1309"/>
      <c r="W61" s="1309">
        <f t="shared" si="19"/>
        <v>5930986</v>
      </c>
      <c r="X61" s="1310"/>
      <c r="Y61" s="1310"/>
    </row>
    <row r="62" spans="1:25" s="795" customFormat="1">
      <c r="A62" s="789" t="s">
        <v>148</v>
      </c>
      <c r="B62" s="790" t="s">
        <v>241</v>
      </c>
      <c r="C62" s="791" t="s">
        <v>158</v>
      </c>
      <c r="D62" s="1305" t="str">
        <f t="shared" si="1"/>
        <v>HELLGATE  (Bronx)353Station Equip - Transmission</v>
      </c>
      <c r="E62" s="313" t="s">
        <v>1221</v>
      </c>
      <c r="F62" s="707" t="str">
        <f>CONCATENATE("WP-BC, line ",VLOOKUP(D62,'WP-BC'!$A$18:$N$341,2,FALSE))</f>
        <v>WP-BC, line 10bl</v>
      </c>
      <c r="G62" s="1395">
        <v>353</v>
      </c>
      <c r="H62" s="1647" t="s">
        <v>158</v>
      </c>
      <c r="I62" s="1394" t="s">
        <v>1852</v>
      </c>
      <c r="J62" s="789"/>
      <c r="K62" s="1314">
        <f>VLOOKUP($D62,'WP-BC'!$A$1:$N$352,7,FALSE)</f>
        <v>25061552.949999999</v>
      </c>
      <c r="L62" s="1314">
        <f>VLOOKUP($D62,'WP-BC'!$A$1:$N$352,8,FALSE)</f>
        <v>16999003.949999999</v>
      </c>
      <c r="M62" s="1315">
        <f t="shared" si="17"/>
        <v>8062549</v>
      </c>
      <c r="N62" s="1314">
        <f>VLOOKUP($D62,'WP-BC'!$A$1:$N$352,10,FALSE)</f>
        <v>670814.69999999995</v>
      </c>
      <c r="O62" s="1314">
        <f>VLOOKUP($D62,'WP-BC'!$A$1:$N$352,11,FALSE)</f>
        <v>24379512.25</v>
      </c>
      <c r="P62" s="1314">
        <f>VLOOKUP($D62,'WP-BC'!$A$1:$N$352,12,FALSE)</f>
        <v>16328189.249999998</v>
      </c>
      <c r="Q62" s="1315">
        <f t="shared" si="18"/>
        <v>8051323.0000000019</v>
      </c>
      <c r="R62" s="1314">
        <f>VLOOKUP($D62,'WP-BC'!$A$1:$N$352,14,FALSE)</f>
        <v>757477.1</v>
      </c>
      <c r="S62" s="1309">
        <v>16205600</v>
      </c>
      <c r="T62" s="1309"/>
      <c r="U62" s="1309">
        <v>10969679</v>
      </c>
      <c r="V62" s="1309"/>
      <c r="W62" s="1309">
        <f t="shared" si="19"/>
        <v>5235921</v>
      </c>
      <c r="X62" s="1310"/>
      <c r="Y62" s="1310"/>
    </row>
    <row r="63" spans="1:25" s="795" customFormat="1">
      <c r="A63" s="789" t="s">
        <v>148</v>
      </c>
      <c r="B63" s="790" t="s">
        <v>241</v>
      </c>
      <c r="C63" s="791" t="s">
        <v>165</v>
      </c>
      <c r="D63" s="1305" t="str">
        <f t="shared" si="1"/>
        <v>KENT  (Brooklyn)353Station Equip - Transmission</v>
      </c>
      <c r="E63" s="313" t="s">
        <v>1222</v>
      </c>
      <c r="F63" s="707" t="str">
        <f>CONCATENATE("WP-BC, line ",VLOOKUP(D63,'WP-BC'!$A$18:$N$341,2,FALSE))</f>
        <v>WP-BC, line 10bn</v>
      </c>
      <c r="G63" s="1395">
        <v>353</v>
      </c>
      <c r="H63" s="1647" t="s">
        <v>165</v>
      </c>
      <c r="I63" s="1394" t="s">
        <v>1852</v>
      </c>
      <c r="J63" s="789"/>
      <c r="K63" s="1314">
        <f>VLOOKUP($D63,'WP-BC'!$A$1:$N$352,7,FALSE)</f>
        <v>10365797</v>
      </c>
      <c r="L63" s="1314">
        <f>VLOOKUP($D63,'WP-BC'!$A$1:$N$352,8,FALSE)</f>
        <v>9790103.2800000012</v>
      </c>
      <c r="M63" s="1315">
        <f t="shared" si="17"/>
        <v>575693.71999999881</v>
      </c>
      <c r="N63" s="1314">
        <f>VLOOKUP($D63,'WP-BC'!$A$1:$N$352,10,FALSE)</f>
        <v>0</v>
      </c>
      <c r="O63" s="1314">
        <f>VLOOKUP($D63,'WP-BC'!$A$1:$N$352,11,FALSE)</f>
        <v>10365797</v>
      </c>
      <c r="P63" s="1314">
        <f>VLOOKUP($D63,'WP-BC'!$A$1:$N$352,12,FALSE)</f>
        <v>9790103.2800000012</v>
      </c>
      <c r="Q63" s="1315">
        <f t="shared" si="18"/>
        <v>575693.71999999881</v>
      </c>
      <c r="R63" s="1314">
        <f>VLOOKUP($D63,'WP-BC'!$A$1:$N$352,14,FALSE)</f>
        <v>270360</v>
      </c>
      <c r="S63" s="1309">
        <v>10365797</v>
      </c>
      <c r="T63" s="1309"/>
      <c r="U63" s="1309">
        <v>6515685.2800000003</v>
      </c>
      <c r="V63" s="1309"/>
      <c r="W63" s="1309">
        <f t="shared" si="19"/>
        <v>3850111.7199999997</v>
      </c>
      <c r="X63" s="1310"/>
      <c r="Y63" s="1310"/>
    </row>
    <row r="64" spans="1:25" s="795" customFormat="1">
      <c r="A64" s="789" t="s">
        <v>148</v>
      </c>
      <c r="B64" s="790" t="s">
        <v>241</v>
      </c>
      <c r="C64" s="791" t="s">
        <v>166</v>
      </c>
      <c r="D64" s="1305" t="str">
        <f t="shared" si="1"/>
        <v>POUCH TERMINAL  (Richmond)353Station Equip - Transmission</v>
      </c>
      <c r="E64" s="1331" t="s">
        <v>1223</v>
      </c>
      <c r="F64" s="707" t="str">
        <f>CONCATENATE("WP-BC, line ",VLOOKUP(D64,'WP-BC'!$A$18:$N$341,2,FALSE))</f>
        <v>WP-BC, line 10bs</v>
      </c>
      <c r="G64" s="1395">
        <v>353</v>
      </c>
      <c r="H64" s="1647" t="s">
        <v>166</v>
      </c>
      <c r="I64" s="1394" t="s">
        <v>1852</v>
      </c>
      <c r="J64" s="789"/>
      <c r="K64" s="1314">
        <f>VLOOKUP($D64,'WP-BC'!$A$1:$N$352,7,FALSE)</f>
        <v>11520027</v>
      </c>
      <c r="L64" s="1314">
        <f>VLOOKUP($D64,'WP-BC'!$A$1:$N$352,8,FALSE)</f>
        <v>10468678.050000001</v>
      </c>
      <c r="M64" s="1315">
        <f t="shared" si="17"/>
        <v>1051348.9499999993</v>
      </c>
      <c r="N64" s="1314">
        <f>VLOOKUP($D64,'WP-BC'!$A$1:$N$352,10,FALSE)</f>
        <v>0</v>
      </c>
      <c r="O64" s="1314">
        <f>VLOOKUP($D64,'WP-BC'!$A$1:$N$352,11,FALSE)</f>
        <v>11520027</v>
      </c>
      <c r="P64" s="1314">
        <f>VLOOKUP($D64,'WP-BC'!$A$1:$N$352,12,FALSE)</f>
        <v>10468678.050000001</v>
      </c>
      <c r="Q64" s="1315">
        <f t="shared" si="18"/>
        <v>1051348.9499999993</v>
      </c>
      <c r="R64" s="1314">
        <f>VLOOKUP($D64,'WP-BC'!$A$1:$N$352,14,FALSE)</f>
        <v>0</v>
      </c>
      <c r="S64" s="1309">
        <v>11520027</v>
      </c>
      <c r="T64" s="1309"/>
      <c r="U64" s="1309">
        <v>5996993.0499999998</v>
      </c>
      <c r="V64" s="1309"/>
      <c r="W64" s="1309">
        <f t="shared" si="19"/>
        <v>5523033.9500000002</v>
      </c>
      <c r="X64" s="1310"/>
      <c r="Y64" s="1310"/>
    </row>
    <row r="65" spans="1:25" s="795" customFormat="1">
      <c r="A65" s="789" t="s">
        <v>148</v>
      </c>
      <c r="B65" s="790" t="s">
        <v>241</v>
      </c>
      <c r="C65" s="791" t="s">
        <v>167</v>
      </c>
      <c r="D65" s="1305" t="str">
        <f t="shared" si="1"/>
        <v>VERNON BOULEVARD  (Queens)353Station Equip - Transmission</v>
      </c>
      <c r="E65" s="1331" t="s">
        <v>1224</v>
      </c>
      <c r="F65" s="707" t="str">
        <f>CONCATENATE("WP-BC, line ",VLOOKUP(D65,'WP-BC'!$A$18:$N$341,2,FALSE))</f>
        <v>WP-BC, line 10bt</v>
      </c>
      <c r="G65" s="1395">
        <v>353</v>
      </c>
      <c r="H65" s="1647" t="s">
        <v>167</v>
      </c>
      <c r="I65" s="1394" t="s">
        <v>1852</v>
      </c>
      <c r="J65" s="789"/>
      <c r="K65" s="1314">
        <f>VLOOKUP($D65,'WP-BC'!$A$1:$N$352,7,FALSE)</f>
        <v>16526683</v>
      </c>
      <c r="L65" s="1314">
        <f>VLOOKUP($D65,'WP-BC'!$A$1:$N$352,8,FALSE)</f>
        <v>6635442.8499999996</v>
      </c>
      <c r="M65" s="1315">
        <f t="shared" si="17"/>
        <v>9891240.1500000004</v>
      </c>
      <c r="N65" s="1314">
        <f>VLOOKUP($D65,'WP-BC'!$A$1:$N$352,10,FALSE)</f>
        <v>0</v>
      </c>
      <c r="O65" s="1314">
        <f>VLOOKUP($D65,'WP-BC'!$A$1:$N$352,11,FALSE)</f>
        <v>16526683</v>
      </c>
      <c r="P65" s="1314">
        <f>VLOOKUP($D65,'WP-BC'!$A$1:$N$352,12,FALSE)</f>
        <v>6635442.8499999996</v>
      </c>
      <c r="Q65" s="1315">
        <f t="shared" si="18"/>
        <v>9891240.1500000004</v>
      </c>
      <c r="R65" s="1314">
        <f>VLOOKUP($D65,'WP-BC'!$A$1:$N$352,14,FALSE)</f>
        <v>0</v>
      </c>
      <c r="S65" s="1309">
        <v>16526683</v>
      </c>
      <c r="T65" s="1309"/>
      <c r="U65" s="1309">
        <v>6636442.8499999996</v>
      </c>
      <c r="V65" s="1309"/>
      <c r="W65" s="1309">
        <f t="shared" si="19"/>
        <v>9890240.1500000004</v>
      </c>
      <c r="X65" s="1310"/>
      <c r="Y65" s="1310"/>
    </row>
    <row r="66" spans="1:25" s="795" customFormat="1">
      <c r="A66" s="789"/>
      <c r="B66" s="790"/>
      <c r="C66" s="791"/>
      <c r="D66" s="1305"/>
      <c r="E66" s="1331" t="s">
        <v>541</v>
      </c>
      <c r="F66" s="1394"/>
      <c r="G66" s="1395"/>
      <c r="H66" s="1396"/>
      <c r="I66" s="1394"/>
      <c r="J66" s="789"/>
      <c r="K66" s="1316" t="s">
        <v>1166</v>
      </c>
      <c r="L66" s="1316" t="s">
        <v>1166</v>
      </c>
      <c r="M66" s="1316" t="s">
        <v>1166</v>
      </c>
      <c r="N66" s="1316" t="s">
        <v>1166</v>
      </c>
      <c r="O66" s="1316" t="s">
        <v>1166</v>
      </c>
      <c r="P66" s="1316" t="s">
        <v>1166</v>
      </c>
      <c r="Q66" s="1316" t="s">
        <v>1166</v>
      </c>
      <c r="R66" s="1316" t="s">
        <v>1166</v>
      </c>
      <c r="S66" s="1309"/>
      <c r="T66" s="1309"/>
      <c r="U66" s="1309"/>
      <c r="V66" s="1309"/>
      <c r="W66" s="1309"/>
      <c r="X66" s="1310"/>
      <c r="Y66" s="1310"/>
    </row>
    <row r="67" spans="1:25" s="795" customFormat="1">
      <c r="A67" s="789"/>
      <c r="B67" s="790"/>
      <c r="C67" s="791"/>
      <c r="D67" s="1305"/>
      <c r="E67" s="1331"/>
      <c r="F67" s="1331"/>
      <c r="G67" s="792"/>
      <c r="H67" s="789"/>
      <c r="I67" s="789"/>
      <c r="J67" s="789"/>
      <c r="K67" s="1314"/>
      <c r="L67" s="1314"/>
      <c r="M67" s="1315"/>
      <c r="N67" s="1314"/>
      <c r="O67" s="1314"/>
      <c r="P67" s="1314"/>
      <c r="Q67" s="1315"/>
      <c r="R67" s="1314"/>
      <c r="S67" s="1309"/>
      <c r="T67" s="1309"/>
      <c r="U67" s="1309"/>
      <c r="V67" s="1309"/>
      <c r="W67" s="1309"/>
      <c r="X67" s="1310"/>
      <c r="Y67" s="1310"/>
    </row>
    <row r="68" spans="1:25" s="795" customFormat="1">
      <c r="A68" s="789"/>
      <c r="B68" s="790"/>
      <c r="C68" s="791"/>
      <c r="D68" s="1305" t="str">
        <f t="shared" si="1"/>
        <v>SUBTOTAL SCPP</v>
      </c>
      <c r="E68" s="1335">
        <v>11</v>
      </c>
      <c r="F68" s="1335"/>
      <c r="G68" s="799" t="s">
        <v>239</v>
      </c>
      <c r="H68" s="789"/>
      <c r="I68" s="789"/>
      <c r="J68" s="789"/>
      <c r="K68" s="1312">
        <f>SUM(K59:K66)</f>
        <v>124153064.97</v>
      </c>
      <c r="L68" s="1312">
        <f t="shared" ref="L68:R68" si="20">SUM(L59:L66)</f>
        <v>96912551.549999997</v>
      </c>
      <c r="M68" s="1312">
        <f t="shared" si="20"/>
        <v>27240513.420000002</v>
      </c>
      <c r="N68" s="1312">
        <f t="shared" si="20"/>
        <v>1192702.69</v>
      </c>
      <c r="O68" s="1312">
        <f t="shared" si="20"/>
        <v>123423268.28</v>
      </c>
      <c r="P68" s="1312">
        <f t="shared" si="20"/>
        <v>95719848.859999985</v>
      </c>
      <c r="Q68" s="1312">
        <f t="shared" si="20"/>
        <v>27703419.420000002</v>
      </c>
      <c r="R68" s="1312">
        <f t="shared" si="20"/>
        <v>1869496.8599999999</v>
      </c>
      <c r="S68" s="1307">
        <f t="shared" ref="S68" si="21">SUM(S59:S65)</f>
        <v>107949098.28</v>
      </c>
      <c r="T68" s="1309"/>
      <c r="U68" s="1307">
        <f>SUM(U59:U65)</f>
        <v>57521144.859999999</v>
      </c>
      <c r="V68" s="1309"/>
      <c r="W68" s="1307">
        <f>SUM(W59:W65)</f>
        <v>50427953.420000002</v>
      </c>
      <c r="X68" s="1310"/>
      <c r="Y68" s="1310"/>
    </row>
    <row r="69" spans="1:25" s="795" customFormat="1">
      <c r="A69" s="789"/>
      <c r="B69" s="790"/>
      <c r="C69" s="791"/>
      <c r="D69" s="1305"/>
      <c r="E69" s="1331"/>
      <c r="F69" s="1331"/>
      <c r="G69" s="799"/>
      <c r="H69" s="789"/>
      <c r="I69" s="789"/>
      <c r="J69" s="789"/>
      <c r="K69" s="1312"/>
      <c r="L69" s="1312"/>
      <c r="M69" s="1312"/>
      <c r="N69" s="1312"/>
      <c r="O69" s="1312"/>
      <c r="P69" s="1312"/>
      <c r="Q69" s="1312"/>
      <c r="R69" s="1312"/>
      <c r="S69" s="1307"/>
      <c r="T69" s="1309"/>
      <c r="U69" s="1307"/>
      <c r="V69" s="1309"/>
      <c r="W69" s="1307"/>
      <c r="X69" s="1310"/>
      <c r="Y69" s="1310"/>
    </row>
    <row r="70" spans="1:25" s="795" customFormat="1" ht="22.5" customHeight="1">
      <c r="A70" s="789"/>
      <c r="B70" s="790"/>
      <c r="C70" s="791"/>
      <c r="D70" s="1305" t="str">
        <f t="shared" ref="D70:D71" si="22">CONCATENATE(H70,G70,I70)</f>
        <v/>
      </c>
      <c r="E70" s="1335">
        <v>12</v>
      </c>
      <c r="F70" s="1331"/>
      <c r="G70" s="792"/>
      <c r="H70" s="789"/>
      <c r="I70" s="789"/>
      <c r="J70" s="789"/>
      <c r="K70" s="1314"/>
      <c r="L70" s="1314"/>
      <c r="M70" s="1315"/>
      <c r="N70" s="1314"/>
      <c r="O70" s="1314"/>
      <c r="P70" s="1314"/>
      <c r="Q70" s="1315"/>
      <c r="R70" s="1314"/>
      <c r="S70" s="1309"/>
      <c r="T70" s="1309"/>
      <c r="U70" s="1309"/>
      <c r="V70" s="1309"/>
      <c r="W70" s="1309"/>
      <c r="X70" s="1310"/>
      <c r="Y70" s="1310"/>
    </row>
    <row r="71" spans="1:25" s="795" customFormat="1">
      <c r="A71" s="789" t="s">
        <v>148</v>
      </c>
      <c r="B71" s="790" t="s">
        <v>241</v>
      </c>
      <c r="C71" s="791" t="s">
        <v>159</v>
      </c>
      <c r="D71" s="1305" t="str">
        <f t="shared" si="22"/>
        <v/>
      </c>
      <c r="E71" s="313" t="s">
        <v>541</v>
      </c>
      <c r="F71" s="1394"/>
      <c r="G71" s="1395"/>
      <c r="H71" s="1396"/>
      <c r="I71" s="1394"/>
      <c r="J71" s="789"/>
      <c r="K71" s="1459" t="s">
        <v>1166</v>
      </c>
      <c r="L71" s="1457" t="s">
        <v>1166</v>
      </c>
      <c r="M71" s="1457" t="s">
        <v>1166</v>
      </c>
      <c r="N71" s="1457" t="s">
        <v>1166</v>
      </c>
      <c r="O71" s="1457" t="s">
        <v>1166</v>
      </c>
      <c r="P71" s="1457" t="s">
        <v>1166</v>
      </c>
      <c r="Q71" s="1457" t="s">
        <v>1166</v>
      </c>
      <c r="R71" s="1457" t="s">
        <v>1166</v>
      </c>
      <c r="S71" s="1309">
        <v>6324138</v>
      </c>
      <c r="T71" s="1309"/>
      <c r="U71" s="1309">
        <v>3895543.23</v>
      </c>
      <c r="V71" s="1309"/>
      <c r="W71" s="1309">
        <f t="shared" ref="W71" si="23">+S71-U71</f>
        <v>2428594.77</v>
      </c>
      <c r="X71" s="1310"/>
      <c r="Y71" s="1310"/>
    </row>
    <row r="72" spans="1:25" s="795" customFormat="1">
      <c r="A72" s="789"/>
      <c r="B72" s="790"/>
      <c r="C72" s="791"/>
      <c r="D72" s="1305"/>
      <c r="E72" s="313"/>
      <c r="F72" s="1331"/>
      <c r="G72" s="799"/>
      <c r="H72" s="789"/>
      <c r="I72" s="789"/>
      <c r="J72" s="789"/>
      <c r="K72" s="1462"/>
      <c r="L72" s="1461"/>
      <c r="M72" s="1461"/>
      <c r="N72" s="1461"/>
      <c r="O72" s="1461"/>
      <c r="P72" s="1461"/>
      <c r="Q72" s="1461"/>
      <c r="R72" s="1461"/>
      <c r="S72" s="1309"/>
      <c r="T72" s="1309"/>
      <c r="U72" s="1309"/>
      <c r="V72" s="1309"/>
      <c r="W72" s="1309"/>
      <c r="X72" s="1310"/>
      <c r="Y72" s="1310"/>
    </row>
    <row r="73" spans="1:25" s="795" customFormat="1">
      <c r="A73" s="789"/>
      <c r="B73" s="790"/>
      <c r="C73" s="791"/>
      <c r="D73" s="1305"/>
      <c r="E73" s="1331"/>
      <c r="F73" s="1331"/>
      <c r="G73" s="799"/>
      <c r="H73" s="789"/>
      <c r="I73" s="789"/>
      <c r="J73" s="789"/>
      <c r="K73" s="1460">
        <f>SUM(K71)</f>
        <v>0</v>
      </c>
      <c r="L73" s="1458">
        <f t="shared" ref="L73:R73" si="24">SUM(L71)</f>
        <v>0</v>
      </c>
      <c r="M73" s="1458">
        <f t="shared" si="24"/>
        <v>0</v>
      </c>
      <c r="N73" s="1458">
        <f t="shared" si="24"/>
        <v>0</v>
      </c>
      <c r="O73" s="1458">
        <f t="shared" si="24"/>
        <v>0</v>
      </c>
      <c r="P73" s="1458">
        <f t="shared" si="24"/>
        <v>0</v>
      </c>
      <c r="Q73" s="1458">
        <f t="shared" si="24"/>
        <v>0</v>
      </c>
      <c r="R73" s="1458">
        <f t="shared" si="24"/>
        <v>0</v>
      </c>
      <c r="S73" s="1307"/>
      <c r="T73" s="1309"/>
      <c r="U73" s="1307"/>
      <c r="V73" s="1309"/>
      <c r="W73" s="1307"/>
      <c r="X73" s="1310"/>
      <c r="Y73" s="1310"/>
    </row>
    <row r="74" spans="1:25" s="795" customFormat="1">
      <c r="A74" s="789"/>
      <c r="B74" s="790"/>
      <c r="C74" s="791"/>
      <c r="D74" s="1305"/>
      <c r="E74" s="1331"/>
      <c r="F74" s="1331"/>
      <c r="G74" s="799"/>
      <c r="H74" s="789"/>
      <c r="I74" s="789"/>
      <c r="J74" s="789"/>
      <c r="K74" s="1312"/>
      <c r="L74" s="1312"/>
      <c r="M74" s="1312"/>
      <c r="N74" s="1312"/>
      <c r="O74" s="1312"/>
      <c r="P74" s="1312"/>
      <c r="Q74" s="1312"/>
      <c r="R74" s="1312"/>
      <c r="S74" s="1307"/>
      <c r="T74" s="1309"/>
      <c r="U74" s="1307"/>
      <c r="V74" s="1309"/>
      <c r="W74" s="1307"/>
      <c r="X74" s="1310"/>
      <c r="Y74" s="1310"/>
    </row>
    <row r="75" spans="1:25" s="795" customFormat="1" ht="18">
      <c r="A75" s="789"/>
      <c r="B75" s="790"/>
      <c r="C75" s="791"/>
      <c r="D75" s="1305" t="str">
        <f t="shared" si="1"/>
        <v>TOTAL EXCLUDED TRANSMISSION</v>
      </c>
      <c r="E75" s="1335">
        <v>13</v>
      </c>
      <c r="F75" s="1335"/>
      <c r="G75" s="801" t="s">
        <v>242</v>
      </c>
      <c r="H75" s="789"/>
      <c r="I75" s="789"/>
      <c r="J75" s="789"/>
      <c r="K75" s="1312">
        <f>K23+K43+K48+K57+K68+K36+K73</f>
        <v>359444662.49000001</v>
      </c>
      <c r="L75" s="1312">
        <f t="shared" ref="L75:R75" si="25">L23+L43+L48+L57+L68+L36+L73</f>
        <v>217302839.87</v>
      </c>
      <c r="M75" s="1312">
        <f t="shared" si="25"/>
        <v>142141822.62</v>
      </c>
      <c r="N75" s="1312">
        <f>N23+N43+N48+N57+N68+N36+N73</f>
        <v>9054224.6899999995</v>
      </c>
      <c r="O75" s="1312">
        <f t="shared" si="25"/>
        <v>358714865.79999995</v>
      </c>
      <c r="P75" s="1312">
        <f t="shared" si="25"/>
        <v>208248615.17999998</v>
      </c>
      <c r="Q75" s="1312">
        <f t="shared" si="25"/>
        <v>150466250.62</v>
      </c>
      <c r="R75" s="1312">
        <f t="shared" si="25"/>
        <v>10137264.870000001</v>
      </c>
      <c r="S75" s="1307">
        <f>S20+S43+S45+S57+S68</f>
        <v>240304625.04000002</v>
      </c>
      <c r="T75" s="1309"/>
      <c r="U75" s="1307">
        <f>U20+U43+U45+U57+U68</f>
        <v>114494058.12</v>
      </c>
      <c r="V75" s="1309"/>
      <c r="W75" s="1307">
        <f>W20+W43+W45+W57+W68</f>
        <v>125810566.92</v>
      </c>
      <c r="X75" s="1310"/>
      <c r="Y75" s="1310"/>
    </row>
    <row r="76" spans="1:25" s="795" customFormat="1">
      <c r="A76" s="789"/>
      <c r="B76" s="790"/>
      <c r="C76" s="791"/>
      <c r="D76" s="1305" t="str">
        <f t="shared" si="1"/>
        <v/>
      </c>
      <c r="E76" s="1331"/>
      <c r="F76" s="1331"/>
      <c r="G76" s="799"/>
      <c r="H76" s="789"/>
      <c r="I76" s="789"/>
      <c r="J76" s="789"/>
      <c r="K76" s="1314"/>
      <c r="L76" s="1314"/>
      <c r="M76" s="1315"/>
      <c r="N76" s="1314"/>
      <c r="O76" s="1314"/>
      <c r="P76" s="1314"/>
      <c r="Q76" s="1315"/>
      <c r="R76" s="1314"/>
      <c r="S76" s="803"/>
      <c r="T76" s="794"/>
      <c r="U76" s="803"/>
      <c r="V76" s="794"/>
      <c r="W76" s="803"/>
    </row>
    <row r="77" spans="1:25" s="795" customFormat="1" ht="18">
      <c r="A77" s="789"/>
      <c r="B77" s="790"/>
      <c r="C77" s="798"/>
      <c r="D77" s="1305" t="str">
        <f t="shared" si="1"/>
        <v>EXCLUDED GENERAL</v>
      </c>
      <c r="E77" s="1335">
        <v>14</v>
      </c>
      <c r="F77" s="1331"/>
      <c r="G77" s="804" t="s">
        <v>243</v>
      </c>
      <c r="H77" s="789"/>
      <c r="I77" s="789"/>
      <c r="J77" s="789"/>
      <c r="K77" s="1314"/>
      <c r="L77" s="1314"/>
      <c r="M77" s="1315"/>
      <c r="N77" s="1314"/>
      <c r="O77" s="1314"/>
      <c r="P77" s="1314"/>
      <c r="Q77" s="1315"/>
      <c r="R77" s="1314"/>
      <c r="S77" s="793"/>
      <c r="T77" s="794"/>
      <c r="U77" s="793"/>
      <c r="V77" s="794"/>
      <c r="W77" s="793"/>
    </row>
    <row r="78" spans="1:25" s="795" customFormat="1">
      <c r="A78" s="789" t="s">
        <v>148</v>
      </c>
      <c r="B78" s="790" t="s">
        <v>244</v>
      </c>
      <c r="C78" s="791" t="s">
        <v>153</v>
      </c>
      <c r="D78" s="1305" t="str">
        <f t="shared" si="1"/>
        <v>500mW C - C at Astoria391Office Furniture &amp; Equipment</v>
      </c>
      <c r="E78" s="1331" t="s">
        <v>1648</v>
      </c>
      <c r="F78" s="707" t="str">
        <f>CONCATENATE("WP-BC, line ",VLOOKUP(D78,'WP-BC'!$A$18:$N$341,2,FALSE))</f>
        <v>WP-BC, line 12bm</v>
      </c>
      <c r="G78" s="1395">
        <v>391</v>
      </c>
      <c r="H78" s="1647" t="s">
        <v>153</v>
      </c>
      <c r="I78" s="1394" t="s">
        <v>76</v>
      </c>
      <c r="J78" s="789"/>
      <c r="K78" s="1314">
        <f>VLOOKUP($D78,'WP-BC'!$A$1:$N$352,7,FALSE)</f>
        <v>155636.76999999996</v>
      </c>
      <c r="L78" s="1314">
        <f>VLOOKUP($D78,'WP-BC'!$A$1:$N$352,8,FALSE)</f>
        <v>88260.77</v>
      </c>
      <c r="M78" s="1315">
        <f t="shared" ref="M78:M84" si="26">+K78-L78</f>
        <v>67375.999999999956</v>
      </c>
      <c r="N78" s="1314">
        <f>VLOOKUP($D78,'WP-BC'!$A$1:$N$352,10,FALSE)</f>
        <v>22820.080000000002</v>
      </c>
      <c r="O78" s="1314">
        <f>VLOOKUP($D78,'WP-BC'!$A$1:$N$352,11,FALSE)</f>
        <v>155629.68999999997</v>
      </c>
      <c r="P78" s="1314">
        <f>VLOOKUP($D78,'WP-BC'!$A$1:$N$352,12,FALSE)</f>
        <v>65440.69</v>
      </c>
      <c r="Q78" s="1315">
        <f t="shared" ref="Q78:Q84" si="27">+O78-P78</f>
        <v>90188.999999999971</v>
      </c>
      <c r="R78" s="1314">
        <f>VLOOKUP($D78,'WP-BC'!$A$1:$N$352,14,FALSE)</f>
        <v>22866.52</v>
      </c>
      <c r="S78" s="793">
        <v>14194</v>
      </c>
      <c r="T78" s="794"/>
      <c r="U78" s="793">
        <v>4852</v>
      </c>
      <c r="V78" s="794"/>
      <c r="W78" s="793">
        <f t="shared" ref="W78:W84" si="28">+S78-U78</f>
        <v>9342</v>
      </c>
    </row>
    <row r="79" spans="1:25" s="795" customFormat="1">
      <c r="A79" s="789" t="s">
        <v>148</v>
      </c>
      <c r="B79" s="790" t="s">
        <v>244</v>
      </c>
      <c r="C79" s="791" t="s">
        <v>153</v>
      </c>
      <c r="D79" s="1305" t="str">
        <f t="shared" ref="D79" si="29">CONCATENATE(H79,G79,I79)</f>
        <v>500mW C - C at Astoria391.2Computer Equipment 5 yr</v>
      </c>
      <c r="E79" s="1331" t="s">
        <v>1649</v>
      </c>
      <c r="F79" s="707" t="str">
        <f>CONCATENATE("WP-BC, line ",VLOOKUP(D79,'WP-BC'!$A$18:$N$352,2,FALSE))</f>
        <v>WP-BC, line 12bn</v>
      </c>
      <c r="G79" s="1775">
        <v>391.2</v>
      </c>
      <c r="H79" s="1647" t="s">
        <v>153</v>
      </c>
      <c r="I79" s="1642" t="s">
        <v>1827</v>
      </c>
      <c r="J79" s="789"/>
      <c r="K79" s="1314">
        <f>VLOOKUP($D79,'WP-BC'!$A$1:$N$352,7,FALSE)</f>
        <v>33516.410000000003</v>
      </c>
      <c r="L79" s="1314">
        <f>VLOOKUP($D79,'WP-BC'!$A$1:$N$352,8,FALSE)</f>
        <v>9501.9</v>
      </c>
      <c r="M79" s="1315">
        <f t="shared" ref="M79:M80" si="30">+K79-L79</f>
        <v>24014.510000000002</v>
      </c>
      <c r="N79" s="1314">
        <f>VLOOKUP($D79,'WP-BC'!$A$1:$N$352,10,FALSE)</f>
        <v>6705</v>
      </c>
      <c r="O79" s="1314">
        <f>VLOOKUP($D79,'WP-BC'!$A$1:$N$352,11,FALSE)</f>
        <v>33516.9</v>
      </c>
      <c r="P79" s="1314">
        <f>VLOOKUP($D79,'WP-BC'!$A$1:$N$352,12,FALSE)</f>
        <v>2796.9</v>
      </c>
      <c r="Q79" s="1315">
        <f t="shared" ref="Q79:Q80" si="31">+O79-P79</f>
        <v>30720</v>
      </c>
      <c r="R79" s="1314">
        <f>VLOOKUP($D79,'WP-BC'!$A$1:$N$352,14,FALSE)</f>
        <v>2796.9</v>
      </c>
      <c r="S79" s="793"/>
      <c r="T79" s="794"/>
      <c r="U79" s="793"/>
      <c r="V79" s="794"/>
      <c r="W79" s="793"/>
    </row>
    <row r="80" spans="1:25" s="795" customFormat="1">
      <c r="A80" s="789" t="s">
        <v>148</v>
      </c>
      <c r="B80" s="790" t="s">
        <v>244</v>
      </c>
      <c r="C80" s="791" t="s">
        <v>153</v>
      </c>
      <c r="D80" s="1305" t="str">
        <f t="shared" si="1"/>
        <v>500mW C - C at Astoria392Transprt.Equip-500MW</v>
      </c>
      <c r="E80" s="1331" t="s">
        <v>1650</v>
      </c>
      <c r="F80" s="707" t="str">
        <f>CONCATENATE("WP-BC, line ",VLOOKUP(D80,'WP-BC'!$A$18:$N$341,2,FALSE))</f>
        <v>WP-BC, line 12bo</v>
      </c>
      <c r="G80" s="1395">
        <v>392</v>
      </c>
      <c r="H80" s="1647" t="s">
        <v>153</v>
      </c>
      <c r="I80" s="1394" t="s">
        <v>1956</v>
      </c>
      <c r="J80" s="789"/>
      <c r="K80" s="1314">
        <f>VLOOKUP($D80,'WP-BC'!$A$1:$N$352,7,FALSE)</f>
        <v>576980.54</v>
      </c>
      <c r="L80" s="1314">
        <f>VLOOKUP($D80,'WP-BC'!$A$1:$N$352,8,FALSE)</f>
        <v>456078.54000000004</v>
      </c>
      <c r="M80" s="1315">
        <f t="shared" si="30"/>
        <v>120902</v>
      </c>
      <c r="N80" s="1314">
        <f>VLOOKUP($D80,'WP-BC'!$A$1:$N$352,10,FALSE)</f>
        <v>42212.2</v>
      </c>
      <c r="O80" s="1314">
        <f>VLOOKUP($D80,'WP-BC'!$A$1:$N$352,11,FALSE)</f>
        <v>492538.34</v>
      </c>
      <c r="P80" s="1314">
        <f>VLOOKUP($D80,'WP-BC'!$A$1:$N$352,12,FALSE)</f>
        <v>413866.34</v>
      </c>
      <c r="Q80" s="1315">
        <f t="shared" si="31"/>
        <v>78672</v>
      </c>
      <c r="R80" s="1314">
        <f>VLOOKUP($D80,'WP-BC'!$A$1:$N$352,14,FALSE)</f>
        <v>67708</v>
      </c>
      <c r="S80" s="793"/>
      <c r="T80" s="794"/>
      <c r="U80" s="793"/>
      <c r="V80" s="794"/>
      <c r="W80" s="793">
        <f t="shared" si="28"/>
        <v>0</v>
      </c>
    </row>
    <row r="81" spans="1:23" s="795" customFormat="1">
      <c r="A81" s="789" t="s">
        <v>148</v>
      </c>
      <c r="B81" s="790" t="s">
        <v>244</v>
      </c>
      <c r="C81" s="791" t="s">
        <v>153</v>
      </c>
      <c r="D81" s="1305" t="str">
        <f t="shared" si="1"/>
        <v>500mW C - C at Astoria394Tools, Shop &amp; Garage Equipment</v>
      </c>
      <c r="E81" s="1331" t="s">
        <v>1651</v>
      </c>
      <c r="F81" s="707" t="str">
        <f>CONCATENATE("WP-BC, line ",VLOOKUP(D81,'WP-BC'!$A$18:$N$341,2,FALSE))</f>
        <v>WP-BC, line 12bp</v>
      </c>
      <c r="G81" s="1395">
        <v>394</v>
      </c>
      <c r="H81" s="1647" t="s">
        <v>153</v>
      </c>
      <c r="I81" s="1394" t="s">
        <v>79</v>
      </c>
      <c r="J81" s="789"/>
      <c r="K81" s="1314">
        <f>VLOOKUP($D81,'WP-BC'!$A$1:$N$352,7,FALSE)</f>
        <v>68609.17</v>
      </c>
      <c r="L81" s="1314">
        <f>VLOOKUP($D81,'WP-BC'!$A$1:$N$352,8,FALSE)</f>
        <v>59199.17</v>
      </c>
      <c r="M81" s="1315">
        <f t="shared" si="26"/>
        <v>9410</v>
      </c>
      <c r="N81" s="1314">
        <f>VLOOKUP($D81,'WP-BC'!$A$1:$N$352,10,FALSE)</f>
        <v>6420</v>
      </c>
      <c r="O81" s="1314">
        <f>VLOOKUP($D81,'WP-BC'!$A$1:$N$352,11,FALSE)</f>
        <v>68609.17</v>
      </c>
      <c r="P81" s="1314">
        <f>VLOOKUP($D81,'WP-BC'!$A$1:$N$352,12,FALSE)</f>
        <v>52779.17</v>
      </c>
      <c r="Q81" s="1315">
        <f t="shared" si="27"/>
        <v>15830</v>
      </c>
      <c r="R81" s="1314">
        <f>VLOOKUP($D81,'WP-BC'!$A$1:$N$352,14,FALSE)</f>
        <v>6501</v>
      </c>
      <c r="S81" s="793">
        <v>12132.13</v>
      </c>
      <c r="T81" s="794"/>
      <c r="U81" s="793">
        <v>1709.13</v>
      </c>
      <c r="V81" s="794"/>
      <c r="W81" s="793">
        <f t="shared" si="28"/>
        <v>10423</v>
      </c>
    </row>
    <row r="82" spans="1:23" s="800" customFormat="1">
      <c r="A82" s="789" t="s">
        <v>148</v>
      </c>
      <c r="B82" s="790" t="s">
        <v>244</v>
      </c>
      <c r="C82" s="791" t="s">
        <v>153</v>
      </c>
      <c r="D82" s="1305" t="str">
        <f t="shared" si="1"/>
        <v>500mW C - C at Astoria395Laboratory Equipment</v>
      </c>
      <c r="E82" s="1331" t="s">
        <v>1652</v>
      </c>
      <c r="F82" s="707" t="str">
        <f>CONCATENATE("WP-BC, line ",VLOOKUP(D82,'WP-BC'!$A$18:$N$341,2,FALSE))</f>
        <v>WP-BC, line 12bq</v>
      </c>
      <c r="G82" s="1395">
        <v>395</v>
      </c>
      <c r="H82" s="1647" t="s">
        <v>153</v>
      </c>
      <c r="I82" s="1394" t="s">
        <v>80</v>
      </c>
      <c r="J82" s="789"/>
      <c r="K82" s="1314">
        <f>VLOOKUP($D82,'WP-BC'!$A$1:$N$352,7,FALSE)</f>
        <v>2143542.84</v>
      </c>
      <c r="L82" s="1314">
        <f>VLOOKUP($D82,'WP-BC'!$A$1:$N$352,8,FALSE)</f>
        <v>538981.84</v>
      </c>
      <c r="M82" s="1315">
        <f t="shared" si="26"/>
        <v>1604561</v>
      </c>
      <c r="N82" s="1314">
        <f>VLOOKUP($D82,'WP-BC'!$A$1:$N$352,10,FALSE)</f>
        <v>210772</v>
      </c>
      <c r="O82" s="1314">
        <f>VLOOKUP($D82,'WP-BC'!$A$1:$N$352,11,FALSE)</f>
        <v>2143542.84</v>
      </c>
      <c r="P82" s="1314">
        <f>VLOOKUP($D82,'WP-BC'!$A$1:$N$352,12,FALSE)</f>
        <v>328209.83999999997</v>
      </c>
      <c r="Q82" s="1315">
        <f t="shared" si="27"/>
        <v>1815333</v>
      </c>
      <c r="R82" s="1314">
        <f>VLOOKUP($D82,'WP-BC'!$A$1:$N$352,14,FALSE)</f>
        <v>211041</v>
      </c>
      <c r="S82" s="793">
        <v>30426.84</v>
      </c>
      <c r="T82" s="794"/>
      <c r="U82" s="793">
        <v>3299.84</v>
      </c>
      <c r="V82" s="794"/>
      <c r="W82" s="793">
        <f t="shared" si="28"/>
        <v>27127</v>
      </c>
    </row>
    <row r="83" spans="1:23" s="795" customFormat="1">
      <c r="A83" s="789" t="s">
        <v>148</v>
      </c>
      <c r="B83" s="790" t="s">
        <v>244</v>
      </c>
      <c r="C83" s="791" t="s">
        <v>153</v>
      </c>
      <c r="D83" s="1305" t="str">
        <f t="shared" si="1"/>
        <v>500mW C - C at Astoria396Power Oper Eqp-500MW</v>
      </c>
      <c r="E83" s="1331" t="s">
        <v>1653</v>
      </c>
      <c r="F83" s="707" t="str">
        <f>CONCATENATE("WP-BC, line ",VLOOKUP(D83,'WP-BC'!$A$18:$N$341,2,FALSE))</f>
        <v>WP-BC, line 12br</v>
      </c>
      <c r="G83" s="1395">
        <v>396</v>
      </c>
      <c r="H83" s="1647" t="s">
        <v>153</v>
      </c>
      <c r="I83" s="1394" t="s">
        <v>1957</v>
      </c>
      <c r="J83" s="789"/>
      <c r="K83" s="1314">
        <f>VLOOKUP($D83,'WP-BC'!$A$1:$N$352,7,FALSE)</f>
        <v>659847.66999999993</v>
      </c>
      <c r="L83" s="1314">
        <f>VLOOKUP($D83,'WP-BC'!$A$1:$N$352,8,FALSE)</f>
        <v>400548.66</v>
      </c>
      <c r="M83" s="1315">
        <f t="shared" si="26"/>
        <v>259299.00999999995</v>
      </c>
      <c r="N83" s="1314">
        <f>VLOOKUP($D83,'WP-BC'!$A$1:$N$352,10,FALSE)</f>
        <v>64578</v>
      </c>
      <c r="O83" s="1314">
        <f>VLOOKUP($D83,'WP-BC'!$A$1:$N$352,11,FALSE)</f>
        <v>620264.66999999993</v>
      </c>
      <c r="P83" s="1314">
        <f>VLOOKUP($D83,'WP-BC'!$A$1:$N$352,12,FALSE)</f>
        <v>335970.66</v>
      </c>
      <c r="Q83" s="1315">
        <f t="shared" si="27"/>
        <v>284294.00999999995</v>
      </c>
      <c r="R83" s="1314">
        <f>VLOOKUP($D83,'WP-BC'!$A$1:$N$352,14,FALSE)</f>
        <v>59464</v>
      </c>
      <c r="S83" s="793">
        <v>94875</v>
      </c>
      <c r="T83" s="794"/>
      <c r="U83" s="793">
        <v>5953</v>
      </c>
      <c r="V83" s="794"/>
      <c r="W83" s="793">
        <f t="shared" si="28"/>
        <v>88922</v>
      </c>
    </row>
    <row r="84" spans="1:23" s="795" customFormat="1">
      <c r="A84" s="789" t="s">
        <v>148</v>
      </c>
      <c r="B84" s="790" t="s">
        <v>244</v>
      </c>
      <c r="C84" s="791" t="s">
        <v>153</v>
      </c>
      <c r="D84" s="1305" t="str">
        <f t="shared" si="1"/>
        <v>500mW C - C at Astoria398Miscellaneous Equipment</v>
      </c>
      <c r="E84" s="795" t="s">
        <v>2054</v>
      </c>
      <c r="F84" s="707" t="str">
        <f>CONCATENATE("WP-BC, line ",VLOOKUP(D84,'WP-BC'!$A$18:$N$341,2,FALSE))</f>
        <v>WP-BC, line 12bs</v>
      </c>
      <c r="G84" s="1395">
        <v>398</v>
      </c>
      <c r="H84" s="1647" t="s">
        <v>153</v>
      </c>
      <c r="I84" s="1394" t="s">
        <v>83</v>
      </c>
      <c r="J84" s="789"/>
      <c r="K84" s="1314">
        <f>VLOOKUP($D84,'WP-BC'!$A$1:$N$352,7,FALSE)</f>
        <v>686813.8</v>
      </c>
      <c r="L84" s="1314">
        <f>VLOOKUP($D84,'WP-BC'!$A$1:$N$352,8,FALSE)</f>
        <v>627267.29</v>
      </c>
      <c r="M84" s="1315">
        <f t="shared" si="26"/>
        <v>59546.510000000009</v>
      </c>
      <c r="N84" s="1314">
        <f>VLOOKUP($D84,'WP-BC'!$A$1:$N$352,10,FALSE)</f>
        <v>104524</v>
      </c>
      <c r="O84" s="1314">
        <f>VLOOKUP($D84,'WP-BC'!$A$1:$N$352,11,FALSE)</f>
        <v>686813.8</v>
      </c>
      <c r="P84" s="1314">
        <f>VLOOKUP($D84,'WP-BC'!$A$1:$N$352,12,FALSE)</f>
        <v>522743.29000000004</v>
      </c>
      <c r="Q84" s="1315">
        <f t="shared" si="27"/>
        <v>164070.51</v>
      </c>
      <c r="R84" s="1314">
        <f>VLOOKUP($D84,'WP-BC'!$A$1:$N$352,14,FALSE)</f>
        <v>122860</v>
      </c>
      <c r="S84" s="796">
        <v>47455.29</v>
      </c>
      <c r="T84" s="797"/>
      <c r="U84" s="796">
        <v>6170.78</v>
      </c>
      <c r="V84" s="797"/>
      <c r="W84" s="796">
        <f t="shared" si="28"/>
        <v>41284.51</v>
      </c>
    </row>
    <row r="85" spans="1:23" s="795" customFormat="1">
      <c r="A85" s="789"/>
      <c r="B85" s="790"/>
      <c r="C85" s="791"/>
      <c r="D85" s="1305"/>
      <c r="E85" s="1331" t="s">
        <v>541</v>
      </c>
      <c r="F85" s="1394"/>
      <c r="G85" s="1395"/>
      <c r="H85" s="1396"/>
      <c r="I85" s="1394"/>
      <c r="J85" s="789"/>
      <c r="K85" s="1316" t="s">
        <v>1166</v>
      </c>
      <c r="L85" s="1316" t="s">
        <v>1166</v>
      </c>
      <c r="M85" s="1316" t="s">
        <v>1166</v>
      </c>
      <c r="N85" s="1316" t="s">
        <v>1166</v>
      </c>
      <c r="O85" s="1316" t="s">
        <v>1166</v>
      </c>
      <c r="P85" s="1316" t="s">
        <v>1166</v>
      </c>
      <c r="Q85" s="1316" t="s">
        <v>1166</v>
      </c>
      <c r="R85" s="1316" t="s">
        <v>1166</v>
      </c>
      <c r="S85" s="793"/>
      <c r="T85" s="794"/>
      <c r="U85" s="793"/>
      <c r="V85" s="794"/>
      <c r="W85" s="793"/>
    </row>
    <row r="86" spans="1:23" s="795" customFormat="1">
      <c r="A86" s="789"/>
      <c r="B86" s="790"/>
      <c r="C86" s="791"/>
      <c r="D86" s="1305"/>
      <c r="E86" s="1331"/>
      <c r="F86" s="1331"/>
      <c r="G86" s="792"/>
      <c r="H86" s="789"/>
      <c r="I86" s="789"/>
      <c r="J86" s="789"/>
      <c r="K86" s="1314"/>
      <c r="L86" s="1314"/>
      <c r="M86" s="1314"/>
      <c r="N86" s="1314"/>
      <c r="O86" s="1314"/>
      <c r="P86" s="1314"/>
      <c r="Q86" s="1314"/>
      <c r="R86" s="1314"/>
      <c r="S86" s="793"/>
      <c r="T86" s="794"/>
      <c r="U86" s="793"/>
      <c r="V86" s="794"/>
      <c r="W86" s="793"/>
    </row>
    <row r="87" spans="1:23" s="795" customFormat="1">
      <c r="A87" s="789"/>
      <c r="B87" s="789"/>
      <c r="C87" s="798"/>
      <c r="D87" s="1305" t="str">
        <f t="shared" si="1"/>
        <v>SUBTOTAL 500Mw CC</v>
      </c>
      <c r="E87" s="1335">
        <v>15</v>
      </c>
      <c r="F87" s="1335"/>
      <c r="G87" s="799" t="s">
        <v>235</v>
      </c>
      <c r="H87" s="789"/>
      <c r="I87" s="789"/>
      <c r="J87" s="789"/>
      <c r="K87" s="1313">
        <f t="shared" ref="K87:R87" si="32">SUM(K78:K85)</f>
        <v>4324947.2</v>
      </c>
      <c r="L87" s="1313">
        <f t="shared" si="32"/>
        <v>2179838.17</v>
      </c>
      <c r="M87" s="1313">
        <f t="shared" si="32"/>
        <v>2145109.0300000003</v>
      </c>
      <c r="N87" s="1313">
        <f t="shared" si="32"/>
        <v>458031.28</v>
      </c>
      <c r="O87" s="1313">
        <f t="shared" si="32"/>
        <v>4200915.41</v>
      </c>
      <c r="P87" s="1313">
        <f t="shared" si="32"/>
        <v>1721806.8900000001</v>
      </c>
      <c r="Q87" s="1313">
        <f t="shared" si="32"/>
        <v>2479108.5199999996</v>
      </c>
      <c r="R87" s="1313">
        <f t="shared" si="32"/>
        <v>493237.42</v>
      </c>
      <c r="S87" s="803">
        <f>SUM(S78:S84)</f>
        <v>199083.26</v>
      </c>
      <c r="T87" s="794"/>
      <c r="U87" s="803">
        <f>SUM(U78:U84)</f>
        <v>21984.75</v>
      </c>
      <c r="V87" s="794"/>
      <c r="W87" s="803">
        <f>SUM(W78:W84)</f>
        <v>177098.51</v>
      </c>
    </row>
    <row r="88" spans="1:23" s="795" customFormat="1" ht="20.25" customHeight="1">
      <c r="A88" s="789"/>
      <c r="B88" s="789"/>
      <c r="C88" s="798"/>
      <c r="D88" s="1305" t="str">
        <f t="shared" si="1"/>
        <v/>
      </c>
      <c r="E88" s="1335">
        <v>16</v>
      </c>
      <c r="F88" s="1331"/>
      <c r="G88" s="792"/>
      <c r="H88" s="789"/>
      <c r="I88" s="789"/>
      <c r="J88" s="789"/>
      <c r="K88" s="1315"/>
      <c r="L88" s="1315"/>
      <c r="M88" s="1315"/>
      <c r="N88" s="1315"/>
      <c r="O88" s="1315"/>
      <c r="P88" s="1315"/>
      <c r="Q88" s="1315"/>
      <c r="R88" s="1315"/>
      <c r="S88" s="793"/>
      <c r="T88" s="794"/>
      <c r="U88" s="793"/>
      <c r="V88" s="794"/>
      <c r="W88" s="793"/>
    </row>
    <row r="89" spans="1:23" s="795" customFormat="1" ht="20.25" customHeight="1">
      <c r="A89" s="789" t="s">
        <v>148</v>
      </c>
      <c r="B89" s="790" t="s">
        <v>244</v>
      </c>
      <c r="C89" s="791" t="s">
        <v>162</v>
      </c>
      <c r="D89" s="1305" t="str">
        <f t="shared" si="1"/>
        <v>Jarvis389Land &amp; Land Rights</v>
      </c>
      <c r="E89" s="1331" t="s">
        <v>1617</v>
      </c>
      <c r="F89" s="707" t="str">
        <f>CONCATENATE("WP-BC, line ",VLOOKUP(D89,'WP-BC'!$A$18:$N$341,2,FALSE))</f>
        <v>WP-BC, line 1n</v>
      </c>
      <c r="G89" s="1395">
        <v>389</v>
      </c>
      <c r="H89" s="1647" t="s">
        <v>162</v>
      </c>
      <c r="I89" s="1394" t="s">
        <v>1930</v>
      </c>
      <c r="J89" s="789"/>
      <c r="K89" s="1314">
        <f>VLOOKUP($D89,'WP-BC'!$A$1:$N$352,7,FALSE)</f>
        <v>8000</v>
      </c>
      <c r="L89" s="1314">
        <f>VLOOKUP($D89,'WP-BC'!$A$1:$N$352,8,FALSE)</f>
        <v>0</v>
      </c>
      <c r="M89" s="1315">
        <f t="shared" ref="M89:M90" si="33">+K89-L89</f>
        <v>8000</v>
      </c>
      <c r="N89" s="1314">
        <f>VLOOKUP($D89,'WP-BC'!$A$1:$N$352,10,FALSE)</f>
        <v>0</v>
      </c>
      <c r="O89" s="1314">
        <f>VLOOKUP($D89,'WP-BC'!$A$1:$N$352,11,FALSE)</f>
        <v>13816</v>
      </c>
      <c r="P89" s="1314">
        <f>VLOOKUP($D89,'WP-BC'!$A$1:$N$352,12,FALSE)</f>
        <v>0</v>
      </c>
      <c r="Q89" s="1315">
        <f t="shared" ref="Q89:Q90" si="34">+O89-P89</f>
        <v>13816</v>
      </c>
      <c r="R89" s="1314">
        <f>VLOOKUP($D89,'WP-BC'!$A$1:$N$352,14,FALSE)</f>
        <v>0</v>
      </c>
      <c r="S89" s="793">
        <v>8000</v>
      </c>
      <c r="T89" s="794"/>
      <c r="U89" s="793">
        <v>0</v>
      </c>
      <c r="V89" s="794"/>
      <c r="W89" s="793">
        <f>+S89-U89</f>
        <v>8000</v>
      </c>
    </row>
    <row r="90" spans="1:23" s="795" customFormat="1">
      <c r="A90" s="789" t="s">
        <v>148</v>
      </c>
      <c r="B90" s="790" t="s">
        <v>244</v>
      </c>
      <c r="C90" s="791" t="s">
        <v>162</v>
      </c>
      <c r="D90" s="1305" t="str">
        <f t="shared" si="1"/>
        <v>Jarvis399Other Tangible Property</v>
      </c>
      <c r="E90" s="1331" t="s">
        <v>1618</v>
      </c>
      <c r="F90" s="707" t="str">
        <f>CONCATENATE("WP-BC, line ",VLOOKUP(D90,'WP-BC'!$A$18:$N$341,2,FALSE))</f>
        <v>WP-BC, line 12ci</v>
      </c>
      <c r="G90" s="1395">
        <v>399</v>
      </c>
      <c r="H90" s="1647" t="s">
        <v>162</v>
      </c>
      <c r="I90" s="1394" t="s">
        <v>84</v>
      </c>
      <c r="J90" s="789"/>
      <c r="K90" s="1314">
        <f>VLOOKUP($D90,'WP-BC'!$A$1:$N$352,7,FALSE)</f>
        <v>427000</v>
      </c>
      <c r="L90" s="1314">
        <f>VLOOKUP($D90,'WP-BC'!$A$1:$N$352,8,FALSE)</f>
        <v>197913</v>
      </c>
      <c r="M90" s="1315">
        <f t="shared" si="33"/>
        <v>229087</v>
      </c>
      <c r="N90" s="1314">
        <f>VLOOKUP($D90,'WP-BC'!$A$1:$N$352,10,FALSE)</f>
        <v>7117</v>
      </c>
      <c r="O90" s="1314">
        <f>VLOOKUP($D90,'WP-BC'!$A$1:$N$352,11,FALSE)</f>
        <v>427000</v>
      </c>
      <c r="P90" s="1314">
        <f>VLOOKUP($D90,'WP-BC'!$A$1:$N$352,12,FALSE)</f>
        <v>190796</v>
      </c>
      <c r="Q90" s="1315">
        <f t="shared" si="34"/>
        <v>236204</v>
      </c>
      <c r="R90" s="1314">
        <f>VLOOKUP($D90,'WP-BC'!$A$1:$N$352,14,FALSE)</f>
        <v>7117</v>
      </c>
      <c r="S90" s="796">
        <v>427000</v>
      </c>
      <c r="T90" s="797"/>
      <c r="U90" s="796">
        <v>133860</v>
      </c>
      <c r="V90" s="797"/>
      <c r="W90" s="796">
        <f>+S90-U90</f>
        <v>293140</v>
      </c>
    </row>
    <row r="91" spans="1:23" s="795" customFormat="1">
      <c r="A91" s="789"/>
      <c r="B91" s="790"/>
      <c r="C91" s="791"/>
      <c r="D91" s="1305"/>
      <c r="E91" s="1331" t="s">
        <v>541</v>
      </c>
      <c r="F91" s="1394"/>
      <c r="G91" s="1395"/>
      <c r="H91" s="1396"/>
      <c r="I91" s="1394"/>
      <c r="J91" s="789"/>
      <c r="K91" s="1316" t="s">
        <v>1166</v>
      </c>
      <c r="L91" s="1316" t="s">
        <v>1166</v>
      </c>
      <c r="M91" s="1316" t="s">
        <v>1166</v>
      </c>
      <c r="N91" s="1316" t="s">
        <v>1166</v>
      </c>
      <c r="O91" s="1316" t="s">
        <v>1166</v>
      </c>
      <c r="P91" s="1316" t="s">
        <v>1166</v>
      </c>
      <c r="Q91" s="1316" t="s">
        <v>1166</v>
      </c>
      <c r="R91" s="1316" t="s">
        <v>1166</v>
      </c>
      <c r="S91" s="793"/>
      <c r="T91" s="794"/>
      <c r="U91" s="793"/>
      <c r="V91" s="794"/>
      <c r="W91" s="793"/>
    </row>
    <row r="92" spans="1:23" s="795" customFormat="1">
      <c r="A92" s="789"/>
      <c r="B92" s="790"/>
      <c r="C92" s="791"/>
      <c r="D92" s="1305"/>
      <c r="E92" s="1331"/>
      <c r="F92" s="1331"/>
      <c r="G92" s="792"/>
      <c r="H92" s="789"/>
      <c r="I92" s="789"/>
      <c r="J92" s="789"/>
      <c r="K92" s="1314"/>
      <c r="L92" s="1314"/>
      <c r="M92" s="1314"/>
      <c r="N92" s="1314"/>
      <c r="O92" s="1314"/>
      <c r="P92" s="1314"/>
      <c r="Q92" s="1314"/>
      <c r="R92" s="1314"/>
      <c r="S92" s="793"/>
      <c r="T92" s="794"/>
      <c r="U92" s="793"/>
      <c r="V92" s="794"/>
      <c r="W92" s="793"/>
    </row>
    <row r="93" spans="1:23" s="795" customFormat="1">
      <c r="A93" s="789"/>
      <c r="B93" s="789"/>
      <c r="C93" s="798"/>
      <c r="D93" s="1305" t="str">
        <f t="shared" si="1"/>
        <v>SUBTOTAL Small Hydro</v>
      </c>
      <c r="E93" s="1335">
        <v>17</v>
      </c>
      <c r="F93" s="1335"/>
      <c r="G93" s="799" t="s">
        <v>236</v>
      </c>
      <c r="H93" s="789"/>
      <c r="I93" s="789"/>
      <c r="J93" s="789"/>
      <c r="K93" s="1313">
        <f>SUM(K89:K91)</f>
        <v>435000</v>
      </c>
      <c r="L93" s="1313">
        <f t="shared" ref="L93:R93" si="35">SUM(L89:L91)</f>
        <v>197913</v>
      </c>
      <c r="M93" s="1313">
        <f t="shared" si="35"/>
        <v>237087</v>
      </c>
      <c r="N93" s="1313">
        <f t="shared" si="35"/>
        <v>7117</v>
      </c>
      <c r="O93" s="1313">
        <f t="shared" si="35"/>
        <v>440816</v>
      </c>
      <c r="P93" s="1313">
        <f t="shared" si="35"/>
        <v>190796</v>
      </c>
      <c r="Q93" s="1313">
        <f t="shared" si="35"/>
        <v>250020</v>
      </c>
      <c r="R93" s="1313">
        <f t="shared" si="35"/>
        <v>7117</v>
      </c>
      <c r="S93" s="803">
        <f t="shared" ref="S93" si="36">SUM(S89:S90)</f>
        <v>435000</v>
      </c>
      <c r="T93" s="794"/>
      <c r="U93" s="803">
        <f>SUM(U89:U90)</f>
        <v>133860</v>
      </c>
      <c r="V93" s="794"/>
      <c r="W93" s="803">
        <f>SUM(W89:W90)</f>
        <v>301140</v>
      </c>
    </row>
    <row r="94" spans="1:23" s="795" customFormat="1" ht="21" customHeight="1">
      <c r="A94" s="789"/>
      <c r="B94" s="789"/>
      <c r="C94" s="798"/>
      <c r="D94" s="1305" t="str">
        <f t="shared" si="1"/>
        <v/>
      </c>
      <c r="E94" s="1335">
        <v>18</v>
      </c>
      <c r="F94" s="1331"/>
      <c r="G94" s="792"/>
      <c r="H94" s="789"/>
      <c r="I94" s="789"/>
      <c r="J94" s="789"/>
      <c r="K94" s="1315"/>
      <c r="L94" s="1315"/>
      <c r="M94" s="1315"/>
      <c r="N94" s="1315"/>
      <c r="O94" s="1315"/>
      <c r="P94" s="1315"/>
      <c r="Q94" s="1315"/>
      <c r="R94" s="1315"/>
      <c r="S94" s="793"/>
      <c r="T94" s="794"/>
      <c r="U94" s="793"/>
      <c r="V94" s="794"/>
      <c r="W94" s="793"/>
    </row>
    <row r="95" spans="1:23" s="795" customFormat="1">
      <c r="A95" s="789" t="s">
        <v>148</v>
      </c>
      <c r="B95" s="790" t="s">
        <v>244</v>
      </c>
      <c r="C95" s="791" t="s">
        <v>155</v>
      </c>
      <c r="D95" s="1305" t="str">
        <f t="shared" si="1"/>
        <v>FLYNN  (Holtsville)391Office Furniture &amp; Equipment</v>
      </c>
      <c r="E95" s="1331" t="s">
        <v>1623</v>
      </c>
      <c r="F95" s="707" t="str">
        <f>CONCATENATE("WP-BC, line ",VLOOKUP(D95,'WP-BC'!$A$18:$N$341,2,FALSE))</f>
        <v>WP-BC, line 12bu</v>
      </c>
      <c r="G95" s="1395">
        <v>391</v>
      </c>
      <c r="H95" s="1394" t="s">
        <v>155</v>
      </c>
      <c r="I95" s="1394" t="s">
        <v>76</v>
      </c>
      <c r="J95" s="789"/>
      <c r="K95" s="1314">
        <f>VLOOKUP($D95,'WP-BC'!$A$1:$N$352,7,FALSE)</f>
        <v>177276.41999999998</v>
      </c>
      <c r="L95" s="1314">
        <f>VLOOKUP($D95,'WP-BC'!$A$1:$N$352,8,FALSE)</f>
        <v>174970.41999999998</v>
      </c>
      <c r="M95" s="1315">
        <f t="shared" ref="M95:M102" si="37">+K95-L95</f>
        <v>2306</v>
      </c>
      <c r="N95" s="1314">
        <f>VLOOKUP($D95,'WP-BC'!$A$1:$N$352,10,FALSE)</f>
        <v>1847</v>
      </c>
      <c r="O95" s="1314">
        <f>VLOOKUP($D95,'WP-BC'!$A$1:$N$352,11,FALSE)</f>
        <v>177276.41999999998</v>
      </c>
      <c r="P95" s="1314">
        <f>VLOOKUP($D95,'WP-BC'!$A$1:$N$352,12,FALSE)</f>
        <v>173123.41999999998</v>
      </c>
      <c r="Q95" s="1315">
        <f t="shared" ref="Q95:Q102" si="38">+O95-P95</f>
        <v>4153</v>
      </c>
      <c r="R95" s="1314">
        <f>VLOOKUP($D95,'WP-BC'!$A$1:$N$352,14,FALSE)</f>
        <v>3167</v>
      </c>
      <c r="S95" s="793">
        <v>161428</v>
      </c>
      <c r="T95" s="794"/>
      <c r="U95" s="793">
        <v>161428</v>
      </c>
      <c r="V95" s="794"/>
      <c r="W95" s="793">
        <f t="shared" ref="W95:W102" si="39">+S95-U95</f>
        <v>0</v>
      </c>
    </row>
    <row r="96" spans="1:23" s="795" customFormat="1">
      <c r="A96" s="789" t="s">
        <v>148</v>
      </c>
      <c r="B96" s="790" t="s">
        <v>244</v>
      </c>
      <c r="C96" s="791" t="s">
        <v>155</v>
      </c>
      <c r="D96" s="1305" t="str">
        <f t="shared" si="1"/>
        <v>FLYNN  (Holtsville)392Transportation Equipment</v>
      </c>
      <c r="E96" s="1331" t="s">
        <v>1624</v>
      </c>
      <c r="F96" s="707" t="str">
        <f>CONCATENATE("WP-BC, line ",VLOOKUP(D96,'WP-BC'!$A$18:$N$341,2,FALSE))</f>
        <v>WP-BC, line 12bv</v>
      </c>
      <c r="G96" s="1395">
        <v>392</v>
      </c>
      <c r="H96" s="1648" t="s">
        <v>155</v>
      </c>
      <c r="I96" s="1394" t="s">
        <v>77</v>
      </c>
      <c r="J96" s="789"/>
      <c r="K96" s="1314">
        <f>VLOOKUP($D96,'WP-BC'!$A$1:$N$352,7,FALSE)</f>
        <v>122905.13</v>
      </c>
      <c r="L96" s="1314">
        <f>VLOOKUP($D96,'WP-BC'!$A$1:$N$352,8,FALSE)</f>
        <v>115068.02999999998</v>
      </c>
      <c r="M96" s="1315">
        <f t="shared" si="37"/>
        <v>7837.1000000000204</v>
      </c>
      <c r="N96" s="1314">
        <f>VLOOKUP($D96,'WP-BC'!$A$1:$N$352,10,FALSE)</f>
        <v>8636.2000000000007</v>
      </c>
      <c r="O96" s="1314">
        <f>VLOOKUP($D96,'WP-BC'!$A$1:$N$352,11,FALSE)</f>
        <v>85775.930000000008</v>
      </c>
      <c r="P96" s="1314">
        <f>VLOOKUP($D96,'WP-BC'!$A$1:$N$352,12,FALSE)</f>
        <v>106431.82999999999</v>
      </c>
      <c r="Q96" s="1315">
        <f t="shared" si="38"/>
        <v>-20655.89999999998</v>
      </c>
      <c r="R96" s="1314">
        <f>VLOOKUP($D96,'WP-BC'!$A$1:$N$352,14,FALSE)</f>
        <v>8017</v>
      </c>
      <c r="S96" s="793">
        <v>158924.22</v>
      </c>
      <c r="T96" s="794"/>
      <c r="U96" s="793">
        <v>86730.12</v>
      </c>
      <c r="V96" s="794"/>
      <c r="W96" s="793">
        <f t="shared" si="39"/>
        <v>72194.100000000006</v>
      </c>
    </row>
    <row r="97" spans="1:23" s="795" customFormat="1">
      <c r="A97" s="789" t="s">
        <v>148</v>
      </c>
      <c r="B97" s="790" t="s">
        <v>244</v>
      </c>
      <c r="C97" s="791" t="s">
        <v>155</v>
      </c>
      <c r="D97" s="1305" t="str">
        <f t="shared" si="1"/>
        <v>FLYNN  (Holtsville)393Stores Equipment</v>
      </c>
      <c r="E97" s="1331" t="s">
        <v>1625</v>
      </c>
      <c r="F97" s="707" t="str">
        <f>CONCATENATE("WP-BC, line ",VLOOKUP(D97,'WP-BC'!$A$18:$N$341,2,FALSE))</f>
        <v>WP-BC, line 12bw</v>
      </c>
      <c r="G97" s="1395">
        <v>393</v>
      </c>
      <c r="H97" s="1648" t="s">
        <v>155</v>
      </c>
      <c r="I97" s="1394" t="s">
        <v>78</v>
      </c>
      <c r="J97" s="789"/>
      <c r="K97" s="1314">
        <f>VLOOKUP($D97,'WP-BC'!$A$1:$N$352,7,FALSE)</f>
        <v>0</v>
      </c>
      <c r="L97" s="1314">
        <f>VLOOKUP($D97,'WP-BC'!$A$1:$N$352,8,FALSE)</f>
        <v>0</v>
      </c>
      <c r="M97" s="1315">
        <f t="shared" si="37"/>
        <v>0</v>
      </c>
      <c r="N97" s="1314">
        <f>VLOOKUP($D97,'WP-BC'!$A$1:$N$352,10,FALSE)</f>
        <v>0</v>
      </c>
      <c r="O97" s="1314">
        <f>VLOOKUP($D97,'WP-BC'!$A$1:$N$352,11,FALSE)</f>
        <v>0</v>
      </c>
      <c r="P97" s="1314">
        <f>VLOOKUP($D97,'WP-BC'!$A$1:$N$352,12,FALSE)</f>
        <v>0</v>
      </c>
      <c r="Q97" s="1315">
        <f t="shared" si="38"/>
        <v>0</v>
      </c>
      <c r="R97" s="1314">
        <f>VLOOKUP($D97,'WP-BC'!$A$1:$N$352,14,FALSE)</f>
        <v>0</v>
      </c>
      <c r="S97" s="793">
        <v>0</v>
      </c>
      <c r="T97" s="794"/>
      <c r="U97" s="793">
        <v>0</v>
      </c>
      <c r="V97" s="794"/>
      <c r="W97" s="793">
        <f t="shared" si="39"/>
        <v>0</v>
      </c>
    </row>
    <row r="98" spans="1:23" s="795" customFormat="1">
      <c r="A98" s="789" t="s">
        <v>148</v>
      </c>
      <c r="B98" s="790" t="s">
        <v>244</v>
      </c>
      <c r="C98" s="791" t="s">
        <v>155</v>
      </c>
      <c r="D98" s="1305" t="str">
        <f t="shared" si="1"/>
        <v>FLYNN  (Holtsville)394Tools, Shop &amp; Garage Equipment</v>
      </c>
      <c r="E98" s="1331" t="s">
        <v>1626</v>
      </c>
      <c r="F98" s="707" t="str">
        <f>CONCATENATE("WP-BC, line ",VLOOKUP(D98,'WP-BC'!$A$18:$N$341,2,FALSE))</f>
        <v>WP-BC, line 12bx</v>
      </c>
      <c r="G98" s="1395">
        <v>394</v>
      </c>
      <c r="H98" s="1648" t="s">
        <v>155</v>
      </c>
      <c r="I98" s="1394" t="s">
        <v>79</v>
      </c>
      <c r="J98" s="789"/>
      <c r="K98" s="1314">
        <f>VLOOKUP($D98,'WP-BC'!$A$1:$N$352,7,FALSE)</f>
        <v>147596</v>
      </c>
      <c r="L98" s="1314">
        <f>VLOOKUP($D98,'WP-BC'!$A$1:$N$352,8,FALSE)</f>
        <v>137777</v>
      </c>
      <c r="M98" s="1315">
        <f t="shared" si="37"/>
        <v>9819</v>
      </c>
      <c r="N98" s="1314">
        <f>VLOOKUP($D98,'WP-BC'!$A$1:$N$352,10,FALSE)</f>
        <v>1056</v>
      </c>
      <c r="O98" s="1314">
        <f>VLOOKUP($D98,'WP-BC'!$A$1:$N$352,11,FALSE)</f>
        <v>147596</v>
      </c>
      <c r="P98" s="1314">
        <f>VLOOKUP($D98,'WP-BC'!$A$1:$N$352,12,FALSE)</f>
        <v>136721</v>
      </c>
      <c r="Q98" s="1315">
        <f t="shared" si="38"/>
        <v>10875</v>
      </c>
      <c r="R98" s="1314">
        <f>VLOOKUP($D98,'WP-BC'!$A$1:$N$352,14,FALSE)</f>
        <v>1022</v>
      </c>
      <c r="S98" s="793">
        <v>143571</v>
      </c>
      <c r="T98" s="794"/>
      <c r="U98" s="793">
        <v>102160</v>
      </c>
      <c r="V98" s="794"/>
      <c r="W98" s="793">
        <f t="shared" si="39"/>
        <v>41411</v>
      </c>
    </row>
    <row r="99" spans="1:23" s="795" customFormat="1">
      <c r="A99" s="789" t="s">
        <v>148</v>
      </c>
      <c r="B99" s="790" t="s">
        <v>244</v>
      </c>
      <c r="C99" s="791" t="s">
        <v>155</v>
      </c>
      <c r="D99" s="1305" t="str">
        <f t="shared" si="1"/>
        <v>FLYNN  (Holtsville)395Laboratory Equipment</v>
      </c>
      <c r="E99" s="1331" t="s">
        <v>1627</v>
      </c>
      <c r="F99" s="707" t="str">
        <f>CONCATENATE("WP-BC, line ",VLOOKUP(D99,'WP-BC'!$A$18:$N$341,2,FALSE))</f>
        <v>WP-BC, line 12by</v>
      </c>
      <c r="G99" s="1395">
        <v>395</v>
      </c>
      <c r="H99" s="1648" t="s">
        <v>155</v>
      </c>
      <c r="I99" s="1394" t="s">
        <v>80</v>
      </c>
      <c r="J99" s="789"/>
      <c r="K99" s="1314">
        <f>VLOOKUP($D99,'WP-BC'!$A$1:$N$352,7,FALSE)</f>
        <v>49048.73</v>
      </c>
      <c r="L99" s="1314">
        <f>VLOOKUP($D99,'WP-BC'!$A$1:$N$352,8,FALSE)</f>
        <v>57676.729999999996</v>
      </c>
      <c r="M99" s="1315">
        <f t="shared" si="37"/>
        <v>-8627.9999999999927</v>
      </c>
      <c r="N99" s="1314">
        <f>VLOOKUP($D99,'WP-BC'!$A$1:$N$352,10,FALSE)</f>
        <v>2145</v>
      </c>
      <c r="O99" s="1314">
        <f>VLOOKUP($D99,'WP-BC'!$A$1:$N$352,11,FALSE)</f>
        <v>49048.73</v>
      </c>
      <c r="P99" s="1314">
        <f>VLOOKUP($D99,'WP-BC'!$A$1:$N$352,12,FALSE)</f>
        <v>55531.729999999996</v>
      </c>
      <c r="Q99" s="1315">
        <f t="shared" si="38"/>
        <v>-6482.9999999999927</v>
      </c>
      <c r="R99" s="1314">
        <f>VLOOKUP($D99,'WP-BC'!$A$1:$N$352,14,FALSE)</f>
        <v>3218</v>
      </c>
      <c r="S99" s="793">
        <v>49048.73</v>
      </c>
      <c r="T99" s="794"/>
      <c r="U99" s="793">
        <v>20030.73</v>
      </c>
      <c r="V99" s="794"/>
      <c r="W99" s="793">
        <f t="shared" si="39"/>
        <v>29018.000000000004</v>
      </c>
    </row>
    <row r="100" spans="1:23" s="795" customFormat="1">
      <c r="A100" s="789" t="s">
        <v>148</v>
      </c>
      <c r="B100" s="790" t="s">
        <v>244</v>
      </c>
      <c r="C100" s="791" t="s">
        <v>155</v>
      </c>
      <c r="D100" s="1305" t="str">
        <f t="shared" si="1"/>
        <v>FLYNN  (Holtsville)396Power Operated Equipment</v>
      </c>
      <c r="E100" s="1331" t="s">
        <v>1628</v>
      </c>
      <c r="F100" s="707" t="str">
        <f>CONCATENATE("WP-BC, line ",VLOOKUP(D100,'WP-BC'!$A$18:$N$341,2,FALSE))</f>
        <v>WP-BC, line 12bz</v>
      </c>
      <c r="G100" s="1395">
        <v>396</v>
      </c>
      <c r="H100" s="1648" t="s">
        <v>155</v>
      </c>
      <c r="I100" s="1394" t="s">
        <v>81</v>
      </c>
      <c r="J100" s="789"/>
      <c r="K100" s="1314">
        <f>VLOOKUP($D100,'WP-BC'!$A$1:$N$352,7,FALSE)</f>
        <v>286292.76</v>
      </c>
      <c r="L100" s="1314">
        <f>VLOOKUP($D100,'WP-BC'!$A$1:$N$352,8,FALSE)</f>
        <v>74920.75</v>
      </c>
      <c r="M100" s="1315">
        <f t="shared" si="37"/>
        <v>211372.01</v>
      </c>
      <c r="N100" s="1314">
        <f>VLOOKUP($D100,'WP-BC'!$A$1:$N$352,10,FALSE)</f>
        <v>23069.75</v>
      </c>
      <c r="O100" s="1314">
        <f>VLOOKUP($D100,'WP-BC'!$A$1:$N$352,11,FALSE)</f>
        <v>226537</v>
      </c>
      <c r="P100" s="1314">
        <f>VLOOKUP($D100,'WP-BC'!$A$1:$N$352,12,FALSE)</f>
        <v>51851</v>
      </c>
      <c r="Q100" s="1315">
        <f t="shared" si="38"/>
        <v>174686</v>
      </c>
      <c r="R100" s="1314">
        <f>VLOOKUP($D100,'WP-BC'!$A$1:$N$352,14,FALSE)</f>
        <v>22655</v>
      </c>
      <c r="S100" s="793">
        <v>0</v>
      </c>
      <c r="T100" s="794"/>
      <c r="U100" s="793">
        <v>0</v>
      </c>
      <c r="V100" s="794"/>
      <c r="W100" s="793">
        <f t="shared" si="39"/>
        <v>0</v>
      </c>
    </row>
    <row r="101" spans="1:23" s="795" customFormat="1">
      <c r="A101" s="789" t="s">
        <v>148</v>
      </c>
      <c r="B101" s="790" t="s">
        <v>244</v>
      </c>
      <c r="C101" s="791" t="s">
        <v>155</v>
      </c>
      <c r="D101" s="1305" t="str">
        <f t="shared" si="1"/>
        <v>FLYNN  (Holtsville)397Communication Equipment</v>
      </c>
      <c r="E101" s="1331" t="s">
        <v>1629</v>
      </c>
      <c r="F101" s="707" t="str">
        <f>CONCATENATE("WP-BC, line ",VLOOKUP(D101,'WP-BC'!$A$18:$N$341,2,FALSE))</f>
        <v>WP-BC, line 12ca</v>
      </c>
      <c r="G101" s="1395">
        <v>397</v>
      </c>
      <c r="H101" s="1648" t="s">
        <v>155</v>
      </c>
      <c r="I101" s="1394" t="s">
        <v>82</v>
      </c>
      <c r="J101" s="789"/>
      <c r="K101" s="1314">
        <f>VLOOKUP($D101,'WP-BC'!$A$1:$N$352,7,FALSE)</f>
        <v>349918</v>
      </c>
      <c r="L101" s="1314">
        <f>VLOOKUP($D101,'WP-BC'!$A$1:$N$352,8,FALSE)</f>
        <v>349917</v>
      </c>
      <c r="M101" s="1315">
        <f t="shared" si="37"/>
        <v>1</v>
      </c>
      <c r="N101" s="1314">
        <f>VLOOKUP($D101,'WP-BC'!$A$1:$N$352,10,FALSE)</f>
        <v>0</v>
      </c>
      <c r="O101" s="1314">
        <f>VLOOKUP($D101,'WP-BC'!$A$1:$N$352,11,FALSE)</f>
        <v>349918</v>
      </c>
      <c r="P101" s="1314">
        <f>VLOOKUP($D101,'WP-BC'!$A$1:$N$352,12,FALSE)</f>
        <v>349917</v>
      </c>
      <c r="Q101" s="1315">
        <f t="shared" si="38"/>
        <v>1</v>
      </c>
      <c r="R101" s="1314">
        <f>VLOOKUP($D101,'WP-BC'!$A$1:$N$352,14,FALSE)</f>
        <v>0</v>
      </c>
      <c r="S101" s="793">
        <v>349918</v>
      </c>
      <c r="T101" s="794"/>
      <c r="U101" s="793">
        <v>219473</v>
      </c>
      <c r="V101" s="794"/>
      <c r="W101" s="793">
        <f t="shared" si="39"/>
        <v>130445</v>
      </c>
    </row>
    <row r="102" spans="1:23" s="795" customFormat="1">
      <c r="A102" s="789" t="s">
        <v>148</v>
      </c>
      <c r="B102" s="790" t="s">
        <v>244</v>
      </c>
      <c r="C102" s="791" t="s">
        <v>155</v>
      </c>
      <c r="D102" s="1305" t="str">
        <f t="shared" si="1"/>
        <v>FLYNN  (Holtsville)398Miscellaneous Equipment</v>
      </c>
      <c r="E102" s="1331" t="s">
        <v>1654</v>
      </c>
      <c r="F102" s="707" t="str">
        <f>CONCATENATE("WP-BC, line ",VLOOKUP(D102,'WP-BC'!$A$18:$N$341,2,FALSE))</f>
        <v>WP-BC, line 12cb</v>
      </c>
      <c r="G102" s="1395">
        <v>398</v>
      </c>
      <c r="H102" s="1648" t="s">
        <v>155</v>
      </c>
      <c r="I102" s="1394" t="s">
        <v>83</v>
      </c>
      <c r="J102" s="789"/>
      <c r="K102" s="1314">
        <f>VLOOKUP($D102,'WP-BC'!$A$1:$N$352,7,FALSE)</f>
        <v>501230.5</v>
      </c>
      <c r="L102" s="1314">
        <f>VLOOKUP($D102,'WP-BC'!$A$1:$N$352,8,FALSE)</f>
        <v>311934.08000000002</v>
      </c>
      <c r="M102" s="1315">
        <f t="shared" si="37"/>
        <v>189296.41999999998</v>
      </c>
      <c r="N102" s="1314">
        <f>VLOOKUP($D102,'WP-BC'!$A$1:$N$352,10,FALSE)</f>
        <v>54471</v>
      </c>
      <c r="O102" s="1314">
        <f>VLOOKUP($D102,'WP-BC'!$A$1:$N$352,11,FALSE)</f>
        <v>501230.5</v>
      </c>
      <c r="P102" s="1314">
        <f>VLOOKUP($D102,'WP-BC'!$A$1:$N$352,12,FALSE)</f>
        <v>257463.08000000002</v>
      </c>
      <c r="Q102" s="1315">
        <f t="shared" si="38"/>
        <v>243767.41999999998</v>
      </c>
      <c r="R102" s="1314">
        <f>VLOOKUP($D102,'WP-BC'!$A$1:$N$352,14,FALSE)</f>
        <v>57238</v>
      </c>
      <c r="S102" s="796">
        <v>94603.150000000009</v>
      </c>
      <c r="T102" s="797"/>
      <c r="U102" s="796">
        <v>24313.730000000003</v>
      </c>
      <c r="V102" s="797"/>
      <c r="W102" s="796">
        <f t="shared" si="39"/>
        <v>70289.420000000013</v>
      </c>
    </row>
    <row r="103" spans="1:23" s="795" customFormat="1">
      <c r="A103" s="789"/>
      <c r="B103" s="790"/>
      <c r="C103" s="791"/>
      <c r="D103" s="1305"/>
      <c r="E103" s="1331" t="s">
        <v>541</v>
      </c>
      <c r="F103" s="1394"/>
      <c r="G103" s="1395"/>
      <c r="H103" s="1396"/>
      <c r="I103" s="1394"/>
      <c r="J103" s="789"/>
      <c r="K103" s="1316" t="s">
        <v>1166</v>
      </c>
      <c r="L103" s="1316" t="s">
        <v>1166</v>
      </c>
      <c r="M103" s="1316" t="s">
        <v>1166</v>
      </c>
      <c r="N103" s="1316" t="s">
        <v>1166</v>
      </c>
      <c r="O103" s="1316" t="s">
        <v>1166</v>
      </c>
      <c r="P103" s="1316" t="s">
        <v>1166</v>
      </c>
      <c r="Q103" s="1316" t="s">
        <v>1166</v>
      </c>
      <c r="R103" s="1316" t="s">
        <v>1166</v>
      </c>
      <c r="S103" s="793"/>
      <c r="T103" s="794"/>
      <c r="U103" s="793"/>
      <c r="V103" s="794"/>
      <c r="W103" s="793"/>
    </row>
    <row r="104" spans="1:23" s="795" customFormat="1">
      <c r="A104" s="789"/>
      <c r="B104" s="790"/>
      <c r="C104" s="791"/>
      <c r="D104" s="1305"/>
      <c r="E104" s="1331"/>
      <c r="F104" s="1331"/>
      <c r="G104" s="792"/>
      <c r="H104" s="789"/>
      <c r="I104" s="789"/>
      <c r="J104" s="789"/>
      <c r="K104" s="1314"/>
      <c r="L104" s="1314"/>
      <c r="M104" s="1314"/>
      <c r="N104" s="1314"/>
      <c r="O104" s="1314"/>
      <c r="P104" s="1314"/>
      <c r="Q104" s="1314"/>
      <c r="R104" s="1314"/>
      <c r="S104" s="793"/>
      <c r="T104" s="794"/>
      <c r="U104" s="793"/>
      <c r="V104" s="794"/>
      <c r="W104" s="793"/>
    </row>
    <row r="105" spans="1:23" s="795" customFormat="1">
      <c r="A105" s="789"/>
      <c r="B105" s="789"/>
      <c r="C105" s="798"/>
      <c r="D105" s="1305" t="str">
        <f t="shared" si="1"/>
        <v>SUBTOTAL Flynn</v>
      </c>
      <c r="E105" s="1335">
        <v>19</v>
      </c>
      <c r="F105" s="1335"/>
      <c r="G105" s="799" t="s">
        <v>237</v>
      </c>
      <c r="H105" s="789"/>
      <c r="I105" s="789"/>
      <c r="J105" s="789"/>
      <c r="K105" s="1313">
        <f>SUM(K95:K103)</f>
        <v>1634267.54</v>
      </c>
      <c r="L105" s="1313">
        <f t="shared" ref="L105:R105" si="40">SUM(L95:L103)</f>
        <v>1222264.01</v>
      </c>
      <c r="M105" s="1313">
        <f t="shared" si="40"/>
        <v>412003.53</v>
      </c>
      <c r="N105" s="1313">
        <f t="shared" si="40"/>
        <v>91224.95</v>
      </c>
      <c r="O105" s="1313">
        <f t="shared" si="40"/>
        <v>1537382.58</v>
      </c>
      <c r="P105" s="1313">
        <f t="shared" si="40"/>
        <v>1131039.06</v>
      </c>
      <c r="Q105" s="1313">
        <f t="shared" si="40"/>
        <v>406343.52</v>
      </c>
      <c r="R105" s="1313">
        <f t="shared" si="40"/>
        <v>95317</v>
      </c>
      <c r="S105" s="803">
        <f t="shared" ref="S105" si="41">SUM(S95:S102)</f>
        <v>957493.1</v>
      </c>
      <c r="T105" s="794"/>
      <c r="U105" s="803">
        <f>SUM(U95:U102)</f>
        <v>614135.57999999996</v>
      </c>
      <c r="V105" s="794"/>
      <c r="W105" s="803">
        <f>SUM(W95:W102)</f>
        <v>343357.52</v>
      </c>
    </row>
    <row r="106" spans="1:23" s="795" customFormat="1" ht="20.25" customHeight="1">
      <c r="A106" s="789"/>
      <c r="B106" s="789"/>
      <c r="C106" s="798"/>
      <c r="D106" s="1305" t="str">
        <f t="shared" si="1"/>
        <v/>
      </c>
      <c r="E106" s="1335">
        <v>20</v>
      </c>
      <c r="F106" s="1331"/>
      <c r="G106" s="792"/>
      <c r="H106" s="789"/>
      <c r="I106" s="789"/>
      <c r="J106" s="789"/>
      <c r="K106" s="1315"/>
      <c r="L106" s="1315"/>
      <c r="M106" s="1315"/>
      <c r="N106" s="1315"/>
      <c r="O106" s="1315"/>
      <c r="P106" s="1315"/>
      <c r="Q106" s="1315"/>
      <c r="R106" s="1315"/>
      <c r="S106" s="793"/>
      <c r="T106" s="794"/>
      <c r="U106" s="793"/>
      <c r="V106" s="794"/>
      <c r="W106" s="793"/>
    </row>
    <row r="107" spans="1:23" s="795" customFormat="1">
      <c r="A107" s="789" t="s">
        <v>148</v>
      </c>
      <c r="B107" s="790" t="s">
        <v>244</v>
      </c>
      <c r="C107" s="791" t="s">
        <v>161</v>
      </c>
      <c r="D107" s="1305" t="str">
        <f t="shared" si="1"/>
        <v>POLETTI  (Astoria)389Land &amp; Land Rights</v>
      </c>
      <c r="E107" s="1331" t="s">
        <v>1630</v>
      </c>
      <c r="F107" s="707" t="str">
        <f>CONCATENATE("WP-BC, line ",VLOOKUP(D107,'WP-BC'!$A$18:$N$341,2,FALSE))</f>
        <v>WP-BC, line 1m</v>
      </c>
      <c r="G107" s="1395">
        <v>389</v>
      </c>
      <c r="H107" s="1647" t="s">
        <v>161</v>
      </c>
      <c r="I107" s="1394" t="s">
        <v>1930</v>
      </c>
      <c r="J107" s="789"/>
      <c r="K107" s="1314">
        <f>VLOOKUP($D107,'WP-BC'!$A$1:$N$352,7,FALSE)</f>
        <v>13816</v>
      </c>
      <c r="L107" s="1314">
        <f>VLOOKUP($D107,'WP-BC'!$A$1:$N$352,8,FALSE)</f>
        <v>0</v>
      </c>
      <c r="M107" s="1315">
        <f t="shared" ref="M107:M117" si="42">+K107-L107</f>
        <v>13816</v>
      </c>
      <c r="N107" s="1314">
        <f>VLOOKUP($D107,'WP-BC'!$A$1:$N$352,10,FALSE)</f>
        <v>0</v>
      </c>
      <c r="O107" s="1314">
        <f>VLOOKUP($D107,'WP-BC'!$A$1:$N$352,11,FALSE)</f>
        <v>6858</v>
      </c>
      <c r="P107" s="1314">
        <f>VLOOKUP($D107,'WP-BC'!$A$1:$N$352,12,FALSE)</f>
        <v>0</v>
      </c>
      <c r="Q107" s="1315">
        <f t="shared" ref="Q107:Q117" si="43">+O107-P107</f>
        <v>6858</v>
      </c>
      <c r="R107" s="1314">
        <f>VLOOKUP($D107,'WP-BC'!$A$1:$N$352,14,FALSE)</f>
        <v>0</v>
      </c>
      <c r="S107" s="793">
        <v>13816</v>
      </c>
      <c r="T107" s="794"/>
      <c r="U107" s="793">
        <v>0</v>
      </c>
      <c r="V107" s="794"/>
      <c r="W107" s="793">
        <f t="shared" ref="W107:W117" si="44">+S107-U107</f>
        <v>13816</v>
      </c>
    </row>
    <row r="108" spans="1:23" s="795" customFormat="1">
      <c r="A108" s="789" t="s">
        <v>148</v>
      </c>
      <c r="B108" s="790" t="s">
        <v>244</v>
      </c>
      <c r="C108" s="791" t="s">
        <v>161</v>
      </c>
      <c r="D108" s="1305" t="str">
        <f t="shared" si="1"/>
        <v>POLETTI  (Astoria)390Structures &amp; Improvements</v>
      </c>
      <c r="E108" s="1331" t="s">
        <v>1631</v>
      </c>
      <c r="F108" s="707" t="str">
        <f>CONCATENATE("WP-BC, line ",VLOOKUP(D108,'WP-BC'!$A$18:$N$341,2,FALSE))</f>
        <v>WP-BC, line 12cm</v>
      </c>
      <c r="G108" s="1395">
        <v>390</v>
      </c>
      <c r="H108" s="1647" t="s">
        <v>161</v>
      </c>
      <c r="I108" s="1394" t="s">
        <v>69</v>
      </c>
      <c r="J108" s="789"/>
      <c r="K108" s="1314">
        <f>VLOOKUP($D108,'WP-BC'!$A$1:$N$352,7,FALSE)</f>
        <v>1576650.3900000001</v>
      </c>
      <c r="L108" s="1314">
        <f>VLOOKUP($D108,'WP-BC'!$A$1:$N$352,8,FALSE)</f>
        <v>1223970</v>
      </c>
      <c r="M108" s="1315">
        <f t="shared" si="42"/>
        <v>352680.39000000013</v>
      </c>
      <c r="N108" s="1314">
        <f>VLOOKUP($D108,'WP-BC'!$A$1:$N$352,10,FALSE)</f>
        <v>31534</v>
      </c>
      <c r="O108" s="1314">
        <f>VLOOKUP($D108,'WP-BC'!$A$1:$N$352,11,FALSE)</f>
        <v>1576650.3900000001</v>
      </c>
      <c r="P108" s="1314">
        <f>VLOOKUP($D108,'WP-BC'!$A$1:$N$352,12,FALSE)</f>
        <v>1192436</v>
      </c>
      <c r="Q108" s="1315">
        <f t="shared" si="43"/>
        <v>384214.39000000013</v>
      </c>
      <c r="R108" s="1314">
        <f>VLOOKUP($D108,'WP-BC'!$A$1:$N$352,14,FALSE)</f>
        <v>26115</v>
      </c>
      <c r="S108" s="793">
        <v>1083781</v>
      </c>
      <c r="T108" s="794"/>
      <c r="U108" s="793">
        <v>954097</v>
      </c>
      <c r="V108" s="794"/>
      <c r="W108" s="793">
        <f t="shared" si="44"/>
        <v>129684</v>
      </c>
    </row>
    <row r="109" spans="1:23" s="795" customFormat="1">
      <c r="A109" s="789" t="s">
        <v>148</v>
      </c>
      <c r="B109" s="790" t="s">
        <v>244</v>
      </c>
      <c r="C109" s="791" t="s">
        <v>161</v>
      </c>
      <c r="D109" s="1305" t="str">
        <f t="shared" si="1"/>
        <v>POLETTI  (Astoria)391Office Furniture &amp; Equipment</v>
      </c>
      <c r="E109" s="1331" t="s">
        <v>1632</v>
      </c>
      <c r="F109" s="707" t="str">
        <f>CONCATENATE("WP-BC, line ",VLOOKUP(D109,'WP-BC'!$A$18:$N$341,2,FALSE))</f>
        <v>WP-BC, line 12cn</v>
      </c>
      <c r="G109" s="1395">
        <v>391</v>
      </c>
      <c r="H109" s="1647" t="s">
        <v>161</v>
      </c>
      <c r="I109" s="1394" t="s">
        <v>76</v>
      </c>
      <c r="J109" s="789"/>
      <c r="K109" s="1314">
        <f>VLOOKUP($D109,'WP-BC'!$A$1:$N$352,7,FALSE)</f>
        <v>833108.47999999998</v>
      </c>
      <c r="L109" s="1314">
        <f>VLOOKUP($D109,'WP-BC'!$A$1:$N$352,8,FALSE)</f>
        <v>833108.47999999998</v>
      </c>
      <c r="M109" s="1315">
        <f t="shared" si="42"/>
        <v>0</v>
      </c>
      <c r="N109" s="1314">
        <f>VLOOKUP($D109,'WP-BC'!$A$1:$N$352,10,FALSE)</f>
        <v>0</v>
      </c>
      <c r="O109" s="1314">
        <f>VLOOKUP($D109,'WP-BC'!$A$1:$N$352,11,FALSE)</f>
        <v>833108.47999999998</v>
      </c>
      <c r="P109" s="1314">
        <f>VLOOKUP($D109,'WP-BC'!$A$1:$N$352,12,FALSE)</f>
        <v>833108.47999999998</v>
      </c>
      <c r="Q109" s="1315">
        <f t="shared" si="43"/>
        <v>0</v>
      </c>
      <c r="R109" s="1314">
        <f>VLOOKUP($D109,'WP-BC'!$A$1:$N$352,14,FALSE)</f>
        <v>0</v>
      </c>
      <c r="S109" s="793">
        <v>837882</v>
      </c>
      <c r="T109" s="794"/>
      <c r="U109" s="793">
        <v>999305</v>
      </c>
      <c r="V109" s="794"/>
      <c r="W109" s="793">
        <f t="shared" si="44"/>
        <v>-161423</v>
      </c>
    </row>
    <row r="110" spans="1:23" s="795" customFormat="1">
      <c r="A110" s="789" t="s">
        <v>148</v>
      </c>
      <c r="B110" s="790" t="s">
        <v>244</v>
      </c>
      <c r="C110" s="791" t="s">
        <v>161</v>
      </c>
      <c r="D110" s="1305" t="str">
        <f t="shared" si="1"/>
        <v>POLETTI  (Astoria)392Transportation Equipment</v>
      </c>
      <c r="E110" s="1331" t="s">
        <v>1633</v>
      </c>
      <c r="F110" s="707" t="str">
        <f>CONCATENATE("WP-BC, line ",VLOOKUP(D110,'WP-BC'!$A$18:$N$341,2,FALSE))</f>
        <v>WP-BC, line 12co</v>
      </c>
      <c r="G110" s="1395">
        <v>392</v>
      </c>
      <c r="H110" s="1647" t="s">
        <v>161</v>
      </c>
      <c r="I110" s="1394" t="s">
        <v>77</v>
      </c>
      <c r="J110" s="789"/>
      <c r="K110" s="1314">
        <f>VLOOKUP($D110,'WP-BC'!$A$1:$N$352,7,FALSE)</f>
        <v>57156.34</v>
      </c>
      <c r="L110" s="1314">
        <f>VLOOKUP($D110,'WP-BC'!$A$1:$N$352,8,FALSE)</f>
        <v>57156.629999999976</v>
      </c>
      <c r="M110" s="1315">
        <f t="shared" si="42"/>
        <v>-0.28999999997904524</v>
      </c>
      <c r="N110" s="1314">
        <f>VLOOKUP($D110,'WP-BC'!$A$1:$N$352,10,FALSE)</f>
        <v>0</v>
      </c>
      <c r="O110" s="1314">
        <f>VLOOKUP($D110,'WP-BC'!$A$1:$N$352,11,FALSE)</f>
        <v>190358.34</v>
      </c>
      <c r="P110" s="1314">
        <f>VLOOKUP($D110,'WP-BC'!$A$1:$N$352,12,FALSE)</f>
        <v>190358.62999999998</v>
      </c>
      <c r="Q110" s="1315">
        <f t="shared" si="43"/>
        <v>-0.28999999997904524</v>
      </c>
      <c r="R110" s="1314">
        <f>VLOOKUP($D110,'WP-BC'!$A$1:$N$352,14,FALSE)</f>
        <v>0</v>
      </c>
      <c r="S110" s="793">
        <v>541246.62</v>
      </c>
      <c r="T110" s="794"/>
      <c r="U110" s="793">
        <v>429233.08</v>
      </c>
      <c r="V110" s="794"/>
      <c r="W110" s="793">
        <f t="shared" si="44"/>
        <v>112013.53999999998</v>
      </c>
    </row>
    <row r="111" spans="1:23" s="795" customFormat="1">
      <c r="A111" s="789" t="s">
        <v>148</v>
      </c>
      <c r="B111" s="790" t="s">
        <v>244</v>
      </c>
      <c r="C111" s="791" t="s">
        <v>161</v>
      </c>
      <c r="D111" s="1305" t="str">
        <f t="shared" si="1"/>
        <v>POLETTI  (Astoria)393Stores Equipment</v>
      </c>
      <c r="E111" s="1331" t="s">
        <v>1634</v>
      </c>
      <c r="F111" s="707" t="str">
        <f>CONCATENATE("WP-BC, line ",VLOOKUP(D111,'WP-BC'!$A$18:$N$341,2,FALSE))</f>
        <v>WP-BC, line 12cp</v>
      </c>
      <c r="G111" s="1395">
        <v>393</v>
      </c>
      <c r="H111" s="1647" t="s">
        <v>161</v>
      </c>
      <c r="I111" s="1394" t="s">
        <v>78</v>
      </c>
      <c r="J111" s="789"/>
      <c r="K111" s="1314">
        <f>VLOOKUP($D111,'WP-BC'!$A$1:$N$352,7,FALSE)</f>
        <v>108837.62</v>
      </c>
      <c r="L111" s="1314">
        <f>VLOOKUP($D111,'WP-BC'!$A$1:$N$352,8,FALSE)</f>
        <v>100899.62</v>
      </c>
      <c r="M111" s="1315">
        <f t="shared" si="42"/>
        <v>7938</v>
      </c>
      <c r="N111" s="1314">
        <f>VLOOKUP($D111,'WP-BC'!$A$1:$N$352,10,FALSE)</f>
        <v>825</v>
      </c>
      <c r="O111" s="1314">
        <f>VLOOKUP($D111,'WP-BC'!$A$1:$N$352,11,FALSE)</f>
        <v>108837.62</v>
      </c>
      <c r="P111" s="1314">
        <f>VLOOKUP($D111,'WP-BC'!$A$1:$N$352,12,FALSE)</f>
        <v>100074.62</v>
      </c>
      <c r="Q111" s="1315">
        <f t="shared" si="43"/>
        <v>8763</v>
      </c>
      <c r="R111" s="1314">
        <f>VLOOKUP($D111,'WP-BC'!$A$1:$N$352,14,FALSE)</f>
        <v>825</v>
      </c>
      <c r="S111" s="793">
        <v>108837.62</v>
      </c>
      <c r="T111" s="794"/>
      <c r="U111" s="793">
        <v>94091.62</v>
      </c>
      <c r="V111" s="794"/>
      <c r="W111" s="793">
        <f t="shared" si="44"/>
        <v>14746</v>
      </c>
    </row>
    <row r="112" spans="1:23" s="795" customFormat="1">
      <c r="A112" s="789" t="s">
        <v>148</v>
      </c>
      <c r="B112" s="790" t="s">
        <v>244</v>
      </c>
      <c r="C112" s="791" t="s">
        <v>161</v>
      </c>
      <c r="D112" s="1305" t="str">
        <f t="shared" ref="D112:D137" si="45">CONCATENATE(H112,G112,I112)</f>
        <v>POLETTI  (Astoria)394Tools, Shop &amp; Garage Equipment</v>
      </c>
      <c r="E112" s="1331" t="s">
        <v>1635</v>
      </c>
      <c r="F112" s="707" t="str">
        <f>CONCATENATE("WP-BC, line ",VLOOKUP(D112,'WP-BC'!$A$18:$N$341,2,FALSE))</f>
        <v>WP-BC, line 12cq</v>
      </c>
      <c r="G112" s="1395">
        <v>394</v>
      </c>
      <c r="H112" s="1647" t="s">
        <v>161</v>
      </c>
      <c r="I112" s="1394" t="s">
        <v>79</v>
      </c>
      <c r="J112" s="789"/>
      <c r="K112" s="1314">
        <f>VLOOKUP($D112,'WP-BC'!$A$1:$N$352,7,FALSE)</f>
        <v>354788.88999999996</v>
      </c>
      <c r="L112" s="1314">
        <f>VLOOKUP($D112,'WP-BC'!$A$1:$N$352,8,FALSE)</f>
        <v>104268.44999999998</v>
      </c>
      <c r="M112" s="1315">
        <f t="shared" si="42"/>
        <v>250520.43999999997</v>
      </c>
      <c r="N112" s="1314">
        <f>VLOOKUP($D112,'WP-BC'!$A$1:$N$352,10,FALSE)</f>
        <v>17756</v>
      </c>
      <c r="O112" s="1314">
        <f>VLOOKUP($D112,'WP-BC'!$A$1:$N$352,11,FALSE)</f>
        <v>349974.88999999996</v>
      </c>
      <c r="P112" s="1314">
        <f>VLOOKUP($D112,'WP-BC'!$A$1:$N$352,12,FALSE)</f>
        <v>86512.449999999983</v>
      </c>
      <c r="Q112" s="1315">
        <f t="shared" si="43"/>
        <v>263462.43999999994</v>
      </c>
      <c r="R112" s="1314">
        <f>VLOOKUP($D112,'WP-BC'!$A$1:$N$352,14,FALSE)</f>
        <v>14510.68</v>
      </c>
      <c r="S112" s="793">
        <v>6400</v>
      </c>
      <c r="T112" s="794"/>
      <c r="U112" s="793">
        <v>3191</v>
      </c>
      <c r="V112" s="794"/>
      <c r="W112" s="793">
        <f t="shared" si="44"/>
        <v>3209</v>
      </c>
    </row>
    <row r="113" spans="1:23" s="795" customFormat="1">
      <c r="A113" s="789" t="s">
        <v>148</v>
      </c>
      <c r="B113" s="790" t="s">
        <v>244</v>
      </c>
      <c r="C113" s="791" t="s">
        <v>161</v>
      </c>
      <c r="D113" s="1305" t="str">
        <f t="shared" si="45"/>
        <v>POLETTI  (Astoria)395Laboratory Equipment</v>
      </c>
      <c r="E113" s="1331" t="s">
        <v>1655</v>
      </c>
      <c r="F113" s="707" t="str">
        <f>CONCATENATE("WP-BC, line ",VLOOKUP(D113,'WP-BC'!$A$18:$N$341,2,FALSE))</f>
        <v>WP-BC, line 12cr</v>
      </c>
      <c r="G113" s="1395">
        <v>395</v>
      </c>
      <c r="H113" s="1647" t="s">
        <v>161</v>
      </c>
      <c r="I113" s="1394" t="s">
        <v>80</v>
      </c>
      <c r="J113" s="789"/>
      <c r="K113" s="1314">
        <f>VLOOKUP($D113,'WP-BC'!$A$1:$N$352,7,FALSE)</f>
        <v>1622974.9100000001</v>
      </c>
      <c r="L113" s="1314">
        <f>VLOOKUP($D113,'WP-BC'!$A$1:$N$352,8,FALSE)</f>
        <v>1642566.9300000002</v>
      </c>
      <c r="M113" s="1315">
        <f t="shared" si="42"/>
        <v>-19592.020000000019</v>
      </c>
      <c r="N113" s="1314">
        <f>VLOOKUP($D113,'WP-BC'!$A$1:$N$352,10,FALSE)</f>
        <v>19187</v>
      </c>
      <c r="O113" s="1314">
        <f>VLOOKUP($D113,'WP-BC'!$A$1:$N$352,11,FALSE)</f>
        <v>1622974.9100000001</v>
      </c>
      <c r="P113" s="1314">
        <f>VLOOKUP($D113,'WP-BC'!$A$1:$N$352,12,FALSE)</f>
        <v>1623379.9300000002</v>
      </c>
      <c r="Q113" s="1315">
        <f t="shared" si="43"/>
        <v>-405.02000000001863</v>
      </c>
      <c r="R113" s="1314">
        <f>VLOOKUP($D113,'WP-BC'!$A$1:$N$352,14,FALSE)</f>
        <v>42187</v>
      </c>
      <c r="S113" s="793">
        <v>1394339.57</v>
      </c>
      <c r="T113" s="794"/>
      <c r="U113" s="793">
        <v>1342713.59</v>
      </c>
      <c r="V113" s="794"/>
      <c r="W113" s="793">
        <f t="shared" si="44"/>
        <v>51625.979999999981</v>
      </c>
    </row>
    <row r="114" spans="1:23" s="795" customFormat="1">
      <c r="A114" s="789" t="s">
        <v>148</v>
      </c>
      <c r="B114" s="790" t="s">
        <v>244</v>
      </c>
      <c r="C114" s="791" t="s">
        <v>161</v>
      </c>
      <c r="D114" s="1305" t="str">
        <f t="shared" si="45"/>
        <v>POLETTI  (Astoria)396Power Operated Equipment</v>
      </c>
      <c r="E114" s="1331" t="s">
        <v>1656</v>
      </c>
      <c r="F114" s="707" t="str">
        <f>CONCATENATE("WP-BC, line ",VLOOKUP(D114,'WP-BC'!$A$18:$N$341,2,FALSE))</f>
        <v>WP-BC, line 12cs</v>
      </c>
      <c r="G114" s="1395">
        <v>396</v>
      </c>
      <c r="H114" s="1647" t="s">
        <v>161</v>
      </c>
      <c r="I114" s="1394" t="s">
        <v>81</v>
      </c>
      <c r="J114" s="789"/>
      <c r="K114" s="1314">
        <f>VLOOKUP($D114,'WP-BC'!$A$1:$N$352,7,FALSE)</f>
        <v>163077.91999999998</v>
      </c>
      <c r="L114" s="1314">
        <f>VLOOKUP($D114,'WP-BC'!$A$1:$N$352,8,FALSE)</f>
        <v>151870.90999999997</v>
      </c>
      <c r="M114" s="1315">
        <f t="shared" si="42"/>
        <v>11207.010000000009</v>
      </c>
      <c r="N114" s="1314">
        <f>VLOOKUP($D114,'WP-BC'!$A$1:$N$352,10,FALSE)</f>
        <v>2473</v>
      </c>
      <c r="O114" s="1314">
        <f>VLOOKUP($D114,'WP-BC'!$A$1:$N$352,11,FALSE)</f>
        <v>163077.93</v>
      </c>
      <c r="P114" s="1314">
        <f>VLOOKUP($D114,'WP-BC'!$A$1:$N$352,12,FALSE)</f>
        <v>148597.91999999998</v>
      </c>
      <c r="Q114" s="1315">
        <f t="shared" si="43"/>
        <v>14480.010000000009</v>
      </c>
      <c r="R114" s="1314">
        <f>VLOOKUP($D114,'WP-BC'!$A$1:$N$352,14,FALSE)</f>
        <v>1732</v>
      </c>
      <c r="S114" s="793">
        <v>198592</v>
      </c>
      <c r="T114" s="794"/>
      <c r="U114" s="793">
        <v>167153</v>
      </c>
      <c r="V114" s="794"/>
      <c r="W114" s="793">
        <f t="shared" si="44"/>
        <v>31439</v>
      </c>
    </row>
    <row r="115" spans="1:23" s="795" customFormat="1">
      <c r="A115" s="789" t="s">
        <v>148</v>
      </c>
      <c r="B115" s="790" t="s">
        <v>244</v>
      </c>
      <c r="C115" s="791" t="s">
        <v>161</v>
      </c>
      <c r="D115" s="1305" t="str">
        <f t="shared" si="45"/>
        <v>POLETTI  (Astoria)397Communication Equipment</v>
      </c>
      <c r="E115" s="1331" t="s">
        <v>1657</v>
      </c>
      <c r="F115" s="707" t="str">
        <f>CONCATENATE("WP-BC, line ",VLOOKUP(D115,'WP-BC'!$A$18:$N$341,2,FALSE))</f>
        <v>WP-BC, line 12ct</v>
      </c>
      <c r="G115" s="1395">
        <v>397</v>
      </c>
      <c r="H115" s="1647" t="s">
        <v>161</v>
      </c>
      <c r="I115" s="1394" t="s">
        <v>82</v>
      </c>
      <c r="J115" s="789"/>
      <c r="K115" s="1314">
        <f>VLOOKUP($D115,'WP-BC'!$A$1:$N$352,7,FALSE)</f>
        <v>443045</v>
      </c>
      <c r="L115" s="1314">
        <f>VLOOKUP($D115,'WP-BC'!$A$1:$N$352,8,FALSE)</f>
        <v>427385</v>
      </c>
      <c r="M115" s="1315">
        <f t="shared" si="42"/>
        <v>15660</v>
      </c>
      <c r="N115" s="1314">
        <f>VLOOKUP($D115,'WP-BC'!$A$1:$N$352,10,FALSE)</f>
        <v>0</v>
      </c>
      <c r="O115" s="1314">
        <f>VLOOKUP($D115,'WP-BC'!$A$1:$N$352,11,FALSE)</f>
        <v>443045</v>
      </c>
      <c r="P115" s="1314">
        <f>VLOOKUP($D115,'WP-BC'!$A$1:$N$352,12,FALSE)</f>
        <v>427385</v>
      </c>
      <c r="Q115" s="1315">
        <f t="shared" si="43"/>
        <v>15660</v>
      </c>
      <c r="R115" s="1314">
        <f>VLOOKUP($D115,'WP-BC'!$A$1:$N$352,14,FALSE)</f>
        <v>0</v>
      </c>
      <c r="S115" s="793">
        <v>443045</v>
      </c>
      <c r="T115" s="794"/>
      <c r="U115" s="793">
        <v>254870</v>
      </c>
      <c r="V115" s="794"/>
      <c r="W115" s="793">
        <f t="shared" si="44"/>
        <v>188175</v>
      </c>
    </row>
    <row r="116" spans="1:23" s="795" customFormat="1">
      <c r="A116" s="789" t="s">
        <v>148</v>
      </c>
      <c r="B116" s="790" t="s">
        <v>244</v>
      </c>
      <c r="C116" s="791" t="s">
        <v>161</v>
      </c>
      <c r="D116" s="1305" t="str">
        <f t="shared" si="45"/>
        <v>POLETTI  (Astoria)398Miscellaneous Equipment</v>
      </c>
      <c r="E116" s="1331" t="s">
        <v>1658</v>
      </c>
      <c r="F116" s="707" t="str">
        <f>CONCATENATE("WP-BC, line ",VLOOKUP(D116,'WP-BC'!$A$18:$N$341,2,FALSE))</f>
        <v>WP-BC, line 12cu</v>
      </c>
      <c r="G116" s="1395">
        <v>398</v>
      </c>
      <c r="H116" s="1647" t="s">
        <v>161</v>
      </c>
      <c r="I116" s="1394" t="s">
        <v>83</v>
      </c>
      <c r="J116" s="789"/>
      <c r="K116" s="1314">
        <f>VLOOKUP($D116,'WP-BC'!$A$1:$N$352,7,FALSE)</f>
        <v>2960625.65</v>
      </c>
      <c r="L116" s="1314">
        <f>VLOOKUP($D116,'WP-BC'!$A$1:$N$352,8,FALSE)</f>
        <v>2963713.93</v>
      </c>
      <c r="M116" s="1315">
        <f t="shared" si="42"/>
        <v>-3088.2800000002608</v>
      </c>
      <c r="N116" s="1314">
        <f>VLOOKUP($D116,'WP-BC'!$A$1:$N$352,10,FALSE)</f>
        <v>1113</v>
      </c>
      <c r="O116" s="1314">
        <f>VLOOKUP($D116,'WP-BC'!$A$1:$N$352,11,FALSE)</f>
        <v>2960625.65</v>
      </c>
      <c r="P116" s="1314">
        <f>VLOOKUP($D116,'WP-BC'!$A$1:$N$352,12,FALSE)</f>
        <v>2962600.93</v>
      </c>
      <c r="Q116" s="1315">
        <f t="shared" si="43"/>
        <v>-1975.2800000002608</v>
      </c>
      <c r="R116" s="1314">
        <f>VLOOKUP($D116,'WP-BC'!$A$1:$N$352,14,FALSE)</f>
        <v>1095</v>
      </c>
      <c r="S116" s="793">
        <v>3131817.34</v>
      </c>
      <c r="T116" s="794"/>
      <c r="U116" s="793">
        <v>3047113.62</v>
      </c>
      <c r="V116" s="794"/>
      <c r="W116" s="793">
        <f t="shared" si="44"/>
        <v>84703.719999999739</v>
      </c>
    </row>
    <row r="117" spans="1:23" s="795" customFormat="1">
      <c r="A117" s="789" t="s">
        <v>148</v>
      </c>
      <c r="B117" s="790" t="s">
        <v>244</v>
      </c>
      <c r="C117" s="791" t="s">
        <v>161</v>
      </c>
      <c r="D117" s="1305" t="str">
        <f t="shared" si="45"/>
        <v>POLETTI  (Astoria)399Other Tangible Property</v>
      </c>
      <c r="E117" s="1331" t="s">
        <v>1659</v>
      </c>
      <c r="F117" s="707" t="str">
        <f>CONCATENATE("WP-BC, line ",VLOOKUP(D117,'WP-BC'!$A$18:$N$341,2,FALSE))</f>
        <v>WP-BC, line 12cv</v>
      </c>
      <c r="G117" s="1395">
        <v>399</v>
      </c>
      <c r="H117" s="1647" t="s">
        <v>161</v>
      </c>
      <c r="I117" s="1394" t="s">
        <v>84</v>
      </c>
      <c r="J117" s="789"/>
      <c r="K117" s="1314">
        <f>VLOOKUP($D117,'WP-BC'!$A$1:$N$352,7,FALSE)</f>
        <v>322930</v>
      </c>
      <c r="L117" s="1314">
        <f>VLOOKUP($D117,'WP-BC'!$A$1:$N$352,8,FALSE)</f>
        <v>322930</v>
      </c>
      <c r="M117" s="1315">
        <f t="shared" si="42"/>
        <v>0</v>
      </c>
      <c r="N117" s="1314">
        <f>VLOOKUP($D117,'WP-BC'!$A$1:$N$352,10,FALSE)</f>
        <v>0</v>
      </c>
      <c r="O117" s="1314">
        <f>VLOOKUP($D117,'WP-BC'!$A$1:$N$352,11,FALSE)</f>
        <v>322930</v>
      </c>
      <c r="P117" s="1314">
        <f>VLOOKUP($D117,'WP-BC'!$A$1:$N$352,12,FALSE)</f>
        <v>322930</v>
      </c>
      <c r="Q117" s="1315">
        <f t="shared" si="43"/>
        <v>0</v>
      </c>
      <c r="R117" s="1314">
        <f>VLOOKUP($D117,'WP-BC'!$A$1:$N$352,14,FALSE)</f>
        <v>0</v>
      </c>
      <c r="S117" s="796">
        <v>322930</v>
      </c>
      <c r="T117" s="797"/>
      <c r="U117" s="796">
        <v>322930</v>
      </c>
      <c r="V117" s="797"/>
      <c r="W117" s="796">
        <f t="shared" si="44"/>
        <v>0</v>
      </c>
    </row>
    <row r="118" spans="1:23" s="795" customFormat="1">
      <c r="A118" s="789"/>
      <c r="B118" s="790"/>
      <c r="C118" s="791"/>
      <c r="D118" s="1305"/>
      <c r="E118" s="1331" t="s">
        <v>541</v>
      </c>
      <c r="F118" s="1394"/>
      <c r="G118" s="1395"/>
      <c r="H118" s="1396"/>
      <c r="I118" s="1394"/>
      <c r="J118" s="789"/>
      <c r="K118" s="1316" t="s">
        <v>1166</v>
      </c>
      <c r="L118" s="1316" t="s">
        <v>1166</v>
      </c>
      <c r="M118" s="1316" t="s">
        <v>1166</v>
      </c>
      <c r="N118" s="1316" t="s">
        <v>1166</v>
      </c>
      <c r="O118" s="1316" t="s">
        <v>1166</v>
      </c>
      <c r="P118" s="1316" t="s">
        <v>1166</v>
      </c>
      <c r="Q118" s="1316" t="s">
        <v>1166</v>
      </c>
      <c r="R118" s="1316" t="s">
        <v>1166</v>
      </c>
      <c r="S118" s="793"/>
      <c r="T118" s="794"/>
      <c r="U118" s="793"/>
      <c r="V118" s="794"/>
      <c r="W118" s="793"/>
    </row>
    <row r="119" spans="1:23" s="795" customFormat="1">
      <c r="A119" s="789"/>
      <c r="B119" s="790"/>
      <c r="C119" s="791"/>
      <c r="D119" s="1305"/>
      <c r="E119" s="1331"/>
      <c r="F119" s="1331"/>
      <c r="G119" s="792"/>
      <c r="H119" s="789"/>
      <c r="I119" s="789"/>
      <c r="J119" s="789"/>
      <c r="K119" s="1314"/>
      <c r="L119" s="1314"/>
      <c r="M119" s="1314"/>
      <c r="N119" s="1314"/>
      <c r="O119" s="1314"/>
      <c r="P119" s="1314"/>
      <c r="Q119" s="1314"/>
      <c r="R119" s="1314"/>
      <c r="S119" s="793"/>
      <c r="T119" s="794"/>
      <c r="U119" s="793"/>
      <c r="V119" s="794"/>
      <c r="W119" s="793"/>
    </row>
    <row r="120" spans="1:23" s="795" customFormat="1">
      <c r="A120" s="789"/>
      <c r="B120" s="789"/>
      <c r="C120" s="798"/>
      <c r="D120" s="1305" t="str">
        <f t="shared" si="45"/>
        <v>SUBTOTAL Poletti</v>
      </c>
      <c r="E120" s="1335">
        <v>21</v>
      </c>
      <c r="F120" s="1335"/>
      <c r="G120" s="799" t="s">
        <v>238</v>
      </c>
      <c r="H120" s="789"/>
      <c r="I120" s="789"/>
      <c r="J120" s="789"/>
      <c r="K120" s="1313">
        <f>SUM(K107:K118)</f>
        <v>8457011.2000000011</v>
      </c>
      <c r="L120" s="1313">
        <f t="shared" ref="L120:R120" si="46">SUM(L107:L118)</f>
        <v>7827869.9500000011</v>
      </c>
      <c r="M120" s="1313">
        <f t="shared" si="46"/>
        <v>629141.24999999988</v>
      </c>
      <c r="N120" s="1313">
        <f t="shared" si="46"/>
        <v>72888</v>
      </c>
      <c r="O120" s="1313">
        <f t="shared" si="46"/>
        <v>8578441.2100000009</v>
      </c>
      <c r="P120" s="1313">
        <f t="shared" si="46"/>
        <v>7887383.9600000009</v>
      </c>
      <c r="Q120" s="1313">
        <f t="shared" si="46"/>
        <v>691057.24999999977</v>
      </c>
      <c r="R120" s="1313">
        <f t="shared" si="46"/>
        <v>86464.68</v>
      </c>
      <c r="S120" s="803">
        <f t="shared" ref="S120" si="47">SUM(S107:S117)</f>
        <v>8082687.1500000004</v>
      </c>
      <c r="T120" s="794"/>
      <c r="U120" s="803">
        <f>SUM(U107:U117)</f>
        <v>7614697.9100000001</v>
      </c>
      <c r="V120" s="794"/>
      <c r="W120" s="803">
        <f>SUM(W107:W117)</f>
        <v>467989.2399999997</v>
      </c>
    </row>
    <row r="121" spans="1:23" s="149" customFormat="1" ht="24.75" customHeight="1">
      <c r="A121" s="398"/>
      <c r="B121" s="398"/>
      <c r="C121" s="400"/>
      <c r="D121" s="1305" t="str">
        <f t="shared" si="45"/>
        <v/>
      </c>
      <c r="E121" s="1335">
        <v>22</v>
      </c>
      <c r="F121" s="1331"/>
      <c r="G121" s="403"/>
      <c r="H121" s="398"/>
      <c r="I121" s="398"/>
      <c r="J121" s="398"/>
      <c r="K121" s="1317"/>
      <c r="L121" s="1317"/>
      <c r="M121" s="1317"/>
      <c r="N121" s="1317"/>
      <c r="O121" s="1317"/>
      <c r="P121" s="1317"/>
      <c r="Q121" s="1317"/>
      <c r="R121" s="1317"/>
      <c r="S121" s="166"/>
      <c r="T121" s="164"/>
      <c r="U121" s="166"/>
      <c r="V121" s="164"/>
      <c r="W121" s="166"/>
    </row>
    <row r="122" spans="1:23" s="795" customFormat="1">
      <c r="A122" s="789" t="s">
        <v>148</v>
      </c>
      <c r="B122" s="790" t="s">
        <v>244</v>
      </c>
      <c r="C122" s="791" t="s">
        <v>159</v>
      </c>
      <c r="D122" s="1305" t="str">
        <f t="shared" si="45"/>
        <v>BRENTWOOD  (Long Island)398Miscellaneous Equipment</v>
      </c>
      <c r="E122" s="1331" t="s">
        <v>1322</v>
      </c>
      <c r="F122" s="707" t="str">
        <f>CONCATENATE("WP-BC, line ",VLOOKUP(D122,'WP-BC'!$A$18:$N$341,2,FALSE))</f>
        <v>WP-BC, line 12bt</v>
      </c>
      <c r="G122" s="1395">
        <v>398</v>
      </c>
      <c r="H122" s="1647" t="s">
        <v>159</v>
      </c>
      <c r="I122" s="1394" t="s">
        <v>83</v>
      </c>
      <c r="J122" s="789"/>
      <c r="K122" s="1314">
        <f>VLOOKUP($D122,'WP-BC'!$A$1:$N$352,7,FALSE)</f>
        <v>181336.84</v>
      </c>
      <c r="L122" s="1314">
        <f>VLOOKUP($D122,'WP-BC'!$A$1:$N$352,8,FALSE)</f>
        <v>181337.84</v>
      </c>
      <c r="M122" s="1315">
        <f t="shared" ref="M122:M134" si="48">+K122-L122</f>
        <v>-1</v>
      </c>
      <c r="N122" s="1314">
        <f>VLOOKUP($D122,'WP-BC'!$A$1:$N$352,10,FALSE)</f>
        <v>0</v>
      </c>
      <c r="O122" s="1314">
        <f>VLOOKUP($D122,'WP-BC'!$A$1:$N$352,11,FALSE)</f>
        <v>181336.84</v>
      </c>
      <c r="P122" s="1314">
        <f>VLOOKUP($D122,'WP-BC'!$A$1:$N$352,12,FALSE)</f>
        <v>181337.84</v>
      </c>
      <c r="Q122" s="1315">
        <f t="shared" ref="Q122:Q134" si="49">+O122-P122</f>
        <v>-1</v>
      </c>
      <c r="R122" s="1314">
        <f>VLOOKUP($D122,'WP-BC'!$A$1:$N$352,14,FALSE)</f>
        <v>0</v>
      </c>
      <c r="S122" s="793">
        <v>181336.84</v>
      </c>
      <c r="T122" s="794"/>
      <c r="U122" s="793">
        <v>147903.84</v>
      </c>
      <c r="V122" s="794"/>
      <c r="W122" s="793">
        <f t="shared" ref="W122:W134" si="50">+S122-U122</f>
        <v>33433</v>
      </c>
    </row>
    <row r="123" spans="1:23" s="795" customFormat="1">
      <c r="A123" s="789" t="s">
        <v>148</v>
      </c>
      <c r="B123" s="790" t="s">
        <v>244</v>
      </c>
      <c r="C123" s="791" t="s">
        <v>156</v>
      </c>
      <c r="D123" s="1305" t="str">
        <f t="shared" si="45"/>
        <v>GOWANUS  (Brooklyn)396Power Operated Equipment</v>
      </c>
      <c r="E123" s="1331" t="s">
        <v>1323</v>
      </c>
      <c r="F123" s="707" t="str">
        <f>CONCATENATE("WP-BC, line ",VLOOKUP(D123,'WP-BC'!$A$18:$N$341,2,FALSE))</f>
        <v>WP-BC, line 12cc</v>
      </c>
      <c r="G123" s="1395">
        <v>396</v>
      </c>
      <c r="H123" s="1647" t="s">
        <v>156</v>
      </c>
      <c r="I123" s="1394" t="s">
        <v>81</v>
      </c>
      <c r="J123" s="789"/>
      <c r="K123" s="1314">
        <f>VLOOKUP($D123,'WP-BC'!$A$1:$N$352,7,FALSE)</f>
        <v>28597</v>
      </c>
      <c r="L123" s="1314">
        <f>VLOOKUP($D123,'WP-BC'!$A$1:$N$352,8,FALSE)</f>
        <v>24178</v>
      </c>
      <c r="M123" s="1315">
        <f t="shared" si="48"/>
        <v>4419</v>
      </c>
      <c r="N123" s="1314">
        <f>VLOOKUP($D123,'WP-BC'!$A$1:$N$352,10,FALSE)</f>
        <v>672</v>
      </c>
      <c r="O123" s="1314">
        <f>VLOOKUP($D123,'WP-BC'!$A$1:$N$352,11,FALSE)</f>
        <v>28597</v>
      </c>
      <c r="P123" s="1314">
        <f>VLOOKUP($D123,'WP-BC'!$A$1:$N$352,12,FALSE)</f>
        <v>23506</v>
      </c>
      <c r="Q123" s="1315">
        <f t="shared" si="49"/>
        <v>5091</v>
      </c>
      <c r="R123" s="1314">
        <f>VLOOKUP($D123,'WP-BC'!$A$1:$N$352,14,FALSE)</f>
        <v>672</v>
      </c>
      <c r="S123" s="793">
        <v>21882</v>
      </c>
      <c r="T123" s="794"/>
      <c r="U123" s="793">
        <v>11675</v>
      </c>
      <c r="V123" s="794"/>
      <c r="W123" s="793">
        <f t="shared" si="50"/>
        <v>10207</v>
      </c>
    </row>
    <row r="124" spans="1:23" s="795" customFormat="1">
      <c r="A124" s="789" t="s">
        <v>148</v>
      </c>
      <c r="B124" s="790" t="s">
        <v>244</v>
      </c>
      <c r="C124" s="791" t="s">
        <v>156</v>
      </c>
      <c r="D124" s="1305" t="str">
        <f t="shared" si="45"/>
        <v>GOWANUS  (Brooklyn)398Miscellaneous Equipment</v>
      </c>
      <c r="E124" s="1331" t="s">
        <v>1324</v>
      </c>
      <c r="F124" s="707" t="str">
        <f>CONCATENATE("WP-BC, line ",VLOOKUP(D124,'WP-BC'!$A$18:$N$341,2,FALSE))</f>
        <v>WP-BC, line 12cd</v>
      </c>
      <c r="G124" s="1395">
        <v>398</v>
      </c>
      <c r="H124" s="1647" t="s">
        <v>156</v>
      </c>
      <c r="I124" s="1394" t="s">
        <v>83</v>
      </c>
      <c r="J124" s="789"/>
      <c r="K124" s="1314">
        <f>VLOOKUP($D124,'WP-BC'!$A$1:$N$352,7,FALSE)</f>
        <v>427955.33999999997</v>
      </c>
      <c r="L124" s="1314">
        <f>VLOOKUP($D124,'WP-BC'!$A$1:$N$352,8,FALSE)</f>
        <v>427263.33999999997</v>
      </c>
      <c r="M124" s="1315">
        <f t="shared" si="48"/>
        <v>692</v>
      </c>
      <c r="N124" s="1314">
        <f>VLOOKUP($D124,'WP-BC'!$A$1:$N$352,10,FALSE)</f>
        <v>1196</v>
      </c>
      <c r="O124" s="1314">
        <f>VLOOKUP($D124,'WP-BC'!$A$1:$N$352,11,FALSE)</f>
        <v>427955.33999999997</v>
      </c>
      <c r="P124" s="1314">
        <f>VLOOKUP($D124,'WP-BC'!$A$1:$N$352,12,FALSE)</f>
        <v>426067.33999999997</v>
      </c>
      <c r="Q124" s="1315">
        <f t="shared" si="49"/>
        <v>1888</v>
      </c>
      <c r="R124" s="1314">
        <f>VLOOKUP($D124,'WP-BC'!$A$1:$N$352,14,FALSE)</f>
        <v>1196</v>
      </c>
      <c r="S124" s="793">
        <v>427955.33999999997</v>
      </c>
      <c r="T124" s="794"/>
      <c r="U124" s="793">
        <v>373839.33999999997</v>
      </c>
      <c r="V124" s="794"/>
      <c r="W124" s="793">
        <f t="shared" si="50"/>
        <v>54116</v>
      </c>
    </row>
    <row r="125" spans="1:23" s="795" customFormat="1">
      <c r="A125" s="789" t="s">
        <v>148</v>
      </c>
      <c r="B125" s="790" t="s">
        <v>244</v>
      </c>
      <c r="C125" s="791" t="s">
        <v>157</v>
      </c>
      <c r="D125" s="1305" t="str">
        <f t="shared" si="45"/>
        <v>HARLEM RIVER YARDS  (Bronx)396Power Operated Equipment</v>
      </c>
      <c r="E125" s="1331" t="s">
        <v>1325</v>
      </c>
      <c r="F125" s="707" t="str">
        <f>CONCATENATE("WP-BC, line ",VLOOKUP(D125,'WP-BC'!$A$18:$N$341,2,FALSE))</f>
        <v>WP-BC, line 12ce</v>
      </c>
      <c r="G125" s="1395">
        <v>396</v>
      </c>
      <c r="H125" s="1647" t="s">
        <v>157</v>
      </c>
      <c r="I125" s="1394" t="s">
        <v>81</v>
      </c>
      <c r="J125" s="789"/>
      <c r="K125" s="1314">
        <f>VLOOKUP($D125,'WP-BC'!$A$1:$N$352,7,FALSE)</f>
        <v>21882</v>
      </c>
      <c r="L125" s="1314">
        <f>VLOOKUP($D125,'WP-BC'!$A$1:$N$352,8,FALSE)</f>
        <v>21882</v>
      </c>
      <c r="M125" s="1315">
        <f t="shared" si="48"/>
        <v>0</v>
      </c>
      <c r="N125" s="1314">
        <f>VLOOKUP($D125,'WP-BC'!$A$1:$N$352,10,FALSE)</f>
        <v>0</v>
      </c>
      <c r="O125" s="1314">
        <f>VLOOKUP($D125,'WP-BC'!$A$1:$N$352,11,FALSE)</f>
        <v>21882</v>
      </c>
      <c r="P125" s="1314">
        <f>VLOOKUP($D125,'WP-BC'!$A$1:$N$352,12,FALSE)</f>
        <v>21882</v>
      </c>
      <c r="Q125" s="1315">
        <f t="shared" si="49"/>
        <v>0</v>
      </c>
      <c r="R125" s="1314">
        <f>VLOOKUP($D125,'WP-BC'!$A$1:$N$352,14,FALSE)</f>
        <v>0</v>
      </c>
      <c r="S125" s="793">
        <v>21882</v>
      </c>
      <c r="T125" s="794"/>
      <c r="U125" s="793">
        <v>11675</v>
      </c>
      <c r="V125" s="794"/>
      <c r="W125" s="793">
        <f t="shared" si="50"/>
        <v>10207</v>
      </c>
    </row>
    <row r="126" spans="1:23" s="795" customFormat="1">
      <c r="A126" s="789" t="s">
        <v>148</v>
      </c>
      <c r="B126" s="790" t="s">
        <v>244</v>
      </c>
      <c r="C126" s="791" t="s">
        <v>157</v>
      </c>
      <c r="D126" s="1305" t="str">
        <f t="shared" si="45"/>
        <v>HARLEM RIVER YARDS  (Bronx)398Miscellaneous Equipment</v>
      </c>
      <c r="E126" s="1331" t="s">
        <v>1326</v>
      </c>
      <c r="F126" s="707" t="str">
        <f>CONCATENATE("WP-BC, line ",VLOOKUP(D126,'WP-BC'!$A$18:$N$341,2,FALSE))</f>
        <v>WP-BC, line 12cf</v>
      </c>
      <c r="G126" s="1395">
        <v>398</v>
      </c>
      <c r="H126" s="1647" t="s">
        <v>157</v>
      </c>
      <c r="I126" s="1394" t="s">
        <v>83</v>
      </c>
      <c r="J126" s="789"/>
      <c r="K126" s="1314">
        <f>VLOOKUP($D126,'WP-BC'!$A$1:$N$352,7,FALSE)</f>
        <v>1166179.73</v>
      </c>
      <c r="L126" s="1314">
        <f>VLOOKUP($D126,'WP-BC'!$A$1:$N$352,8,FALSE)</f>
        <v>1165487.73</v>
      </c>
      <c r="M126" s="1315">
        <f t="shared" si="48"/>
        <v>692</v>
      </c>
      <c r="N126" s="1314">
        <f>VLOOKUP($D126,'WP-BC'!$A$1:$N$352,10,FALSE)</f>
        <v>1196</v>
      </c>
      <c r="O126" s="1314">
        <f>VLOOKUP($D126,'WP-BC'!$A$1:$N$352,11,FALSE)</f>
        <v>1166179.73</v>
      </c>
      <c r="P126" s="1314">
        <f>VLOOKUP($D126,'WP-BC'!$A$1:$N$352,12,FALSE)</f>
        <v>1164291.73</v>
      </c>
      <c r="Q126" s="1315">
        <f t="shared" si="49"/>
        <v>1888</v>
      </c>
      <c r="R126" s="1314">
        <f>VLOOKUP($D126,'WP-BC'!$A$1:$N$352,14,FALSE)</f>
        <v>1196</v>
      </c>
      <c r="S126" s="793">
        <v>860179.7300000001</v>
      </c>
      <c r="T126" s="794"/>
      <c r="U126" s="793">
        <v>503709.73</v>
      </c>
      <c r="V126" s="794"/>
      <c r="W126" s="793">
        <f t="shared" si="50"/>
        <v>356470.00000000012</v>
      </c>
    </row>
    <row r="127" spans="1:23" s="795" customFormat="1">
      <c r="A127" s="789" t="s">
        <v>148</v>
      </c>
      <c r="B127" s="790" t="s">
        <v>244</v>
      </c>
      <c r="C127" s="791" t="s">
        <v>158</v>
      </c>
      <c r="D127" s="1305" t="str">
        <f t="shared" si="45"/>
        <v>HELLGATE  (Bronx)396Power Operated Equipment</v>
      </c>
      <c r="E127" s="1331" t="s">
        <v>1327</v>
      </c>
      <c r="F127" s="707" t="str">
        <f>CONCATENATE("WP-BC, line ",VLOOKUP(D127,'WP-BC'!$A$18:$N$341,2,FALSE))</f>
        <v>WP-BC, line 12cg</v>
      </c>
      <c r="G127" s="1395">
        <v>396</v>
      </c>
      <c r="H127" s="1647" t="s">
        <v>158</v>
      </c>
      <c r="I127" s="1394" t="s">
        <v>81</v>
      </c>
      <c r="J127" s="789"/>
      <c r="K127" s="1314">
        <f>VLOOKUP($D127,'WP-BC'!$A$1:$N$352,7,FALSE)</f>
        <v>22076</v>
      </c>
      <c r="L127" s="1314">
        <f>VLOOKUP($D127,'WP-BC'!$A$1:$N$352,8,FALSE)</f>
        <v>22076</v>
      </c>
      <c r="M127" s="1315">
        <f t="shared" si="48"/>
        <v>0</v>
      </c>
      <c r="N127" s="1314">
        <f>VLOOKUP($D127,'WP-BC'!$A$1:$N$352,10,FALSE)</f>
        <v>0</v>
      </c>
      <c r="O127" s="1314">
        <f>VLOOKUP($D127,'WP-BC'!$A$1:$N$352,11,FALSE)</f>
        <v>22076</v>
      </c>
      <c r="P127" s="1314">
        <f>VLOOKUP($D127,'WP-BC'!$A$1:$N$352,12,FALSE)</f>
        <v>22076</v>
      </c>
      <c r="Q127" s="1315">
        <f t="shared" si="49"/>
        <v>0</v>
      </c>
      <c r="R127" s="1314">
        <f>VLOOKUP($D127,'WP-BC'!$A$1:$N$352,14,FALSE)</f>
        <v>0</v>
      </c>
      <c r="S127" s="793">
        <v>22076</v>
      </c>
      <c r="T127" s="794"/>
      <c r="U127" s="793">
        <v>11776</v>
      </c>
      <c r="V127" s="794"/>
      <c r="W127" s="793">
        <f t="shared" si="50"/>
        <v>10300</v>
      </c>
    </row>
    <row r="128" spans="1:23" s="795" customFormat="1">
      <c r="A128" s="789" t="s">
        <v>148</v>
      </c>
      <c r="B128" s="790" t="s">
        <v>244</v>
      </c>
      <c r="C128" s="791" t="s">
        <v>158</v>
      </c>
      <c r="D128" s="1305" t="str">
        <f t="shared" si="45"/>
        <v>HELLGATE  (Bronx)398Miscellaneous Equipment</v>
      </c>
      <c r="E128" s="1331" t="s">
        <v>1328</v>
      </c>
      <c r="F128" s="707" t="str">
        <f>CONCATENATE("WP-BC, line ",VLOOKUP(D128,'WP-BC'!$A$18:$N$341,2,FALSE))</f>
        <v>WP-BC, line 12ch</v>
      </c>
      <c r="G128" s="1395">
        <v>398</v>
      </c>
      <c r="H128" s="1647" t="s">
        <v>158</v>
      </c>
      <c r="I128" s="1394" t="s">
        <v>83</v>
      </c>
      <c r="J128" s="789"/>
      <c r="K128" s="1314">
        <f>VLOOKUP($D128,'WP-BC'!$A$1:$N$352,7,FALSE)</f>
        <v>1272183.1099999999</v>
      </c>
      <c r="L128" s="1314">
        <f>VLOOKUP($D128,'WP-BC'!$A$1:$N$352,8,FALSE)</f>
        <v>1262342.5899999999</v>
      </c>
      <c r="M128" s="1315">
        <f t="shared" si="48"/>
        <v>9840.5200000000186</v>
      </c>
      <c r="N128" s="1314">
        <f>VLOOKUP($D128,'WP-BC'!$A$1:$N$352,10,FALSE)</f>
        <v>4934</v>
      </c>
      <c r="O128" s="1314">
        <f>VLOOKUP($D128,'WP-BC'!$A$1:$N$352,11,FALSE)</f>
        <v>1272183.1099999999</v>
      </c>
      <c r="P128" s="1314">
        <f>VLOOKUP($D128,'WP-BC'!$A$1:$N$352,12,FALSE)</f>
        <v>1257408.5899999999</v>
      </c>
      <c r="Q128" s="1315">
        <f t="shared" si="49"/>
        <v>14774.520000000019</v>
      </c>
      <c r="R128" s="1314">
        <f>VLOOKUP($D128,'WP-BC'!$A$1:$N$352,14,FALSE)</f>
        <v>4976</v>
      </c>
      <c r="S128" s="793">
        <v>1238891.6099999999</v>
      </c>
      <c r="T128" s="794"/>
      <c r="U128" s="793">
        <v>554089.09</v>
      </c>
      <c r="V128" s="794"/>
      <c r="W128" s="793">
        <f t="shared" si="50"/>
        <v>684802.5199999999</v>
      </c>
    </row>
    <row r="129" spans="1:25" s="795" customFormat="1">
      <c r="A129" s="789" t="s">
        <v>148</v>
      </c>
      <c r="B129" s="790" t="s">
        <v>244</v>
      </c>
      <c r="C129" s="791" t="s">
        <v>165</v>
      </c>
      <c r="D129" s="1305" t="str">
        <f t="shared" si="45"/>
        <v>KENT  (Brooklyn)396Power Operated Equipment</v>
      </c>
      <c r="E129" s="1331" t="s">
        <v>1660</v>
      </c>
      <c r="F129" s="707" t="str">
        <f>CONCATENATE("WP-BC, line ",VLOOKUP(D129,'WP-BC'!$A$18:$N$341,2,FALSE))</f>
        <v>WP-BC, line 12ck</v>
      </c>
      <c r="G129" s="1395">
        <v>396</v>
      </c>
      <c r="H129" s="1647" t="s">
        <v>165</v>
      </c>
      <c r="I129" s="1394" t="s">
        <v>81</v>
      </c>
      <c r="J129" s="789"/>
      <c r="K129" s="1314">
        <f>VLOOKUP($D129,'WP-BC'!$A$1:$N$352,7,FALSE)</f>
        <v>22076</v>
      </c>
      <c r="L129" s="1314">
        <f>VLOOKUP($D129,'WP-BC'!$A$1:$N$352,8,FALSE)</f>
        <v>22076</v>
      </c>
      <c r="M129" s="1315">
        <f t="shared" si="48"/>
        <v>0</v>
      </c>
      <c r="N129" s="1314">
        <f>VLOOKUP($D129,'WP-BC'!$A$1:$N$352,10,FALSE)</f>
        <v>0</v>
      </c>
      <c r="O129" s="1314">
        <f>VLOOKUP($D129,'WP-BC'!$A$1:$N$352,11,FALSE)</f>
        <v>22076</v>
      </c>
      <c r="P129" s="1314">
        <f>VLOOKUP($D129,'WP-BC'!$A$1:$N$352,12,FALSE)</f>
        <v>22076</v>
      </c>
      <c r="Q129" s="1315">
        <f t="shared" si="49"/>
        <v>0</v>
      </c>
      <c r="R129" s="1314">
        <f>VLOOKUP($D129,'WP-BC'!$A$1:$N$352,14,FALSE)</f>
        <v>0</v>
      </c>
      <c r="S129" s="793">
        <v>22076</v>
      </c>
      <c r="T129" s="794"/>
      <c r="U129" s="793">
        <v>11776</v>
      </c>
      <c r="V129" s="794"/>
      <c r="W129" s="793">
        <f t="shared" si="50"/>
        <v>10300</v>
      </c>
    </row>
    <row r="130" spans="1:25" s="795" customFormat="1">
      <c r="A130" s="789" t="s">
        <v>148</v>
      </c>
      <c r="B130" s="790" t="s">
        <v>244</v>
      </c>
      <c r="C130" s="791" t="s">
        <v>165</v>
      </c>
      <c r="D130" s="1305" t="str">
        <f t="shared" si="45"/>
        <v>KENT  (Brooklyn)398Miscellaneous Equipment</v>
      </c>
      <c r="E130" s="1331" t="s">
        <v>1661</v>
      </c>
      <c r="F130" s="707" t="str">
        <f>CONCATENATE("WP-BC, line ",VLOOKUP(D130,'WP-BC'!$A$18:$N$341,2,FALSE))</f>
        <v>WP-BC, line 12cl</v>
      </c>
      <c r="G130" s="1395">
        <v>398</v>
      </c>
      <c r="H130" s="1647" t="s">
        <v>165</v>
      </c>
      <c r="I130" s="1394" t="s">
        <v>83</v>
      </c>
      <c r="J130" s="789"/>
      <c r="K130" s="1314">
        <f>VLOOKUP($D130,'WP-BC'!$A$1:$N$352,7,FALSE)</f>
        <v>228133.34</v>
      </c>
      <c r="L130" s="1314">
        <f>VLOOKUP($D130,'WP-BC'!$A$1:$N$352,8,FALSE)</f>
        <v>228133.34</v>
      </c>
      <c r="M130" s="1315">
        <f t="shared" si="48"/>
        <v>0</v>
      </c>
      <c r="N130" s="1314">
        <f>VLOOKUP($D130,'WP-BC'!$A$1:$N$352,10,FALSE)</f>
        <v>0</v>
      </c>
      <c r="O130" s="1314">
        <f>VLOOKUP($D130,'WP-BC'!$A$1:$N$352,11,FALSE)</f>
        <v>228133.34</v>
      </c>
      <c r="P130" s="1314">
        <f>VLOOKUP($D130,'WP-BC'!$A$1:$N$352,12,FALSE)</f>
        <v>228133.34</v>
      </c>
      <c r="Q130" s="1315">
        <f t="shared" si="49"/>
        <v>0</v>
      </c>
      <c r="R130" s="1314">
        <f>VLOOKUP($D130,'WP-BC'!$A$1:$N$352,14,FALSE)</f>
        <v>0</v>
      </c>
      <c r="S130" s="793">
        <v>228133.34</v>
      </c>
      <c r="T130" s="794"/>
      <c r="U130" s="793">
        <v>196578.34</v>
      </c>
      <c r="V130" s="794"/>
      <c r="W130" s="793">
        <f t="shared" si="50"/>
        <v>31555</v>
      </c>
    </row>
    <row r="131" spans="1:25" s="795" customFormat="1">
      <c r="A131" s="789" t="s">
        <v>148</v>
      </c>
      <c r="B131" s="790" t="s">
        <v>244</v>
      </c>
      <c r="C131" s="791" t="s">
        <v>166</v>
      </c>
      <c r="D131" s="1305" t="str">
        <f t="shared" si="45"/>
        <v>POUCH TERMINAL  (Richmond)396Power Operated Equipment</v>
      </c>
      <c r="E131" s="1331" t="s">
        <v>1662</v>
      </c>
      <c r="F131" s="707" t="str">
        <f>CONCATENATE("WP-BC, line ",VLOOKUP(D131,'WP-BC'!$A$18:$N$345,2,FALSE))</f>
        <v>WP-BC, line 12cw</v>
      </c>
      <c r="G131" s="1395">
        <v>396</v>
      </c>
      <c r="H131" s="1647" t="s">
        <v>166</v>
      </c>
      <c r="I131" s="1394" t="s">
        <v>81</v>
      </c>
      <c r="J131" s="789"/>
      <c r="K131" s="1314">
        <f>VLOOKUP($D131,'WP-BC'!$A$1:$N$352,7,FALSE)</f>
        <v>22076</v>
      </c>
      <c r="L131" s="1314">
        <f>VLOOKUP($D131,'WP-BC'!$A$1:$N$352,8,FALSE)</f>
        <v>22076</v>
      </c>
      <c r="M131" s="1315">
        <f t="shared" si="48"/>
        <v>0</v>
      </c>
      <c r="N131" s="1314">
        <f>VLOOKUP($D131,'WP-BC'!$A$1:$N$352,10,FALSE)</f>
        <v>0</v>
      </c>
      <c r="O131" s="1314">
        <f>VLOOKUP($D131,'WP-BC'!$A$1:$N$352,11,FALSE)</f>
        <v>22076</v>
      </c>
      <c r="P131" s="1314">
        <f>VLOOKUP($D131,'WP-BC'!$A$1:$N$352,12,FALSE)</f>
        <v>22076</v>
      </c>
      <c r="Q131" s="1315">
        <f t="shared" si="49"/>
        <v>0</v>
      </c>
      <c r="R131" s="1314">
        <f>VLOOKUP($D131,'WP-BC'!$A$1:$N$352,14,FALSE)</f>
        <v>0</v>
      </c>
      <c r="S131" s="793">
        <v>22076</v>
      </c>
      <c r="T131" s="794"/>
      <c r="U131" s="793">
        <v>11776</v>
      </c>
      <c r="V131" s="794"/>
      <c r="W131" s="793">
        <f t="shared" si="50"/>
        <v>10300</v>
      </c>
    </row>
    <row r="132" spans="1:25" s="795" customFormat="1">
      <c r="A132" s="789" t="s">
        <v>148</v>
      </c>
      <c r="B132" s="790" t="s">
        <v>244</v>
      </c>
      <c r="C132" s="791" t="s">
        <v>166</v>
      </c>
      <c r="D132" s="1305" t="str">
        <f t="shared" si="45"/>
        <v>POUCH TERMINAL  (Richmond)398Miscellaneous Equipment</v>
      </c>
      <c r="E132" s="1331" t="s">
        <v>1663</v>
      </c>
      <c r="F132" s="707" t="str">
        <f>CONCATENATE("WP-BC, line ",VLOOKUP(D132,'WP-BC'!$A$18:$N$345,2,FALSE))</f>
        <v>WP-BC, line 12cx</v>
      </c>
      <c r="G132" s="1395">
        <v>398</v>
      </c>
      <c r="H132" s="1647" t="s">
        <v>166</v>
      </c>
      <c r="I132" s="1394" t="s">
        <v>83</v>
      </c>
      <c r="J132" s="789"/>
      <c r="K132" s="1314">
        <f>VLOOKUP($D132,'WP-BC'!$A$1:$N$352,7,FALSE)</f>
        <v>313431</v>
      </c>
      <c r="L132" s="1314">
        <f>VLOOKUP($D132,'WP-BC'!$A$1:$N$352,8,FALSE)</f>
        <v>171153</v>
      </c>
      <c r="M132" s="1315">
        <f t="shared" si="48"/>
        <v>142278</v>
      </c>
      <c r="N132" s="1314">
        <f>VLOOKUP($D132,'WP-BC'!$A$1:$N$352,10,FALSE)</f>
        <v>0</v>
      </c>
      <c r="O132" s="1314">
        <f>VLOOKUP($D132,'WP-BC'!$A$1:$N$352,11,FALSE)</f>
        <v>313431</v>
      </c>
      <c r="P132" s="1314">
        <f>VLOOKUP($D132,'WP-BC'!$A$1:$N$352,12,FALSE)</f>
        <v>171153</v>
      </c>
      <c r="Q132" s="1315">
        <f t="shared" si="49"/>
        <v>142278</v>
      </c>
      <c r="R132" s="1314">
        <f>VLOOKUP($D132,'WP-BC'!$A$1:$N$352,14,FALSE)</f>
        <v>0</v>
      </c>
      <c r="S132" s="793">
        <v>171154</v>
      </c>
      <c r="T132" s="794"/>
      <c r="U132" s="793">
        <v>151602</v>
      </c>
      <c r="V132" s="794"/>
      <c r="W132" s="793">
        <f t="shared" si="50"/>
        <v>19552</v>
      </c>
    </row>
    <row r="133" spans="1:25" s="795" customFormat="1">
      <c r="A133" s="789" t="s">
        <v>148</v>
      </c>
      <c r="B133" s="790" t="s">
        <v>244</v>
      </c>
      <c r="C133" s="791" t="s">
        <v>167</v>
      </c>
      <c r="D133" s="1305" t="str">
        <f t="shared" si="45"/>
        <v>VERNON BOULEVARD  (Queens)396Power Operated Equipment</v>
      </c>
      <c r="E133" s="1331" t="s">
        <v>1664</v>
      </c>
      <c r="F133" s="707" t="str">
        <f>CONCATENATE("WP-BC, line ",VLOOKUP(D133,'WP-BC'!$A$18:$N$345,2,FALSE))</f>
        <v>WP-BC, line 12cy</v>
      </c>
      <c r="G133" s="1395">
        <v>396</v>
      </c>
      <c r="H133" s="1643" t="s">
        <v>167</v>
      </c>
      <c r="I133" s="1642" t="s">
        <v>81</v>
      </c>
      <c r="J133" s="789"/>
      <c r="K133" s="1314">
        <f>VLOOKUP($D133,'WP-BC'!$A$1:$N$352,7,FALSE)</f>
        <v>22076</v>
      </c>
      <c r="L133" s="1314">
        <f>VLOOKUP($D133,'WP-BC'!$A$1:$N$352,8,FALSE)</f>
        <v>11029</v>
      </c>
      <c r="M133" s="1315">
        <f t="shared" si="48"/>
        <v>11047</v>
      </c>
      <c r="N133" s="1314">
        <f>VLOOKUP($D133,'WP-BC'!$A$1:$N$352,10,FALSE)</f>
        <v>0</v>
      </c>
      <c r="O133" s="1314">
        <f>VLOOKUP($D133,'WP-BC'!$A$1:$N$352,11,FALSE)</f>
        <v>22076</v>
      </c>
      <c r="P133" s="1314">
        <f>VLOOKUP($D133,'WP-BC'!$A$1:$N$352,12,FALSE)</f>
        <v>11029</v>
      </c>
      <c r="Q133" s="1315">
        <f t="shared" si="49"/>
        <v>11047</v>
      </c>
      <c r="R133" s="1314">
        <f>VLOOKUP($D133,'WP-BC'!$A$1:$N$352,14,FALSE)</f>
        <v>0</v>
      </c>
      <c r="S133" s="793">
        <v>22076</v>
      </c>
      <c r="T133" s="794"/>
      <c r="U133" s="793">
        <v>5152</v>
      </c>
      <c r="V133" s="794"/>
      <c r="W133" s="793">
        <f t="shared" si="50"/>
        <v>16924</v>
      </c>
    </row>
    <row r="134" spans="1:25" s="795" customFormat="1">
      <c r="A134" s="789" t="s">
        <v>148</v>
      </c>
      <c r="B134" s="790" t="s">
        <v>244</v>
      </c>
      <c r="C134" s="791" t="s">
        <v>167</v>
      </c>
      <c r="D134" s="1305" t="str">
        <f t="shared" si="45"/>
        <v>VERNON BOULEVARD  (Queens)398Miscellaneous Equipment</v>
      </c>
      <c r="E134" s="1331" t="s">
        <v>1665</v>
      </c>
      <c r="F134" s="707" t="str">
        <f>CONCATENATE("WP-BC, line ",VLOOKUP(D134,'WP-BC'!$A$18:$N$345,2,FALSE))</f>
        <v>WP-BC, line 12cz</v>
      </c>
      <c r="G134" s="1395">
        <v>398</v>
      </c>
      <c r="H134" s="1643" t="s">
        <v>167</v>
      </c>
      <c r="I134" s="1642" t="s">
        <v>83</v>
      </c>
      <c r="J134" s="789"/>
      <c r="K134" s="1314">
        <f>VLOOKUP($D134,'WP-BC'!$A$1:$N$352,7,FALSE)</f>
        <v>245850</v>
      </c>
      <c r="L134" s="1314">
        <f>VLOOKUP($D134,'WP-BC'!$A$1:$N$352,8,FALSE)</f>
        <v>100139</v>
      </c>
      <c r="M134" s="1315">
        <f t="shared" si="48"/>
        <v>145711</v>
      </c>
      <c r="N134" s="1314">
        <f>VLOOKUP($D134,'WP-BC'!$A$1:$N$352,10,FALSE)</f>
        <v>1196</v>
      </c>
      <c r="O134" s="1314">
        <f>VLOOKUP($D134,'WP-BC'!$A$1:$N$352,11,FALSE)</f>
        <v>245850</v>
      </c>
      <c r="P134" s="1314">
        <f>VLOOKUP($D134,'WP-BC'!$A$1:$N$352,12,FALSE)</f>
        <v>98943</v>
      </c>
      <c r="Q134" s="1315">
        <f t="shared" si="49"/>
        <v>146907</v>
      </c>
      <c r="R134" s="1314">
        <f>VLOOKUP($D134,'WP-BC'!$A$1:$N$352,14,FALSE)</f>
        <v>1196</v>
      </c>
      <c r="S134" s="796">
        <v>245850</v>
      </c>
      <c r="T134" s="797"/>
      <c r="U134" s="796">
        <v>83052</v>
      </c>
      <c r="V134" s="797"/>
      <c r="W134" s="796">
        <f t="shared" si="50"/>
        <v>162798</v>
      </c>
    </row>
    <row r="135" spans="1:25" s="795" customFormat="1">
      <c r="A135" s="789"/>
      <c r="B135" s="790"/>
      <c r="C135" s="791"/>
      <c r="D135" s="1305"/>
      <c r="E135" s="1331" t="s">
        <v>541</v>
      </c>
      <c r="F135" s="1394"/>
      <c r="G135" s="1395"/>
      <c r="H135" s="1396"/>
      <c r="I135" s="1394"/>
      <c r="J135" s="789"/>
      <c r="K135" s="1316" t="s">
        <v>1166</v>
      </c>
      <c r="L135" s="1316" t="s">
        <v>1166</v>
      </c>
      <c r="M135" s="1316" t="s">
        <v>1166</v>
      </c>
      <c r="N135" s="1316" t="s">
        <v>1166</v>
      </c>
      <c r="O135" s="1316" t="s">
        <v>1166</v>
      </c>
      <c r="P135" s="1316" t="s">
        <v>1166</v>
      </c>
      <c r="Q135" s="1316" t="s">
        <v>1166</v>
      </c>
      <c r="R135" s="1316" t="s">
        <v>1166</v>
      </c>
      <c r="S135" s="793"/>
      <c r="T135" s="794"/>
      <c r="U135" s="793"/>
      <c r="V135" s="794"/>
      <c r="W135" s="793"/>
    </row>
    <row r="136" spans="1:25" s="795" customFormat="1">
      <c r="A136" s="789"/>
      <c r="B136" s="790"/>
      <c r="C136" s="791"/>
      <c r="D136" s="1305"/>
      <c r="E136" s="1331"/>
      <c r="F136" s="1331"/>
      <c r="G136" s="792"/>
      <c r="H136" s="789"/>
      <c r="I136" s="789"/>
      <c r="J136" s="789"/>
      <c r="K136" s="1314"/>
      <c r="L136" s="1314"/>
      <c r="M136" s="1314"/>
      <c r="N136" s="1314"/>
      <c r="O136" s="1314"/>
      <c r="P136" s="1314"/>
      <c r="Q136" s="1314"/>
      <c r="R136" s="1314"/>
      <c r="S136" s="793"/>
      <c r="T136" s="794"/>
      <c r="U136" s="793"/>
      <c r="V136" s="794"/>
      <c r="W136" s="793"/>
    </row>
    <row r="137" spans="1:25" s="149" customFormat="1">
      <c r="A137" s="398"/>
      <c r="B137" s="398"/>
      <c r="C137" s="400"/>
      <c r="D137" s="1305" t="str">
        <f t="shared" si="45"/>
        <v>SUBTOTAL SCPP</v>
      </c>
      <c r="E137" s="1335">
        <v>23</v>
      </c>
      <c r="F137" s="1335"/>
      <c r="G137" s="404" t="s">
        <v>239</v>
      </c>
      <c r="H137" s="398"/>
      <c r="I137" s="398"/>
      <c r="J137" s="398"/>
      <c r="K137" s="1318">
        <f>SUM(K122:K135)</f>
        <v>3973852.3599999994</v>
      </c>
      <c r="L137" s="1318">
        <f t="shared" ref="L137:R137" si="51">SUM(L122:L135)</f>
        <v>3659173.84</v>
      </c>
      <c r="M137" s="1318">
        <f t="shared" si="51"/>
        <v>314678.52</v>
      </c>
      <c r="N137" s="1318">
        <f t="shared" si="51"/>
        <v>9194</v>
      </c>
      <c r="O137" s="1318">
        <f t="shared" si="51"/>
        <v>3973852.3599999994</v>
      </c>
      <c r="P137" s="1318">
        <f t="shared" si="51"/>
        <v>3649979.84</v>
      </c>
      <c r="Q137" s="1318">
        <f t="shared" si="51"/>
        <v>323872.52</v>
      </c>
      <c r="R137" s="1318">
        <f t="shared" si="51"/>
        <v>9236</v>
      </c>
      <c r="S137" s="165">
        <f t="shared" ref="S137" si="52">SUM(S122:S134)</f>
        <v>3485568.86</v>
      </c>
      <c r="U137" s="165">
        <f>SUM(U122:U134)</f>
        <v>2074604.34</v>
      </c>
      <c r="W137" s="165">
        <f>SUM(W122:W134)</f>
        <v>1410964.52</v>
      </c>
    </row>
    <row r="138" spans="1:25" s="149" customFormat="1">
      <c r="A138" s="398"/>
      <c r="B138" s="398"/>
      <c r="C138" s="400"/>
      <c r="D138" s="1305"/>
      <c r="E138" s="1335"/>
      <c r="F138" s="1335"/>
      <c r="G138" s="404"/>
      <c r="H138" s="398"/>
      <c r="I138" s="398"/>
      <c r="J138" s="398"/>
      <c r="K138" s="1318"/>
      <c r="L138" s="1318"/>
      <c r="M138" s="1318"/>
      <c r="N138" s="1318"/>
      <c r="O138" s="1318"/>
      <c r="P138" s="1318"/>
      <c r="Q138" s="1318"/>
      <c r="R138" s="1318"/>
      <c r="S138" s="165"/>
      <c r="U138" s="165"/>
      <c r="W138" s="165"/>
    </row>
    <row r="139" spans="1:25" s="149" customFormat="1">
      <c r="A139" s="398"/>
      <c r="B139" s="398"/>
      <c r="C139" s="400"/>
      <c r="D139" s="1305"/>
      <c r="E139" s="1335">
        <v>24</v>
      </c>
      <c r="F139" s="1335"/>
      <c r="G139" s="404"/>
      <c r="H139" s="398"/>
      <c r="I139" s="398"/>
      <c r="J139" s="398"/>
      <c r="K139" s="1318"/>
      <c r="L139" s="1318"/>
      <c r="M139" s="1318"/>
      <c r="N139" s="1318"/>
      <c r="O139" s="1318"/>
      <c r="P139" s="1318"/>
      <c r="Q139" s="1318"/>
      <c r="R139" s="1318"/>
      <c r="S139" s="165"/>
      <c r="U139" s="165"/>
      <c r="W139" s="165"/>
    </row>
    <row r="140" spans="1:25" s="795" customFormat="1">
      <c r="A140" s="789"/>
      <c r="B140" s="790"/>
      <c r="C140" s="791"/>
      <c r="D140" s="1305"/>
      <c r="E140" s="313"/>
      <c r="F140" s="1331"/>
      <c r="G140" s="404"/>
      <c r="H140" s="398"/>
      <c r="I140" s="398"/>
      <c r="J140" s="789"/>
      <c r="K140" s="1461"/>
      <c r="L140" s="1461"/>
      <c r="M140" s="1461"/>
      <c r="N140" s="1461"/>
      <c r="O140" s="1461"/>
      <c r="P140" s="1461"/>
      <c r="Q140" s="1461"/>
      <c r="R140" s="1461"/>
      <c r="S140" s="1309"/>
      <c r="T140" s="1309"/>
      <c r="U140" s="1309"/>
      <c r="V140" s="1309"/>
      <c r="W140" s="1309"/>
      <c r="X140" s="1310"/>
      <c r="Y140" s="1310"/>
    </row>
    <row r="141" spans="1:25" s="149" customFormat="1">
      <c r="A141" s="398"/>
      <c r="B141" s="398"/>
      <c r="C141" s="400"/>
      <c r="D141" s="1305"/>
      <c r="E141" s="313" t="s">
        <v>541</v>
      </c>
      <c r="F141" s="707"/>
      <c r="G141" s="1395"/>
      <c r="H141" s="658"/>
      <c r="I141" s="1644"/>
      <c r="J141" s="789"/>
      <c r="K141" s="1457" t="s">
        <v>1166</v>
      </c>
      <c r="L141" s="1457" t="s">
        <v>1166</v>
      </c>
      <c r="M141" s="1457" t="s">
        <v>1166</v>
      </c>
      <c r="N141" s="1457" t="s">
        <v>1166</v>
      </c>
      <c r="O141" s="1457" t="s">
        <v>1166</v>
      </c>
      <c r="P141" s="1457" t="s">
        <v>1166</v>
      </c>
      <c r="Q141" s="1457" t="s">
        <v>1166</v>
      </c>
      <c r="R141" s="1457" t="s">
        <v>1166</v>
      </c>
      <c r="S141" s="165"/>
      <c r="U141" s="165"/>
      <c r="W141" s="165"/>
    </row>
    <row r="142" spans="1:25" s="149" customFormat="1">
      <c r="A142" s="398"/>
      <c r="B142" s="398"/>
      <c r="C142" s="400"/>
      <c r="D142" s="1305"/>
      <c r="E142" s="1331"/>
      <c r="F142" s="1331"/>
      <c r="G142" s="404"/>
      <c r="H142" s="398"/>
      <c r="I142" s="398"/>
      <c r="J142" s="398"/>
      <c r="K142" s="1318"/>
      <c r="L142" s="1318"/>
      <c r="M142" s="1318"/>
      <c r="N142" s="1318"/>
      <c r="O142" s="1318"/>
      <c r="P142" s="1318"/>
      <c r="Q142" s="1318"/>
      <c r="R142" s="1318"/>
      <c r="S142" s="165"/>
      <c r="U142" s="165"/>
      <c r="W142" s="165"/>
    </row>
    <row r="143" spans="1:25" s="149" customFormat="1" ht="18.75">
      <c r="A143" s="398"/>
      <c r="B143" s="398"/>
      <c r="C143" s="400"/>
      <c r="D143" s="400"/>
      <c r="E143" s="1337">
        <v>25</v>
      </c>
      <c r="F143" s="1332"/>
      <c r="G143" s="401" t="s">
        <v>160</v>
      </c>
      <c r="H143" s="398"/>
      <c r="I143" s="398"/>
      <c r="J143" s="398"/>
      <c r="K143" s="1318">
        <f>K87+K93+K105+K120+K137</f>
        <v>18825078.300000001</v>
      </c>
      <c r="L143" s="1318">
        <f>L87+L93+L105+L120+L137</f>
        <v>15087058.970000001</v>
      </c>
      <c r="M143" s="1318">
        <f t="shared" ref="M143:R143" si="53">M87+M93+M105+M120+M137</f>
        <v>3738019.3300000005</v>
      </c>
      <c r="N143" s="1318">
        <f t="shared" si="53"/>
        <v>638455.23</v>
      </c>
      <c r="O143" s="1318">
        <f t="shared" si="53"/>
        <v>18731407.560000002</v>
      </c>
      <c r="P143" s="1318">
        <f t="shared" si="53"/>
        <v>14581005.75</v>
      </c>
      <c r="Q143" s="1318">
        <f t="shared" si="53"/>
        <v>4150401.8099999991</v>
      </c>
      <c r="R143" s="1318">
        <f t="shared" si="53"/>
        <v>691372.09999999986</v>
      </c>
      <c r="S143" s="165">
        <f>S87+S93+S105+S120+S137</f>
        <v>13159832.369999999</v>
      </c>
      <c r="U143" s="165">
        <f>U87+U93+U105+U120+U137</f>
        <v>10459282.58</v>
      </c>
      <c r="W143" s="165">
        <f>W87+W93+W105+W120+W137</f>
        <v>2700549.79</v>
      </c>
    </row>
    <row r="147" spans="8:8">
      <c r="H147" s="658"/>
    </row>
  </sheetData>
  <customSheetViews>
    <customSheetView guid="{B321D76C-CDE5-48BB-9CDE-80FF97D58FCF}" scale="70" showPageBreaks="1" fitToPage="1" printArea="1" hiddenColumns="1" view="pageBreakPreview" topLeftCell="I1">
      <selection activeCell="D33" sqref="D33"/>
      <rowBreaks count="2" manualBreakCount="2">
        <brk id="75" min="4" max="22" man="1"/>
        <brk id="119" min="4" max="23" man="1"/>
      </rowBreaks>
      <pageMargins left="0.25" right="0.25" top="0.25" bottom="0.25" header="0" footer="0.5"/>
      <printOptions horizontalCentered="1"/>
      <pageSetup scale="37" fitToHeight="0" orientation="landscape" r:id="rId1"/>
      <headerFooter alignWithMargins="0"/>
    </customSheetView>
  </customSheetViews>
  <mergeCells count="7">
    <mergeCell ref="K13:N13"/>
    <mergeCell ref="G4:Q4"/>
    <mergeCell ref="G5:Q5"/>
    <mergeCell ref="G6:Q6"/>
    <mergeCell ref="G8:Q8"/>
    <mergeCell ref="G9:Q9"/>
    <mergeCell ref="O13:R13"/>
  </mergeCells>
  <printOptions horizontalCentered="1"/>
  <pageMargins left="0.25" right="0.25" top="0.25" bottom="0.25" header="0" footer="0.5"/>
  <pageSetup scale="37" fitToHeight="0" orientation="landscape" r:id="rId2"/>
  <headerFooter alignWithMargins="0"/>
  <rowBreaks count="2" manualBreakCount="2">
    <brk id="75" min="4" max="22" man="1"/>
    <brk id="120" min="4" max="23" man="1"/>
  </row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70C0"/>
    <pageSetUpPr fitToPage="1"/>
  </sheetPr>
  <dimension ref="A1:AB360"/>
  <sheetViews>
    <sheetView tabSelected="1" view="pageBreakPreview" topLeftCell="B133" zoomScale="62" zoomScaleNormal="90" zoomScaleSheetLayoutView="62" workbookViewId="0">
      <selection activeCell="C30" sqref="C30"/>
    </sheetView>
  </sheetViews>
  <sheetFormatPr defaultColWidth="8.125" defaultRowHeight="15" outlineLevelRow="1"/>
  <cols>
    <col min="1" max="1" width="17.375" style="1304" hidden="1" customWidth="1"/>
    <col min="2" max="2" width="8.125" style="390"/>
    <col min="3" max="3" width="14.75" style="367" customWidth="1"/>
    <col min="4" max="4" width="40.75" style="390" customWidth="1"/>
    <col min="5" max="5" width="10.125" style="367" customWidth="1"/>
    <col min="6" max="6" width="36.5" style="367" customWidth="1"/>
    <col min="7" max="7" width="19.375" style="1738" bestFit="1" customWidth="1"/>
    <col min="8" max="8" width="23.125" style="1738" customWidth="1"/>
    <col min="9" max="9" width="19.375" style="1738" bestFit="1" customWidth="1"/>
    <col min="10" max="10" width="16" style="1738" customWidth="1"/>
    <col min="11" max="11" width="29.125" style="367" customWidth="1"/>
    <col min="12" max="12" width="22.375" style="367" customWidth="1"/>
    <col min="13" max="13" width="24" style="367" customWidth="1"/>
    <col min="14" max="14" width="19.875" style="367" customWidth="1"/>
    <col min="15" max="15" width="16.625" style="259" customWidth="1"/>
    <col min="16" max="22" width="8.125" style="259" hidden="1" customWidth="1"/>
    <col min="23" max="23" width="18.25" style="1771" customWidth="1"/>
    <col min="24" max="16384" width="8.125" style="259"/>
  </cols>
  <sheetData>
    <row r="1" spans="1:23" s="17" customFormat="1" ht="25.5" customHeight="1">
      <c r="A1" s="103"/>
      <c r="B1" s="1360"/>
      <c r="C1" s="814" t="s">
        <v>965</v>
      </c>
      <c r="D1" s="368"/>
      <c r="E1" s="369"/>
      <c r="F1" s="369"/>
      <c r="G1" s="1717"/>
      <c r="H1" s="1718"/>
      <c r="I1" s="1717"/>
      <c r="J1" s="1717"/>
      <c r="K1" s="650"/>
      <c r="L1" s="650"/>
      <c r="M1" s="650"/>
      <c r="N1" s="650"/>
      <c r="W1" s="1757"/>
    </row>
    <row r="2" spans="1:23" s="13" customFormat="1" ht="18">
      <c r="A2" s="1288"/>
      <c r="B2" s="1361"/>
      <c r="C2" s="313"/>
      <c r="D2" s="370"/>
      <c r="E2" s="371"/>
      <c r="F2" s="370"/>
      <c r="G2" s="1719"/>
      <c r="H2" s="1719"/>
      <c r="I2" s="1720"/>
      <c r="J2" s="1720"/>
      <c r="K2" s="651"/>
      <c r="L2" s="651"/>
      <c r="M2" s="651"/>
      <c r="N2" s="651"/>
      <c r="W2" s="1758"/>
    </row>
    <row r="3" spans="1:23" s="13" customFormat="1" ht="18">
      <c r="A3" s="1288"/>
      <c r="B3" s="1361"/>
      <c r="C3" s="1845" t="s">
        <v>200</v>
      </c>
      <c r="D3" s="1845"/>
      <c r="E3" s="1845"/>
      <c r="F3" s="1845"/>
      <c r="G3" s="1845"/>
      <c r="H3" s="1845"/>
      <c r="I3" s="1845"/>
      <c r="J3" s="1845"/>
      <c r="K3" s="1845"/>
      <c r="L3" s="1845"/>
      <c r="M3" s="1845"/>
      <c r="N3" s="724"/>
      <c r="W3" s="1758"/>
    </row>
    <row r="4" spans="1:23" s="13" customFormat="1" ht="18">
      <c r="A4" s="1288"/>
      <c r="B4" s="1361"/>
      <c r="C4" s="1845" t="s">
        <v>103</v>
      </c>
      <c r="D4" s="1845"/>
      <c r="E4" s="1845"/>
      <c r="F4" s="1845"/>
      <c r="G4" s="1845"/>
      <c r="H4" s="1845"/>
      <c r="I4" s="1845"/>
      <c r="J4" s="1845"/>
      <c r="K4" s="1845"/>
      <c r="L4" s="1845"/>
      <c r="M4" s="1845"/>
      <c r="N4" s="724"/>
      <c r="W4" s="1758"/>
    </row>
    <row r="5" spans="1:23" s="13" customFormat="1" ht="18">
      <c r="A5" s="1288"/>
      <c r="B5" s="1361"/>
      <c r="C5" s="1789" t="str">
        <f>SUMMARY!A7</f>
        <v>YEAR ENDING DECEMBER 31, 2018</v>
      </c>
      <c r="D5" s="1789"/>
      <c r="E5" s="1789"/>
      <c r="F5" s="1789"/>
      <c r="G5" s="1789"/>
      <c r="H5" s="1789"/>
      <c r="I5" s="1789"/>
      <c r="J5" s="1789"/>
      <c r="K5" s="1789"/>
      <c r="L5" s="1789"/>
      <c r="M5" s="1789"/>
      <c r="N5" s="723"/>
      <c r="W5" s="1758"/>
    </row>
    <row r="6" spans="1:23" s="13" customFormat="1" ht="12" customHeight="1">
      <c r="A6" s="1288"/>
      <c r="B6" s="1361"/>
      <c r="C6" s="370"/>
      <c r="D6" s="370"/>
      <c r="E6" s="372"/>
      <c r="F6" s="370"/>
      <c r="G6" s="1719"/>
      <c r="H6" s="1719"/>
      <c r="I6" s="1720"/>
      <c r="J6" s="1720"/>
      <c r="K6" s="651"/>
      <c r="L6" s="651"/>
      <c r="M6" s="651"/>
      <c r="N6" s="651"/>
      <c r="W6" s="1758"/>
    </row>
    <row r="7" spans="1:23" s="13" customFormat="1" ht="18">
      <c r="A7" s="1288"/>
      <c r="B7" s="1361"/>
      <c r="C7" s="1846" t="s">
        <v>966</v>
      </c>
      <c r="D7" s="1846"/>
      <c r="E7" s="1846"/>
      <c r="F7" s="1846"/>
      <c r="G7" s="1846"/>
      <c r="H7" s="1846"/>
      <c r="I7" s="1846"/>
      <c r="J7" s="1846"/>
      <c r="K7" s="1846"/>
      <c r="L7" s="1846"/>
      <c r="M7" s="1846"/>
      <c r="N7" s="725"/>
      <c r="W7" s="1758"/>
    </row>
    <row r="8" spans="1:23" s="13" customFormat="1" ht="18">
      <c r="A8" s="1288"/>
      <c r="B8" s="1361"/>
      <c r="C8" s="1845" t="s">
        <v>736</v>
      </c>
      <c r="D8" s="1845"/>
      <c r="E8" s="1845"/>
      <c r="F8" s="1845"/>
      <c r="G8" s="1845"/>
      <c r="H8" s="1845"/>
      <c r="I8" s="1845"/>
      <c r="J8" s="1845"/>
      <c r="K8" s="1845"/>
      <c r="L8" s="1845"/>
      <c r="M8" s="1845"/>
      <c r="N8" s="724"/>
      <c r="W8" s="1758"/>
    </row>
    <row r="9" spans="1:23" s="282" customFormat="1">
      <c r="A9" s="1297"/>
      <c r="B9" s="1362"/>
      <c r="C9" s="374"/>
      <c r="D9" s="374"/>
      <c r="E9" s="375"/>
      <c r="F9" s="375"/>
      <c r="G9" s="663"/>
      <c r="H9" s="663"/>
      <c r="I9" s="663"/>
      <c r="J9" s="663"/>
      <c r="K9" s="652"/>
      <c r="L9" s="652"/>
      <c r="M9" s="652"/>
      <c r="N9" s="652"/>
      <c r="W9" s="1759"/>
    </row>
    <row r="10" spans="1:23" s="282" customFormat="1" ht="15.75">
      <c r="A10" s="1297"/>
      <c r="B10" s="1362"/>
      <c r="C10" s="374"/>
      <c r="D10" s="374"/>
      <c r="E10" s="375"/>
      <c r="F10" s="375"/>
      <c r="G10" s="1847" t="s">
        <v>2037</v>
      </c>
      <c r="H10" s="1848"/>
      <c r="I10" s="1848"/>
      <c r="J10" s="1848"/>
      <c r="K10" s="1849" t="s">
        <v>1851</v>
      </c>
      <c r="L10" s="1850"/>
      <c r="M10" s="1850"/>
      <c r="N10" s="1851"/>
      <c r="W10" s="1759"/>
    </row>
    <row r="11" spans="1:23" s="282" customFormat="1">
      <c r="A11" s="1297"/>
      <c r="B11" s="1362"/>
      <c r="C11" s="374"/>
      <c r="D11" s="374"/>
      <c r="E11" s="375"/>
      <c r="F11" s="375"/>
      <c r="G11" s="1721"/>
      <c r="H11" s="1721"/>
      <c r="I11" s="1721"/>
      <c r="J11" s="1721"/>
      <c r="K11" s="1284"/>
      <c r="L11" s="1284"/>
      <c r="M11" s="1284"/>
      <c r="N11" s="1284"/>
      <c r="W11" s="1759"/>
    </row>
    <row r="12" spans="1:23" s="282" customFormat="1" ht="15.75" thickBot="1">
      <c r="A12" s="1297"/>
      <c r="B12" s="1362"/>
      <c r="C12" s="1286" t="s">
        <v>192</v>
      </c>
      <c r="D12" s="1286" t="s">
        <v>193</v>
      </c>
      <c r="E12" s="1286" t="s">
        <v>194</v>
      </c>
      <c r="F12" s="1286" t="s">
        <v>195</v>
      </c>
      <c r="G12" s="1722" t="s">
        <v>196</v>
      </c>
      <c r="H12" s="1722" t="s">
        <v>371</v>
      </c>
      <c r="I12" s="1722" t="s">
        <v>372</v>
      </c>
      <c r="J12" s="1722" t="s">
        <v>901</v>
      </c>
      <c r="K12" s="1286" t="s">
        <v>902</v>
      </c>
      <c r="L12" s="1286" t="s">
        <v>903</v>
      </c>
      <c r="M12" s="1286" t="s">
        <v>904</v>
      </c>
      <c r="N12" s="1286" t="s">
        <v>1226</v>
      </c>
      <c r="W12" s="1759"/>
    </row>
    <row r="13" spans="1:23" s="283" customFormat="1" ht="46.5" customHeight="1">
      <c r="A13" s="1298"/>
      <c r="B13" s="1363"/>
      <c r="C13" s="376" t="s">
        <v>437</v>
      </c>
      <c r="D13" s="376" t="s">
        <v>438</v>
      </c>
      <c r="E13" s="377" t="s">
        <v>439</v>
      </c>
      <c r="F13" s="377" t="s">
        <v>104</v>
      </c>
      <c r="G13" s="1723" t="s">
        <v>797</v>
      </c>
      <c r="H13" s="1723" t="s">
        <v>798</v>
      </c>
      <c r="I13" s="1723" t="s">
        <v>799</v>
      </c>
      <c r="J13" s="1723" t="s">
        <v>796</v>
      </c>
      <c r="K13" s="1285" t="s">
        <v>797</v>
      </c>
      <c r="L13" s="1285" t="s">
        <v>798</v>
      </c>
      <c r="M13" s="1285" t="s">
        <v>800</v>
      </c>
      <c r="N13" s="1285" t="s">
        <v>796</v>
      </c>
      <c r="W13" s="1760"/>
    </row>
    <row r="14" spans="1:23" s="283" customFormat="1" ht="15.75" customHeight="1">
      <c r="A14" s="1298"/>
      <c r="B14" s="1363"/>
      <c r="C14" s="376"/>
      <c r="D14" s="376"/>
      <c r="E14" s="377"/>
      <c r="F14" s="377"/>
      <c r="G14" s="1724"/>
      <c r="H14" s="1724"/>
      <c r="I14" s="1724"/>
      <c r="J14" s="1724"/>
      <c r="K14" s="653"/>
      <c r="L14" s="653"/>
      <c r="M14" s="653"/>
      <c r="N14" s="653"/>
      <c r="W14" s="1760"/>
    </row>
    <row r="15" spans="1:23" s="260" customFormat="1" ht="16.5" customHeight="1" thickBot="1">
      <c r="A15" s="1299"/>
      <c r="B15" s="1364"/>
      <c r="C15" s="378"/>
      <c r="D15" s="379"/>
      <c r="E15" s="359" t="s">
        <v>621</v>
      </c>
      <c r="F15" s="359"/>
      <c r="G15" s="1725"/>
      <c r="H15" s="1725"/>
      <c r="I15" s="1725"/>
      <c r="J15" s="1725"/>
      <c r="K15" s="654"/>
      <c r="L15" s="654"/>
      <c r="M15" s="654"/>
      <c r="N15" s="654"/>
      <c r="W15" s="1761"/>
    </row>
    <row r="16" spans="1:23" s="283" customFormat="1" ht="16.5" customHeight="1" outlineLevel="1">
      <c r="A16" s="1298"/>
      <c r="B16" s="1363"/>
      <c r="C16" s="380"/>
      <c r="D16" s="381"/>
      <c r="E16" s="377"/>
      <c r="F16" s="377"/>
      <c r="G16" s="1724"/>
      <c r="H16" s="1724"/>
      <c r="I16" s="1724"/>
      <c r="J16" s="1724"/>
      <c r="K16" s="653"/>
      <c r="L16" s="653"/>
      <c r="M16" s="653"/>
      <c r="N16" s="653"/>
      <c r="W16" s="1760"/>
    </row>
    <row r="17" spans="1:23" s="260" customFormat="1" ht="16.5" customHeight="1" outlineLevel="1" thickBot="1">
      <c r="A17" s="1299"/>
      <c r="B17" s="1364">
        <v>1</v>
      </c>
      <c r="C17" s="378"/>
      <c r="D17" s="379"/>
      <c r="E17" s="359"/>
      <c r="F17" s="359" t="s">
        <v>609</v>
      </c>
      <c r="G17" s="1725"/>
      <c r="H17" s="1725"/>
      <c r="I17" s="1725"/>
      <c r="J17" s="1725"/>
      <c r="K17" s="654"/>
      <c r="L17" s="654"/>
      <c r="M17" s="654"/>
      <c r="N17" s="654"/>
      <c r="W17" s="1761"/>
    </row>
    <row r="18" spans="1:23" s="284" customFormat="1" ht="15.75" customHeight="1" outlineLevel="1">
      <c r="A18" s="1289" t="str">
        <f>CONCATENATE(D18,E18,F18)</f>
        <v>BLENHEIM - GILBOA350Land &amp; Land Rights</v>
      </c>
      <c r="B18" s="1410" t="s">
        <v>471</v>
      </c>
      <c r="C18" s="1642" t="s">
        <v>34</v>
      </c>
      <c r="D18" s="1643" t="s">
        <v>1929</v>
      </c>
      <c r="E18" s="1642">
        <v>350</v>
      </c>
      <c r="F18" s="1642" t="s">
        <v>1930</v>
      </c>
      <c r="G18" s="1726">
        <v>2249581</v>
      </c>
      <c r="H18" s="1726">
        <v>0</v>
      </c>
      <c r="I18" s="1726">
        <v>2249581</v>
      </c>
      <c r="J18" s="1726">
        <v>0</v>
      </c>
      <c r="K18" s="719">
        <v>2249581</v>
      </c>
      <c r="L18" s="719">
        <v>0</v>
      </c>
      <c r="M18" s="719">
        <v>2249581</v>
      </c>
      <c r="N18" s="719">
        <v>0</v>
      </c>
      <c r="W18" s="1650"/>
    </row>
    <row r="19" spans="1:23" s="284" customFormat="1" ht="15.75" customHeight="1" outlineLevel="1">
      <c r="A19" s="1289" t="str">
        <f t="shared" ref="A19:A52" si="0">CONCATENATE(D19,E19,F19)</f>
        <v>J. A. FITZPATRICK350Land &amp; Land Rights</v>
      </c>
      <c r="B19" s="1410" t="s">
        <v>473</v>
      </c>
      <c r="C19" s="1642" t="s">
        <v>34</v>
      </c>
      <c r="D19" s="1643" t="s">
        <v>1931</v>
      </c>
      <c r="E19" s="1642">
        <v>350</v>
      </c>
      <c r="F19" s="1642" t="s">
        <v>1930</v>
      </c>
      <c r="G19" s="1726">
        <v>0</v>
      </c>
      <c r="H19" s="1726">
        <v>0</v>
      </c>
      <c r="I19" s="1726">
        <v>0</v>
      </c>
      <c r="J19" s="1726">
        <v>0</v>
      </c>
      <c r="K19" s="719">
        <v>0</v>
      </c>
      <c r="L19" s="719">
        <v>0</v>
      </c>
      <c r="M19" s="719">
        <v>0</v>
      </c>
      <c r="N19" s="719">
        <v>0</v>
      </c>
      <c r="O19" s="1691"/>
      <c r="W19" s="1650"/>
    </row>
    <row r="20" spans="1:23" s="284" customFormat="1" ht="15.75" customHeight="1" outlineLevel="1">
      <c r="A20" s="1289" t="str">
        <f t="shared" si="0"/>
        <v>LONG ISLAND SOUND CABLE350Land &amp; Land Rights</v>
      </c>
      <c r="B20" s="1410" t="s">
        <v>494</v>
      </c>
      <c r="C20" s="1642" t="s">
        <v>34</v>
      </c>
      <c r="D20" s="1643" t="s">
        <v>1932</v>
      </c>
      <c r="E20" s="1642">
        <v>350</v>
      </c>
      <c r="F20" s="1642" t="s">
        <v>1930</v>
      </c>
      <c r="G20" s="1726">
        <v>13469254</v>
      </c>
      <c r="H20" s="1726">
        <v>0</v>
      </c>
      <c r="I20" s="1726">
        <v>13469254</v>
      </c>
      <c r="J20" s="1726">
        <v>0</v>
      </c>
      <c r="K20" s="719">
        <v>13469254</v>
      </c>
      <c r="L20" s="719">
        <v>0</v>
      </c>
      <c r="M20" s="719">
        <v>13469254</v>
      </c>
      <c r="N20" s="719">
        <v>0</v>
      </c>
      <c r="W20" s="1650"/>
    </row>
    <row r="21" spans="1:23" s="284" customFormat="1" ht="15.75" customHeight="1" outlineLevel="1">
      <c r="A21" s="1289" t="str">
        <f t="shared" si="0"/>
        <v>MARCY-SOUTH350Land &amp; Land Rights</v>
      </c>
      <c r="B21" s="1410" t="s">
        <v>495</v>
      </c>
      <c r="C21" s="1642" t="s">
        <v>34</v>
      </c>
      <c r="D21" s="1643" t="s">
        <v>1933</v>
      </c>
      <c r="E21" s="1642">
        <v>350</v>
      </c>
      <c r="F21" s="1642" t="s">
        <v>1930</v>
      </c>
      <c r="G21" s="1726">
        <v>22206093</v>
      </c>
      <c r="H21" s="1726">
        <v>0</v>
      </c>
      <c r="I21" s="1726">
        <v>22206093</v>
      </c>
      <c r="J21" s="1726">
        <v>0</v>
      </c>
      <c r="K21" s="719">
        <v>22206093</v>
      </c>
      <c r="L21" s="719">
        <v>0</v>
      </c>
      <c r="M21" s="719">
        <v>22206093</v>
      </c>
      <c r="N21" s="719">
        <v>0</v>
      </c>
      <c r="W21" s="1650"/>
    </row>
    <row r="22" spans="1:23" s="284" customFormat="1" ht="15.75" customHeight="1" outlineLevel="1">
      <c r="A22" s="1289" t="str">
        <f t="shared" si="0"/>
        <v>MASSENA - MARCY  (Clark)350Land &amp; Land Rights</v>
      </c>
      <c r="B22" s="1410" t="s">
        <v>496</v>
      </c>
      <c r="C22" s="1642" t="s">
        <v>34</v>
      </c>
      <c r="D22" s="1643" t="s">
        <v>1934</v>
      </c>
      <c r="E22" s="1642">
        <v>350</v>
      </c>
      <c r="F22" s="1642" t="s">
        <v>1930</v>
      </c>
      <c r="G22" s="1726">
        <v>2668531</v>
      </c>
      <c r="H22" s="1726">
        <v>0</v>
      </c>
      <c r="I22" s="1726">
        <v>2668531</v>
      </c>
      <c r="J22" s="1726">
        <v>0</v>
      </c>
      <c r="K22" s="719">
        <v>2668531</v>
      </c>
      <c r="L22" s="719">
        <v>0</v>
      </c>
      <c r="M22" s="719">
        <v>2668531</v>
      </c>
      <c r="N22" s="719">
        <v>0</v>
      </c>
      <c r="W22" s="1650"/>
    </row>
    <row r="23" spans="1:23" s="284" customFormat="1" ht="15.75" customHeight="1" outlineLevel="1">
      <c r="A23" s="1289" t="str">
        <f t="shared" si="0"/>
        <v>NIAGARA350Land &amp; Land Rights</v>
      </c>
      <c r="B23" s="1410" t="s">
        <v>497</v>
      </c>
      <c r="C23" s="1642" t="s">
        <v>34</v>
      </c>
      <c r="D23" s="1643" t="s">
        <v>30</v>
      </c>
      <c r="E23" s="1642">
        <v>350</v>
      </c>
      <c r="F23" s="1642" t="s">
        <v>1930</v>
      </c>
      <c r="G23" s="1726">
        <v>5021928.49</v>
      </c>
      <c r="H23" s="1726">
        <v>0</v>
      </c>
      <c r="I23" s="1726">
        <v>5021928.49</v>
      </c>
      <c r="J23" s="1726">
        <v>0</v>
      </c>
      <c r="K23" s="719">
        <v>5021928.49</v>
      </c>
      <c r="L23" s="719">
        <v>0</v>
      </c>
      <c r="M23" s="719">
        <v>5021928.49</v>
      </c>
      <c r="N23" s="719">
        <v>0</v>
      </c>
      <c r="W23" s="1650"/>
    </row>
    <row r="24" spans="1:23" s="284" customFormat="1" ht="15.75" customHeight="1" outlineLevel="1">
      <c r="A24" s="1289" t="str">
        <f t="shared" si="0"/>
        <v>St.  LAWRENCE / FDR350Land &amp; Land Rights</v>
      </c>
      <c r="B24" s="1410" t="s">
        <v>498</v>
      </c>
      <c r="C24" s="1642" t="s">
        <v>34</v>
      </c>
      <c r="D24" s="1643" t="s">
        <v>1935</v>
      </c>
      <c r="E24" s="1642">
        <v>350</v>
      </c>
      <c r="F24" s="1642" t="s">
        <v>1930</v>
      </c>
      <c r="G24" s="1726">
        <v>1748393</v>
      </c>
      <c r="H24" s="1726">
        <v>0</v>
      </c>
      <c r="I24" s="1726">
        <v>1748393</v>
      </c>
      <c r="J24" s="1726">
        <v>0</v>
      </c>
      <c r="K24" s="719">
        <v>1767635.5</v>
      </c>
      <c r="L24" s="719">
        <v>0</v>
      </c>
      <c r="M24" s="719">
        <v>1767635.5</v>
      </c>
      <c r="N24" s="719">
        <v>0</v>
      </c>
      <c r="W24" s="1650"/>
    </row>
    <row r="25" spans="1:23" s="284" customFormat="1" ht="15.75" customHeight="1" outlineLevel="1">
      <c r="A25" s="1289" t="str">
        <f t="shared" si="0"/>
        <v>BLENHEIM - GILBOA389Land &amp; Land Rights</v>
      </c>
      <c r="B25" s="1410" t="s">
        <v>499</v>
      </c>
      <c r="C25" s="1642" t="s">
        <v>107</v>
      </c>
      <c r="D25" s="1643" t="s">
        <v>1929</v>
      </c>
      <c r="E25" s="1642">
        <v>389</v>
      </c>
      <c r="F25" s="1642" t="s">
        <v>1930</v>
      </c>
      <c r="G25" s="1726">
        <v>56835</v>
      </c>
      <c r="H25" s="1726">
        <v>0</v>
      </c>
      <c r="I25" s="1726">
        <v>56835</v>
      </c>
      <c r="J25" s="1726">
        <v>0</v>
      </c>
      <c r="K25" s="719">
        <v>56835</v>
      </c>
      <c r="L25" s="719">
        <v>0</v>
      </c>
      <c r="M25" s="719">
        <v>56835</v>
      </c>
      <c r="N25" s="719">
        <v>0</v>
      </c>
      <c r="W25" s="1650"/>
    </row>
    <row r="26" spans="1:23" s="284" customFormat="1" ht="15.75" customHeight="1" outlineLevel="1">
      <c r="A26" s="1289" t="str">
        <f t="shared" si="0"/>
        <v>HEADQUARTERS389Land &amp; Land Rights</v>
      </c>
      <c r="B26" s="1410" t="s">
        <v>500</v>
      </c>
      <c r="C26" s="1642" t="s">
        <v>107</v>
      </c>
      <c r="D26" s="1643" t="s">
        <v>1936</v>
      </c>
      <c r="E26" s="1642">
        <v>389</v>
      </c>
      <c r="F26" s="1642" t="s">
        <v>1930</v>
      </c>
      <c r="G26" s="1726">
        <v>11300000</v>
      </c>
      <c r="H26" s="1726">
        <v>0</v>
      </c>
      <c r="I26" s="1726">
        <v>11300000</v>
      </c>
      <c r="J26" s="1726">
        <v>0</v>
      </c>
      <c r="K26" s="719">
        <v>11300000</v>
      </c>
      <c r="L26" s="719">
        <v>0</v>
      </c>
      <c r="M26" s="719">
        <v>11300000</v>
      </c>
      <c r="N26" s="719">
        <v>0</v>
      </c>
      <c r="W26" s="1650"/>
    </row>
    <row r="27" spans="1:23" s="284" customFormat="1" ht="15.75" customHeight="1" outlineLevel="1">
      <c r="A27" s="1289" t="str">
        <f t="shared" si="0"/>
        <v>MASSENA - MARCY  (Clark)389Land &amp; Land Rights</v>
      </c>
      <c r="B27" s="1410" t="s">
        <v>501</v>
      </c>
      <c r="C27" s="1642" t="s">
        <v>107</v>
      </c>
      <c r="D27" s="1643" t="s">
        <v>1934</v>
      </c>
      <c r="E27" s="1642">
        <v>389</v>
      </c>
      <c r="F27" s="1642" t="s">
        <v>1930</v>
      </c>
      <c r="G27" s="1726">
        <v>75936</v>
      </c>
      <c r="H27" s="1726">
        <v>0</v>
      </c>
      <c r="I27" s="1726">
        <v>75936</v>
      </c>
      <c r="J27" s="1726">
        <v>0</v>
      </c>
      <c r="K27" s="719">
        <v>8000</v>
      </c>
      <c r="L27" s="719">
        <v>0</v>
      </c>
      <c r="M27" s="719">
        <v>8000</v>
      </c>
      <c r="N27" s="719">
        <v>0</v>
      </c>
      <c r="W27" s="1650"/>
    </row>
    <row r="28" spans="1:23" s="284" customFormat="1" ht="15.75" customHeight="1" outlineLevel="1">
      <c r="A28" s="1289" t="str">
        <f t="shared" si="0"/>
        <v>NIAGARA389Land &amp; Land Rights</v>
      </c>
      <c r="B28" s="1410" t="s">
        <v>502</v>
      </c>
      <c r="C28" s="1642" t="s">
        <v>107</v>
      </c>
      <c r="D28" s="1643" t="s">
        <v>30</v>
      </c>
      <c r="E28" s="1642">
        <v>389</v>
      </c>
      <c r="F28" s="1642" t="s">
        <v>1930</v>
      </c>
      <c r="G28" s="1726">
        <v>150246</v>
      </c>
      <c r="H28" s="1726">
        <v>0</v>
      </c>
      <c r="I28" s="1726">
        <v>150246</v>
      </c>
      <c r="J28" s="1726">
        <v>0</v>
      </c>
      <c r="K28" s="719">
        <v>75936</v>
      </c>
      <c r="L28" s="719">
        <v>0</v>
      </c>
      <c r="M28" s="719">
        <v>75936</v>
      </c>
      <c r="N28" s="719">
        <v>0</v>
      </c>
      <c r="W28" s="1650"/>
    </row>
    <row r="29" spans="1:23" s="284" customFormat="1" ht="15.75" customHeight="1" outlineLevel="1">
      <c r="A29" s="1289" t="str">
        <f t="shared" si="0"/>
        <v>St.  LAWRENCE / FDR389Land &amp; Land Rights</v>
      </c>
      <c r="B29" s="1410" t="s">
        <v>503</v>
      </c>
      <c r="C29" s="1642" t="s">
        <v>107</v>
      </c>
      <c r="D29" s="1643" t="s">
        <v>1935</v>
      </c>
      <c r="E29" s="1642">
        <v>389</v>
      </c>
      <c r="F29" s="1642" t="s">
        <v>1930</v>
      </c>
      <c r="G29" s="1726">
        <v>6858</v>
      </c>
      <c r="H29" s="1726">
        <v>0</v>
      </c>
      <c r="I29" s="1726">
        <v>6858</v>
      </c>
      <c r="J29" s="1726">
        <v>0</v>
      </c>
      <c r="K29" s="719">
        <v>152996</v>
      </c>
      <c r="L29" s="719">
        <v>0</v>
      </c>
      <c r="M29" s="719">
        <v>152996</v>
      </c>
      <c r="N29" s="719">
        <v>0</v>
      </c>
      <c r="W29" s="1650"/>
    </row>
    <row r="30" spans="1:23" s="284" customFormat="1" ht="15.75" customHeight="1" outlineLevel="1">
      <c r="A30" s="1289" t="str">
        <f t="shared" si="0"/>
        <v>Jarvis389Land &amp; Land Rights</v>
      </c>
      <c r="B30" s="1410" t="s">
        <v>505</v>
      </c>
      <c r="C30" s="1642" t="s">
        <v>107</v>
      </c>
      <c r="D30" s="1643" t="s">
        <v>162</v>
      </c>
      <c r="E30" s="1642">
        <v>389</v>
      </c>
      <c r="F30" s="1642" t="s">
        <v>1930</v>
      </c>
      <c r="G30" s="1726">
        <v>8000</v>
      </c>
      <c r="H30" s="1726">
        <v>0</v>
      </c>
      <c r="I30" s="1726">
        <v>8000</v>
      </c>
      <c r="J30" s="1726">
        <v>0</v>
      </c>
      <c r="K30" s="719">
        <v>13816</v>
      </c>
      <c r="L30" s="719">
        <v>0</v>
      </c>
      <c r="M30" s="719">
        <v>13816</v>
      </c>
      <c r="N30" s="719">
        <v>0</v>
      </c>
      <c r="W30" s="1650"/>
    </row>
    <row r="31" spans="1:23" s="284" customFormat="1" ht="15.75" customHeight="1" outlineLevel="1">
      <c r="A31" s="1289" t="str">
        <f t="shared" si="0"/>
        <v>POLETTI  (Astoria)389Land &amp; Land Rights</v>
      </c>
      <c r="B31" s="1410" t="s">
        <v>504</v>
      </c>
      <c r="C31" s="1642" t="s">
        <v>107</v>
      </c>
      <c r="D31" s="1643" t="s">
        <v>161</v>
      </c>
      <c r="E31" s="1642">
        <v>389</v>
      </c>
      <c r="F31" s="1642" t="s">
        <v>1930</v>
      </c>
      <c r="G31" s="1726">
        <v>13816</v>
      </c>
      <c r="H31" s="1726">
        <v>0</v>
      </c>
      <c r="I31" s="1726">
        <v>13816</v>
      </c>
      <c r="J31" s="1726">
        <v>0</v>
      </c>
      <c r="K31" s="719">
        <v>6858</v>
      </c>
      <c r="L31" s="719">
        <v>0</v>
      </c>
      <c r="M31" s="719">
        <v>6858</v>
      </c>
      <c r="N31" s="719">
        <v>0</v>
      </c>
      <c r="W31" s="1650"/>
    </row>
    <row r="32" spans="1:23" s="284" customFormat="1" ht="15.75" customHeight="1" outlineLevel="1">
      <c r="A32" s="1289" t="str">
        <f t="shared" si="0"/>
        <v>Astoria 2 (AE-II) Substation350Land &amp; Land Rights</v>
      </c>
      <c r="B32" s="1410" t="s">
        <v>506</v>
      </c>
      <c r="C32" s="1642" t="s">
        <v>34</v>
      </c>
      <c r="D32" s="1643" t="s">
        <v>448</v>
      </c>
      <c r="E32" s="1642">
        <v>350</v>
      </c>
      <c r="F32" s="1642" t="s">
        <v>1930</v>
      </c>
      <c r="G32" s="1726">
        <v>0</v>
      </c>
      <c r="H32" s="1726">
        <v>0</v>
      </c>
      <c r="I32" s="1726">
        <v>0</v>
      </c>
      <c r="J32" s="1726">
        <v>0</v>
      </c>
      <c r="K32" s="719">
        <v>0</v>
      </c>
      <c r="L32" s="719">
        <v>0</v>
      </c>
      <c r="M32" s="719">
        <v>0</v>
      </c>
      <c r="N32" s="719">
        <v>0</v>
      </c>
      <c r="W32" s="1650"/>
    </row>
    <row r="33" spans="1:23" s="284" customFormat="1" ht="15.75" customHeight="1" outlineLevel="1">
      <c r="A33" s="1289" t="str">
        <f t="shared" si="0"/>
        <v>POLETTI  (Astoria)350Land &amp; Land Rights</v>
      </c>
      <c r="B33" s="1410" t="s">
        <v>1169</v>
      </c>
      <c r="C33" s="1642" t="s">
        <v>34</v>
      </c>
      <c r="D33" s="1643" t="s">
        <v>161</v>
      </c>
      <c r="E33" s="1642">
        <v>350</v>
      </c>
      <c r="F33" s="1642" t="s">
        <v>1930</v>
      </c>
      <c r="G33" s="1726">
        <v>981</v>
      </c>
      <c r="H33" s="1726">
        <v>0</v>
      </c>
      <c r="I33" s="1726">
        <v>981</v>
      </c>
      <c r="J33" s="1726">
        <v>0</v>
      </c>
      <c r="K33" s="719">
        <v>981</v>
      </c>
      <c r="L33" s="719">
        <v>0</v>
      </c>
      <c r="M33" s="719">
        <v>981</v>
      </c>
      <c r="N33" s="719">
        <v>0</v>
      </c>
      <c r="W33" s="1650"/>
    </row>
    <row r="34" spans="1:23" s="284" customFormat="1" ht="15.75" customHeight="1" outlineLevel="1">
      <c r="A34" s="1289" t="str">
        <f t="shared" si="0"/>
        <v>MASSENA - MARCY  (Clark)350Land &amp; Land Rights - Pathnode Substation WF</v>
      </c>
      <c r="B34" s="1410" t="s">
        <v>1170</v>
      </c>
      <c r="C34" s="1642" t="s">
        <v>34</v>
      </c>
      <c r="D34" s="1643" t="s">
        <v>1934</v>
      </c>
      <c r="E34" s="1642">
        <v>350</v>
      </c>
      <c r="F34" s="1642" t="s">
        <v>1937</v>
      </c>
      <c r="G34" s="1726">
        <v>20962</v>
      </c>
      <c r="H34" s="1726">
        <v>0</v>
      </c>
      <c r="I34" s="1726">
        <v>20962</v>
      </c>
      <c r="J34" s="1726">
        <v>0</v>
      </c>
      <c r="K34" s="719">
        <v>20962</v>
      </c>
      <c r="L34" s="719">
        <v>0</v>
      </c>
      <c r="M34" s="719">
        <v>20962</v>
      </c>
      <c r="N34" s="719">
        <v>0</v>
      </c>
      <c r="W34" s="1650"/>
    </row>
    <row r="35" spans="1:23" s="284" customFormat="1" ht="15.75" customHeight="1" outlineLevel="1">
      <c r="A35" s="1289" t="str">
        <f t="shared" si="0"/>
        <v>500mW C - C at Astoria340Land &amp; Land Rights</v>
      </c>
      <c r="B35" s="1410" t="s">
        <v>1171</v>
      </c>
      <c r="C35" s="1642" t="s">
        <v>451</v>
      </c>
      <c r="D35" s="1643" t="s">
        <v>153</v>
      </c>
      <c r="E35" s="1642">
        <v>340</v>
      </c>
      <c r="F35" s="1642" t="s">
        <v>1930</v>
      </c>
      <c r="G35" s="1726">
        <v>1080216</v>
      </c>
      <c r="H35" s="1726">
        <v>0</v>
      </c>
      <c r="I35" s="1726">
        <v>1080216</v>
      </c>
      <c r="J35" s="1726">
        <v>0</v>
      </c>
      <c r="K35" s="719">
        <v>1080216</v>
      </c>
      <c r="L35" s="719">
        <v>0</v>
      </c>
      <c r="M35" s="719">
        <v>1080216</v>
      </c>
      <c r="N35" s="719">
        <v>0</v>
      </c>
      <c r="W35" s="1650"/>
    </row>
    <row r="36" spans="1:23" s="284" customFormat="1" ht="15.75" customHeight="1" outlineLevel="1">
      <c r="A36" s="1289" t="str">
        <f t="shared" si="0"/>
        <v>ASHOKAN / KENSICO330Land &amp; Land Rights</v>
      </c>
      <c r="B36" s="1410" t="s">
        <v>1172</v>
      </c>
      <c r="C36" s="1642" t="s">
        <v>451</v>
      </c>
      <c r="D36" s="1643" t="s">
        <v>1938</v>
      </c>
      <c r="E36" s="1642">
        <v>330</v>
      </c>
      <c r="F36" s="1642" t="s">
        <v>1930</v>
      </c>
      <c r="G36" s="1726">
        <v>1205</v>
      </c>
      <c r="H36" s="1726">
        <v>0</v>
      </c>
      <c r="I36" s="1726">
        <v>1205</v>
      </c>
      <c r="J36" s="1726">
        <v>0</v>
      </c>
      <c r="K36" s="719">
        <v>1205</v>
      </c>
      <c r="L36" s="719">
        <v>0</v>
      </c>
      <c r="M36" s="719">
        <v>1205</v>
      </c>
      <c r="N36" s="719">
        <v>0</v>
      </c>
      <c r="W36" s="1650"/>
    </row>
    <row r="37" spans="1:23" s="284" customFormat="1" ht="15.75" customHeight="1" outlineLevel="1">
      <c r="A37" s="1289" t="str">
        <f t="shared" si="0"/>
        <v>BLENHEIM - GILBOA330Land &amp; Land Rights</v>
      </c>
      <c r="B37" s="1410" t="s">
        <v>1173</v>
      </c>
      <c r="C37" s="1642" t="s">
        <v>451</v>
      </c>
      <c r="D37" s="1643" t="s">
        <v>1929</v>
      </c>
      <c r="E37" s="1642">
        <v>330</v>
      </c>
      <c r="F37" s="1642" t="s">
        <v>1930</v>
      </c>
      <c r="G37" s="1726">
        <v>523743</v>
      </c>
      <c r="H37" s="1726">
        <v>0</v>
      </c>
      <c r="I37" s="1726">
        <v>523743</v>
      </c>
      <c r="J37" s="1726">
        <v>0</v>
      </c>
      <c r="K37" s="719">
        <v>817483</v>
      </c>
      <c r="L37" s="719">
        <v>0</v>
      </c>
      <c r="M37" s="719">
        <v>817483</v>
      </c>
      <c r="N37" s="719">
        <v>0</v>
      </c>
      <c r="W37" s="1650"/>
    </row>
    <row r="38" spans="1:23" s="284" customFormat="1" ht="15.75" customHeight="1" outlineLevel="1">
      <c r="A38" s="1289" t="str">
        <f t="shared" si="0"/>
        <v>BRENTWOOD  (Long Island)340Land &amp; Land Rights</v>
      </c>
      <c r="B38" s="1410" t="s">
        <v>1174</v>
      </c>
      <c r="C38" s="1642" t="s">
        <v>451</v>
      </c>
      <c r="D38" s="1643" t="s">
        <v>159</v>
      </c>
      <c r="E38" s="1642">
        <v>340</v>
      </c>
      <c r="F38" s="1642" t="s">
        <v>1930</v>
      </c>
      <c r="G38" s="1726">
        <v>1030830</v>
      </c>
      <c r="H38" s="1726">
        <v>0</v>
      </c>
      <c r="I38" s="1726">
        <v>1030830</v>
      </c>
      <c r="J38" s="1726">
        <v>0</v>
      </c>
      <c r="K38" s="719">
        <v>1030830</v>
      </c>
      <c r="L38" s="719">
        <v>0</v>
      </c>
      <c r="M38" s="719">
        <v>1030830</v>
      </c>
      <c r="N38" s="719">
        <v>0</v>
      </c>
      <c r="W38" s="1650"/>
    </row>
    <row r="39" spans="1:23" s="284" customFormat="1" ht="15.75" customHeight="1" outlineLevel="1">
      <c r="A39" s="1289" t="str">
        <f t="shared" si="0"/>
        <v>Crescent330Land &amp; Land Rights</v>
      </c>
      <c r="B39" s="1410" t="s">
        <v>1175</v>
      </c>
      <c r="C39" s="1642" t="s">
        <v>451</v>
      </c>
      <c r="D39" s="1643" t="s">
        <v>154</v>
      </c>
      <c r="E39" s="1642">
        <v>330</v>
      </c>
      <c r="F39" s="1642" t="s">
        <v>1930</v>
      </c>
      <c r="G39" s="1726">
        <v>5402065</v>
      </c>
      <c r="H39" s="1726">
        <v>0</v>
      </c>
      <c r="I39" s="1726">
        <v>5402065</v>
      </c>
      <c r="J39" s="1726">
        <v>0</v>
      </c>
      <c r="K39" s="719">
        <v>5402065</v>
      </c>
      <c r="L39" s="719">
        <v>0</v>
      </c>
      <c r="M39" s="719">
        <v>5402065</v>
      </c>
      <c r="N39" s="719">
        <v>0</v>
      </c>
      <c r="W39" s="1650"/>
    </row>
    <row r="40" spans="1:23" s="284" customFormat="1" ht="15.75" customHeight="1" outlineLevel="1">
      <c r="A40" s="1289" t="str">
        <f t="shared" si="0"/>
        <v>FLYNN  (Holtsville)340Land &amp; Land Rights</v>
      </c>
      <c r="B40" s="1410" t="s">
        <v>1176</v>
      </c>
      <c r="C40" s="1642" t="s">
        <v>451</v>
      </c>
      <c r="D40" s="1643" t="s">
        <v>155</v>
      </c>
      <c r="E40" s="1642">
        <v>340</v>
      </c>
      <c r="F40" s="1642" t="s">
        <v>1930</v>
      </c>
      <c r="G40" s="1726">
        <v>5923685.3399999999</v>
      </c>
      <c r="H40" s="1726">
        <v>0</v>
      </c>
      <c r="I40" s="1726">
        <v>5923685.3399999999</v>
      </c>
      <c r="J40" s="1726">
        <v>0</v>
      </c>
      <c r="K40" s="719">
        <v>5923685.3399999999</v>
      </c>
      <c r="L40" s="719">
        <v>0</v>
      </c>
      <c r="M40" s="719">
        <v>5923685.3399999999</v>
      </c>
      <c r="N40" s="719">
        <v>0</v>
      </c>
      <c r="W40" s="1650"/>
    </row>
    <row r="41" spans="1:23" s="284" customFormat="1" ht="15.75" customHeight="1" outlineLevel="1">
      <c r="A41" s="1289" t="str">
        <f t="shared" si="0"/>
        <v>GOWANUS  (Brooklyn)340Land &amp; Land Rights</v>
      </c>
      <c r="B41" s="1410" t="s">
        <v>1177</v>
      </c>
      <c r="C41" s="1642" t="s">
        <v>451</v>
      </c>
      <c r="D41" s="1643" t="s">
        <v>156</v>
      </c>
      <c r="E41" s="1642">
        <v>340</v>
      </c>
      <c r="F41" s="1642" t="s">
        <v>1930</v>
      </c>
      <c r="G41" s="1726">
        <v>6512971</v>
      </c>
      <c r="H41" s="1726">
        <v>0</v>
      </c>
      <c r="I41" s="1726">
        <v>6512971</v>
      </c>
      <c r="J41" s="1726">
        <v>0</v>
      </c>
      <c r="K41" s="719">
        <v>6512971</v>
      </c>
      <c r="L41" s="719">
        <v>0</v>
      </c>
      <c r="M41" s="719">
        <v>6512971</v>
      </c>
      <c r="N41" s="719">
        <v>0</v>
      </c>
      <c r="W41" s="1650"/>
    </row>
    <row r="42" spans="1:23" s="284" customFormat="1" ht="15.75" customHeight="1" outlineLevel="1">
      <c r="A42" s="1289" t="str">
        <f t="shared" si="0"/>
        <v>HARLEM RIVER YARDS  (Bronx)340Land &amp; Land Rights</v>
      </c>
      <c r="B42" s="1410" t="s">
        <v>1178</v>
      </c>
      <c r="C42" s="1642" t="s">
        <v>451</v>
      </c>
      <c r="D42" s="1643" t="s">
        <v>157</v>
      </c>
      <c r="E42" s="1642">
        <v>340</v>
      </c>
      <c r="F42" s="1642" t="s">
        <v>1930</v>
      </c>
      <c r="G42" s="1726">
        <v>5846605</v>
      </c>
      <c r="H42" s="1726">
        <v>0</v>
      </c>
      <c r="I42" s="1726">
        <v>5846605</v>
      </c>
      <c r="J42" s="1726">
        <v>0</v>
      </c>
      <c r="K42" s="719">
        <v>5846605</v>
      </c>
      <c r="L42" s="719">
        <v>0</v>
      </c>
      <c r="M42" s="719">
        <v>5846605</v>
      </c>
      <c r="N42" s="719">
        <v>0</v>
      </c>
      <c r="W42" s="1650"/>
    </row>
    <row r="43" spans="1:23" s="284" customFormat="1" ht="15.75" customHeight="1" outlineLevel="1">
      <c r="A43" s="1289" t="str">
        <f t="shared" si="0"/>
        <v>HELLGATE  (Bronx)340Land &amp; Land Rights</v>
      </c>
      <c r="B43" s="1410" t="s">
        <v>1179</v>
      </c>
      <c r="C43" s="1642" t="s">
        <v>451</v>
      </c>
      <c r="D43" s="1643" t="s">
        <v>158</v>
      </c>
      <c r="E43" s="1642">
        <v>340</v>
      </c>
      <c r="F43" s="1642" t="s">
        <v>1930</v>
      </c>
      <c r="G43" s="1726">
        <v>5079808</v>
      </c>
      <c r="H43" s="1726">
        <v>0</v>
      </c>
      <c r="I43" s="1726">
        <v>5079808</v>
      </c>
      <c r="J43" s="1726">
        <v>0</v>
      </c>
      <c r="K43" s="719">
        <v>5079808</v>
      </c>
      <c r="L43" s="719">
        <v>0</v>
      </c>
      <c r="M43" s="719">
        <v>5079808</v>
      </c>
      <c r="N43" s="719">
        <v>0</v>
      </c>
      <c r="W43" s="1650"/>
    </row>
    <row r="44" spans="1:23" s="284" customFormat="1" ht="15.75" customHeight="1" outlineLevel="1">
      <c r="A44" s="1289" t="str">
        <f t="shared" si="0"/>
        <v>Jarvis330Land &amp; Land Rights</v>
      </c>
      <c r="B44" s="1410" t="s">
        <v>1180</v>
      </c>
      <c r="C44" s="1642" t="s">
        <v>451</v>
      </c>
      <c r="D44" s="1643" t="s">
        <v>162</v>
      </c>
      <c r="E44" s="1642">
        <v>330</v>
      </c>
      <c r="F44" s="1642" t="s">
        <v>1930</v>
      </c>
      <c r="G44" s="1726">
        <v>450172</v>
      </c>
      <c r="H44" s="1726">
        <v>0</v>
      </c>
      <c r="I44" s="1726">
        <v>450172</v>
      </c>
      <c r="J44" s="1726">
        <v>0</v>
      </c>
      <c r="K44" s="719">
        <v>450172</v>
      </c>
      <c r="L44" s="719">
        <v>0</v>
      </c>
      <c r="M44" s="719">
        <v>450172</v>
      </c>
      <c r="N44" s="719">
        <v>0</v>
      </c>
      <c r="W44" s="1650"/>
    </row>
    <row r="45" spans="1:23" s="284" customFormat="1" ht="15.75" customHeight="1" outlineLevel="1">
      <c r="A45" s="1289" t="str">
        <f t="shared" si="0"/>
        <v>Kensico330Land &amp; Land Rights</v>
      </c>
      <c r="B45" s="1410" t="s">
        <v>1181</v>
      </c>
      <c r="C45" s="1642" t="s">
        <v>451</v>
      </c>
      <c r="D45" s="1643" t="s">
        <v>163</v>
      </c>
      <c r="E45" s="1642">
        <v>330</v>
      </c>
      <c r="F45" s="1642" t="s">
        <v>1930</v>
      </c>
      <c r="G45" s="1726">
        <v>0</v>
      </c>
      <c r="H45" s="1726">
        <v>0</v>
      </c>
      <c r="I45" s="1726">
        <v>0</v>
      </c>
      <c r="J45" s="1726">
        <v>0</v>
      </c>
      <c r="K45" s="719">
        <v>0</v>
      </c>
      <c r="L45" s="719">
        <v>0</v>
      </c>
      <c r="M45" s="719">
        <v>0</v>
      </c>
      <c r="N45" s="719">
        <v>0</v>
      </c>
      <c r="W45" s="1650"/>
    </row>
    <row r="46" spans="1:23" s="284" customFormat="1" ht="15.75" customHeight="1" outlineLevel="1">
      <c r="A46" s="1289" t="str">
        <f t="shared" si="0"/>
        <v>KENT  (Brooklyn)340Land &amp; Land Rights</v>
      </c>
      <c r="B46" s="1410" t="s">
        <v>1182</v>
      </c>
      <c r="C46" s="1642" t="s">
        <v>451</v>
      </c>
      <c r="D46" s="1643" t="s">
        <v>165</v>
      </c>
      <c r="E46" s="1642">
        <v>340</v>
      </c>
      <c r="F46" s="1642" t="s">
        <v>1930</v>
      </c>
      <c r="G46" s="1726">
        <v>4215782</v>
      </c>
      <c r="H46" s="1726">
        <v>0</v>
      </c>
      <c r="I46" s="1726">
        <v>4215782</v>
      </c>
      <c r="J46" s="1726">
        <v>0</v>
      </c>
      <c r="K46" s="719">
        <v>4215782</v>
      </c>
      <c r="L46" s="719">
        <v>0</v>
      </c>
      <c r="M46" s="719">
        <v>4215782</v>
      </c>
      <c r="N46" s="719">
        <v>0</v>
      </c>
      <c r="W46" s="1650"/>
    </row>
    <row r="47" spans="1:23" s="284" customFormat="1" ht="15.75" customHeight="1" outlineLevel="1">
      <c r="A47" s="1289" t="str">
        <f t="shared" si="0"/>
        <v>NIAGARA330Land &amp; Land Rights</v>
      </c>
      <c r="B47" s="1410" t="s">
        <v>1183</v>
      </c>
      <c r="C47" s="1642" t="s">
        <v>451</v>
      </c>
      <c r="D47" s="1643" t="s">
        <v>30</v>
      </c>
      <c r="E47" s="1642">
        <v>330</v>
      </c>
      <c r="F47" s="1642" t="s">
        <v>1930</v>
      </c>
      <c r="G47" s="1726">
        <v>53061297.440000005</v>
      </c>
      <c r="H47" s="1726">
        <v>0</v>
      </c>
      <c r="I47" s="1726">
        <v>53061297.440000005</v>
      </c>
      <c r="J47" s="1726">
        <v>0</v>
      </c>
      <c r="K47" s="719">
        <v>53061297.440000005</v>
      </c>
      <c r="L47" s="719">
        <v>0</v>
      </c>
      <c r="M47" s="719">
        <v>53061297.440000005</v>
      </c>
      <c r="N47" s="719">
        <v>0</v>
      </c>
      <c r="W47" s="1650"/>
    </row>
    <row r="48" spans="1:23" s="284" customFormat="1" ht="15.75" customHeight="1" outlineLevel="1">
      <c r="A48" s="1289" t="str">
        <f t="shared" si="0"/>
        <v>POLETTI  (Astoria)310Land &amp; Land Rights</v>
      </c>
      <c r="B48" s="1410" t="s">
        <v>1184</v>
      </c>
      <c r="C48" s="1642" t="s">
        <v>451</v>
      </c>
      <c r="D48" s="1643" t="s">
        <v>161</v>
      </c>
      <c r="E48" s="1642">
        <v>310</v>
      </c>
      <c r="F48" s="1642" t="s">
        <v>1930</v>
      </c>
      <c r="G48" s="1726">
        <v>729549</v>
      </c>
      <c r="H48" s="1726">
        <v>0</v>
      </c>
      <c r="I48" s="1726">
        <v>729549</v>
      </c>
      <c r="J48" s="1726">
        <v>0</v>
      </c>
      <c r="K48" s="719">
        <v>729549</v>
      </c>
      <c r="L48" s="719">
        <v>0</v>
      </c>
      <c r="M48" s="719">
        <v>729549</v>
      </c>
      <c r="N48" s="719">
        <v>0</v>
      </c>
      <c r="W48" s="1650"/>
    </row>
    <row r="49" spans="1:23" s="284" customFormat="1" ht="15.75" customHeight="1" outlineLevel="1">
      <c r="A49" s="1289" t="str">
        <f t="shared" si="0"/>
        <v>POUCH TERMINAL  (Richmond)340Land &amp; Land Rights</v>
      </c>
      <c r="B49" s="1410" t="s">
        <v>1185</v>
      </c>
      <c r="C49" s="1642" t="s">
        <v>451</v>
      </c>
      <c r="D49" s="1643" t="s">
        <v>166</v>
      </c>
      <c r="E49" s="1642">
        <v>340</v>
      </c>
      <c r="F49" s="1642" t="s">
        <v>1930</v>
      </c>
      <c r="G49" s="1726">
        <v>950605</v>
      </c>
      <c r="H49" s="1726">
        <v>0</v>
      </c>
      <c r="I49" s="1726">
        <v>950605</v>
      </c>
      <c r="J49" s="1726">
        <v>0</v>
      </c>
      <c r="K49" s="719">
        <v>950605</v>
      </c>
      <c r="L49" s="719">
        <v>0</v>
      </c>
      <c r="M49" s="719">
        <v>950605</v>
      </c>
      <c r="N49" s="719">
        <v>0</v>
      </c>
      <c r="W49" s="1650"/>
    </row>
    <row r="50" spans="1:23" s="284" customFormat="1" ht="15.75" customHeight="1" outlineLevel="1">
      <c r="A50" s="1289" t="str">
        <f t="shared" si="0"/>
        <v>St.  LAWRENCE / FDR330Land &amp; Land Rights</v>
      </c>
      <c r="B50" s="1410" t="s">
        <v>1186</v>
      </c>
      <c r="C50" s="1642" t="s">
        <v>451</v>
      </c>
      <c r="D50" s="1643" t="s">
        <v>1935</v>
      </c>
      <c r="E50" s="1642">
        <v>330</v>
      </c>
      <c r="F50" s="1642" t="s">
        <v>1930</v>
      </c>
      <c r="G50" s="1726">
        <v>217672</v>
      </c>
      <c r="H50" s="1726">
        <v>0</v>
      </c>
      <c r="I50" s="1726">
        <v>217672</v>
      </c>
      <c r="J50" s="1726">
        <v>0</v>
      </c>
      <c r="K50" s="719">
        <v>217672</v>
      </c>
      <c r="L50" s="719">
        <v>0</v>
      </c>
      <c r="M50" s="719">
        <v>217672</v>
      </c>
      <c r="N50" s="719">
        <v>0</v>
      </c>
      <c r="W50" s="1650"/>
    </row>
    <row r="51" spans="1:23" s="284" customFormat="1" ht="15.75" customHeight="1" outlineLevel="1">
      <c r="A51" s="1289" t="str">
        <f t="shared" si="0"/>
        <v>VERNON BOULEVARD  (Queens)340Land &amp; Land Rights</v>
      </c>
      <c r="B51" s="1410" t="s">
        <v>1187</v>
      </c>
      <c r="C51" s="1642" t="s">
        <v>451</v>
      </c>
      <c r="D51" s="1643" t="s">
        <v>167</v>
      </c>
      <c r="E51" s="1642">
        <v>340</v>
      </c>
      <c r="F51" s="1642" t="s">
        <v>1930</v>
      </c>
      <c r="G51" s="1726">
        <v>6968605</v>
      </c>
      <c r="H51" s="1726">
        <v>0</v>
      </c>
      <c r="I51" s="1726">
        <v>6968605</v>
      </c>
      <c r="J51" s="1726">
        <v>0</v>
      </c>
      <c r="K51" s="719">
        <v>6968605</v>
      </c>
      <c r="L51" s="719">
        <v>0</v>
      </c>
      <c r="M51" s="719">
        <v>6968605</v>
      </c>
      <c r="N51" s="719">
        <v>0</v>
      </c>
      <c r="W51" s="1650"/>
    </row>
    <row r="52" spans="1:23" s="284" customFormat="1" ht="15.75" customHeight="1" outlineLevel="1">
      <c r="A52" s="1289" t="str">
        <f t="shared" si="0"/>
        <v>Vischer Ferry330Land &amp; Land Rights</v>
      </c>
      <c r="B52" s="1410" t="s">
        <v>1227</v>
      </c>
      <c r="C52" s="1642" t="s">
        <v>451</v>
      </c>
      <c r="D52" s="1643" t="s">
        <v>164</v>
      </c>
      <c r="E52" s="1642">
        <v>330</v>
      </c>
      <c r="F52" s="1642" t="s">
        <v>1930</v>
      </c>
      <c r="G52" s="1726">
        <v>6518668</v>
      </c>
      <c r="H52" s="1726">
        <v>0</v>
      </c>
      <c r="I52" s="1726">
        <v>6518668</v>
      </c>
      <c r="J52" s="1726">
        <v>0</v>
      </c>
      <c r="K52" s="719">
        <v>6518668</v>
      </c>
      <c r="L52" s="719">
        <v>0</v>
      </c>
      <c r="M52" s="719">
        <v>6518668</v>
      </c>
      <c r="N52" s="719">
        <v>0</v>
      </c>
      <c r="W52" s="1650"/>
    </row>
    <row r="53" spans="1:23" s="284" customFormat="1" ht="15.75" customHeight="1" outlineLevel="1">
      <c r="A53" s="1289" t="str">
        <f t="shared" ref="A53:A83" si="1">CONCATENATE(D53,E53,F53)</f>
        <v/>
      </c>
      <c r="B53" s="1410" t="s">
        <v>541</v>
      </c>
      <c r="C53" s="656"/>
      <c r="D53" s="656"/>
      <c r="E53" s="719"/>
      <c r="F53" s="656"/>
      <c r="G53" s="1726"/>
      <c r="H53" s="1726"/>
      <c r="I53" s="1726"/>
      <c r="J53" s="1726"/>
      <c r="K53" s="719"/>
      <c r="L53" s="719"/>
      <c r="M53" s="719"/>
      <c r="N53" s="719"/>
      <c r="W53" s="1650"/>
    </row>
    <row r="54" spans="1:23" s="284" customFormat="1" ht="15.75" customHeight="1" outlineLevel="1" thickBot="1">
      <c r="A54" s="1289" t="str">
        <f t="shared" si="1"/>
        <v/>
      </c>
      <c r="B54" s="1410" t="s">
        <v>541</v>
      </c>
      <c r="C54" s="656"/>
      <c r="D54" s="656"/>
      <c r="E54" s="719"/>
      <c r="F54" s="656"/>
      <c r="G54" s="1726"/>
      <c r="H54" s="1726"/>
      <c r="I54" s="1726"/>
      <c r="J54" s="1726"/>
      <c r="K54" s="719"/>
      <c r="L54" s="719"/>
      <c r="M54" s="719"/>
      <c r="N54" s="719"/>
      <c r="W54" s="1650"/>
    </row>
    <row r="55" spans="1:23" s="261" customFormat="1" ht="16.5" customHeight="1" thickBot="1">
      <c r="A55" s="1289" t="str">
        <f t="shared" si="1"/>
        <v>Land Total</v>
      </c>
      <c r="B55" s="1366">
        <v>2</v>
      </c>
      <c r="C55" s="386"/>
      <c r="D55" s="386"/>
      <c r="E55" s="386"/>
      <c r="F55" s="655" t="s">
        <v>617</v>
      </c>
      <c r="G55" s="1727">
        <f t="shared" ref="G55:J55" si="2">SUBTOTAL(9,G18:G54)</f>
        <v>163510893.27000001</v>
      </c>
      <c r="H55" s="1727">
        <f t="shared" si="2"/>
        <v>0</v>
      </c>
      <c r="I55" s="1727">
        <f t="shared" si="2"/>
        <v>163510893.27000001</v>
      </c>
      <c r="J55" s="1727">
        <f t="shared" si="2"/>
        <v>0</v>
      </c>
      <c r="K55" s="389">
        <f t="shared" ref="K55:N55" si="3">SUBTOTAL(9,K18:K54)</f>
        <v>163826625.77000001</v>
      </c>
      <c r="L55" s="389">
        <f t="shared" si="3"/>
        <v>0</v>
      </c>
      <c r="M55" s="389">
        <f t="shared" si="3"/>
        <v>163826625.77000001</v>
      </c>
      <c r="N55" s="389">
        <f t="shared" si="3"/>
        <v>0</v>
      </c>
      <c r="W55" s="1762"/>
    </row>
    <row r="56" spans="1:23" s="284" customFormat="1" ht="15.75" customHeight="1" outlineLevel="1">
      <c r="A56" s="1289" t="str">
        <f t="shared" si="1"/>
        <v/>
      </c>
      <c r="B56" s="1365"/>
      <c r="C56" s="356"/>
      <c r="D56" s="382"/>
      <c r="E56" s="356"/>
      <c r="F56" s="357"/>
      <c r="G56" s="1728"/>
      <c r="H56" s="1728"/>
      <c r="I56" s="1728"/>
      <c r="J56" s="1728"/>
      <c r="K56" s="361"/>
      <c r="L56" s="361"/>
      <c r="M56" s="361"/>
      <c r="N56" s="361"/>
      <c r="W56" s="1650"/>
    </row>
    <row r="57" spans="1:23" s="284" customFormat="1" ht="15.75" customHeight="1" outlineLevel="1">
      <c r="A57" s="1289" t="str">
        <f t="shared" si="1"/>
        <v/>
      </c>
      <c r="B57" s="1365"/>
      <c r="C57" s="356"/>
      <c r="D57" s="382"/>
      <c r="E57" s="356"/>
      <c r="F57" s="357"/>
      <c r="G57" s="1728"/>
      <c r="H57" s="1728"/>
      <c r="I57" s="1728"/>
      <c r="J57" s="1728"/>
      <c r="K57" s="361"/>
      <c r="L57" s="361"/>
      <c r="M57" s="361"/>
      <c r="N57" s="361"/>
      <c r="W57" s="1650"/>
    </row>
    <row r="58" spans="1:23" s="263" customFormat="1" ht="16.5" customHeight="1" outlineLevel="1" thickBot="1">
      <c r="A58" s="1289" t="str">
        <f t="shared" si="1"/>
        <v>Construction in progress</v>
      </c>
      <c r="B58" s="1367">
        <v>3</v>
      </c>
      <c r="C58" s="358"/>
      <c r="D58" s="383"/>
      <c r="E58" s="358"/>
      <c r="F58" s="384" t="s">
        <v>610</v>
      </c>
      <c r="G58" s="1729"/>
      <c r="H58" s="1729"/>
      <c r="I58" s="1729"/>
      <c r="J58" s="1729"/>
      <c r="K58" s="360"/>
      <c r="L58" s="360"/>
      <c r="M58" s="360"/>
      <c r="N58" s="360"/>
      <c r="W58" s="1763"/>
    </row>
    <row r="59" spans="1:23" s="284" customFormat="1" ht="15.75" customHeight="1" outlineLevel="1" thickBot="1">
      <c r="A59" s="1289" t="str">
        <f t="shared" si="1"/>
        <v>AdjustmentsCWIP</v>
      </c>
      <c r="B59" s="390" t="s">
        <v>1277</v>
      </c>
      <c r="C59" s="367"/>
      <c r="D59" s="1607" t="s">
        <v>183</v>
      </c>
      <c r="E59" s="367"/>
      <c r="F59" s="366" t="s">
        <v>184</v>
      </c>
      <c r="G59" s="1726">
        <v>603751857.71910119</v>
      </c>
      <c r="H59" s="1726"/>
      <c r="I59" s="1726">
        <v>603751857.71910119</v>
      </c>
      <c r="J59" s="1726"/>
      <c r="K59" s="719">
        <v>491834732.01910126</v>
      </c>
      <c r="L59" s="719"/>
      <c r="M59" s="719">
        <v>491834732.01910126</v>
      </c>
      <c r="N59" s="719"/>
      <c r="W59" s="1650"/>
    </row>
    <row r="60" spans="1:23" s="261" customFormat="1" ht="16.5" customHeight="1" thickBot="1">
      <c r="A60" s="1289" t="str">
        <f t="shared" si="1"/>
        <v>Construction in progress Total</v>
      </c>
      <c r="B60" s="1366">
        <v>4</v>
      </c>
      <c r="C60" s="386"/>
      <c r="D60" s="387"/>
      <c r="E60" s="386"/>
      <c r="F60" s="388" t="s">
        <v>619</v>
      </c>
      <c r="G60" s="1727">
        <f t="shared" ref="G60:I60" si="4">SUBTOTAL(9,G59:G59)</f>
        <v>603751857.71910119</v>
      </c>
      <c r="H60" s="1727">
        <f t="shared" si="4"/>
        <v>0</v>
      </c>
      <c r="I60" s="1727">
        <f t="shared" si="4"/>
        <v>603751857.71910119</v>
      </c>
      <c r="J60" s="1727">
        <f>SUBTOTAL(9,J59:J59)</f>
        <v>0</v>
      </c>
      <c r="K60" s="389">
        <f t="shared" ref="K60:M60" si="5">SUBTOTAL(9,K59:K59)</f>
        <v>491834732.01910126</v>
      </c>
      <c r="L60" s="389">
        <f t="shared" si="5"/>
        <v>0</v>
      </c>
      <c r="M60" s="389">
        <f t="shared" si="5"/>
        <v>491834732.01910126</v>
      </c>
      <c r="N60" s="389">
        <f>SUBTOTAL(9,N59:N59)</f>
        <v>0</v>
      </c>
      <c r="W60" s="1762"/>
    </row>
    <row r="61" spans="1:23" s="284" customFormat="1" ht="16.5" customHeight="1" thickBot="1">
      <c r="A61" s="1289" t="str">
        <f t="shared" si="1"/>
        <v/>
      </c>
      <c r="B61" s="1365"/>
      <c r="C61" s="356"/>
      <c r="D61" s="356"/>
      <c r="E61" s="356"/>
      <c r="F61" s="355"/>
      <c r="G61" s="1728"/>
      <c r="H61" s="1728"/>
      <c r="I61" s="1728"/>
      <c r="J61" s="1728"/>
      <c r="K61" s="361"/>
      <c r="L61" s="361"/>
      <c r="M61" s="361"/>
      <c r="N61" s="361"/>
      <c r="W61" s="1650"/>
    </row>
    <row r="62" spans="1:23" s="262" customFormat="1" ht="16.5" customHeight="1" thickBot="1">
      <c r="A62" s="1289" t="str">
        <f t="shared" si="1"/>
        <v>Total capital assets not being depreciated</v>
      </c>
      <c r="B62" s="1368">
        <v>5</v>
      </c>
      <c r="C62" s="655"/>
      <c r="D62" s="387"/>
      <c r="E62" s="655" t="s">
        <v>622</v>
      </c>
      <c r="F62" s="388"/>
      <c r="G62" s="1730">
        <f t="shared" ref="G62:I62" si="6">G55+G60</f>
        <v>767262750.98910117</v>
      </c>
      <c r="H62" s="1730">
        <f t="shared" si="6"/>
        <v>0</v>
      </c>
      <c r="I62" s="1730">
        <f t="shared" si="6"/>
        <v>767262750.98910117</v>
      </c>
      <c r="J62" s="1730">
        <f>J55+J60</f>
        <v>0</v>
      </c>
      <c r="K62" s="720">
        <f t="shared" ref="K62:M62" si="7">K55+K60</f>
        <v>655661357.78910124</v>
      </c>
      <c r="L62" s="720">
        <f t="shared" si="7"/>
        <v>0</v>
      </c>
      <c r="M62" s="720">
        <f t="shared" si="7"/>
        <v>655661357.78910124</v>
      </c>
      <c r="N62" s="720">
        <f>N55+N60</f>
        <v>0</v>
      </c>
      <c r="W62" s="1764"/>
    </row>
    <row r="63" spans="1:23" s="284" customFormat="1" ht="15.75" customHeight="1">
      <c r="A63" s="1289" t="str">
        <f t="shared" si="1"/>
        <v/>
      </c>
      <c r="B63" s="1365"/>
      <c r="C63" s="356"/>
      <c r="D63" s="385"/>
      <c r="E63" s="356"/>
      <c r="F63" s="355"/>
      <c r="G63" s="1728"/>
      <c r="H63" s="1728"/>
      <c r="I63" s="1728"/>
      <c r="J63" s="1728"/>
      <c r="K63" s="361"/>
      <c r="L63" s="361"/>
      <c r="M63" s="361"/>
      <c r="N63" s="361"/>
      <c r="W63" s="1650"/>
    </row>
    <row r="64" spans="1:23" s="284" customFormat="1" ht="15.75" customHeight="1">
      <c r="A64" s="1289" t="str">
        <f t="shared" si="1"/>
        <v/>
      </c>
      <c r="B64" s="1365"/>
      <c r="C64" s="356"/>
      <c r="D64" s="385"/>
      <c r="E64" s="356"/>
      <c r="F64" s="355"/>
      <c r="G64" s="1728"/>
      <c r="H64" s="1728"/>
      <c r="I64" s="1728"/>
      <c r="J64" s="1728"/>
      <c r="K64" s="361"/>
      <c r="L64" s="361"/>
      <c r="M64" s="361"/>
      <c r="N64" s="361"/>
      <c r="W64" s="1650"/>
    </row>
    <row r="65" spans="1:23" s="284" customFormat="1" ht="15.75" customHeight="1">
      <c r="A65" s="1289" t="str">
        <f t="shared" si="1"/>
        <v/>
      </c>
      <c r="B65" s="1365"/>
      <c r="C65" s="356"/>
      <c r="D65" s="385"/>
      <c r="E65" s="356"/>
      <c r="F65" s="355"/>
      <c r="G65" s="1728"/>
      <c r="H65" s="1728"/>
      <c r="I65" s="1728"/>
      <c r="J65" s="1728"/>
      <c r="K65" s="361"/>
      <c r="L65" s="361"/>
      <c r="M65" s="361"/>
      <c r="N65" s="361"/>
      <c r="W65" s="1650"/>
    </row>
    <row r="66" spans="1:23" s="260" customFormat="1" ht="16.5" customHeight="1" thickBot="1">
      <c r="A66" s="1289" t="str">
        <f t="shared" si="1"/>
        <v>Capital assets, being depreciated:</v>
      </c>
      <c r="B66" s="378"/>
      <c r="C66" s="378"/>
      <c r="D66" s="379"/>
      <c r="E66" s="359" t="s">
        <v>623</v>
      </c>
      <c r="F66" s="359"/>
      <c r="G66" s="1731"/>
      <c r="H66" s="1731"/>
      <c r="I66" s="1731"/>
      <c r="J66" s="1731"/>
      <c r="K66" s="721"/>
      <c r="L66" s="721"/>
      <c r="M66" s="721"/>
      <c r="N66" s="721"/>
      <c r="W66" s="1761"/>
    </row>
    <row r="67" spans="1:23" s="284" customFormat="1" ht="15.75" customHeight="1" outlineLevel="1">
      <c r="A67" s="1289" t="str">
        <f t="shared" si="1"/>
        <v/>
      </c>
      <c r="B67" s="1365"/>
      <c r="C67" s="356"/>
      <c r="D67" s="385"/>
      <c r="E67" s="356"/>
      <c r="F67" s="355"/>
      <c r="G67" s="1728"/>
      <c r="H67" s="1728"/>
      <c r="I67" s="1728"/>
      <c r="J67" s="1728"/>
      <c r="K67" s="361"/>
      <c r="L67" s="361"/>
      <c r="M67" s="361"/>
      <c r="N67" s="361"/>
      <c r="W67" s="1650"/>
    </row>
    <row r="68" spans="1:23" s="263" customFormat="1" ht="16.5" customHeight="1" outlineLevel="1" thickBot="1">
      <c r="A68" s="1289" t="str">
        <f t="shared" si="1"/>
        <v>Production - Hydro</v>
      </c>
      <c r="B68" s="1367">
        <v>6</v>
      </c>
      <c r="C68" s="358"/>
      <c r="D68" s="383"/>
      <c r="E68" s="358"/>
      <c r="F68" s="384" t="s">
        <v>611</v>
      </c>
      <c r="G68" s="1729"/>
      <c r="H68" s="1729"/>
      <c r="I68" s="1729"/>
      <c r="J68" s="1729"/>
      <c r="K68" s="360"/>
      <c r="L68" s="360"/>
      <c r="M68" s="360"/>
      <c r="N68" s="360"/>
      <c r="W68" s="1763"/>
    </row>
    <row r="69" spans="1:23" s="284" customFormat="1" ht="15.75" customHeight="1" outlineLevel="1" thickBot="1">
      <c r="A69" s="1289" t="str">
        <f t="shared" si="1"/>
        <v>ASHOKAN / KENSICO333Waterwheels, Turbines, Generators</v>
      </c>
      <c r="B69" s="1410" t="s">
        <v>1367</v>
      </c>
      <c r="C69" s="1642" t="s">
        <v>451</v>
      </c>
      <c r="D69" s="1643" t="s">
        <v>1938</v>
      </c>
      <c r="E69" s="1642">
        <v>333</v>
      </c>
      <c r="F69" s="1642" t="s">
        <v>1939</v>
      </c>
      <c r="G69" s="1726">
        <v>14962756.819999998</v>
      </c>
      <c r="H69" s="1726">
        <v>7963666.8200000003</v>
      </c>
      <c r="I69" s="1726">
        <v>6999089.9999999981</v>
      </c>
      <c r="J69" s="1726">
        <v>223162.95</v>
      </c>
      <c r="K69" s="719">
        <v>13225588.869999999</v>
      </c>
      <c r="L69" s="719">
        <v>7740503.8700000001</v>
      </c>
      <c r="M69" s="719">
        <v>5485084.9999999991</v>
      </c>
      <c r="N69" s="719">
        <v>220428</v>
      </c>
      <c r="O69" s="1716"/>
      <c r="W69" s="1650"/>
    </row>
    <row r="70" spans="1:23" s="284" customFormat="1" ht="15.75" customHeight="1" outlineLevel="1">
      <c r="A70" s="1289" t="str">
        <f t="shared" si="1"/>
        <v>BLENHEIM - GILBOA331Structures &amp; Improvements</v>
      </c>
      <c r="B70" s="1410" t="s">
        <v>1368</v>
      </c>
      <c r="C70" s="1642" t="s">
        <v>451</v>
      </c>
      <c r="D70" s="1643" t="s">
        <v>1929</v>
      </c>
      <c r="E70" s="1642">
        <v>331</v>
      </c>
      <c r="F70" s="1642" t="s">
        <v>69</v>
      </c>
      <c r="G70" s="1726">
        <v>36537261</v>
      </c>
      <c r="H70" s="1726">
        <v>20190486.600000001</v>
      </c>
      <c r="I70" s="1726">
        <v>16346774.399999999</v>
      </c>
      <c r="J70" s="1726">
        <v>471420</v>
      </c>
      <c r="K70" s="719">
        <v>36537261</v>
      </c>
      <c r="L70" s="719">
        <v>19719066.600000001</v>
      </c>
      <c r="M70" s="719">
        <v>16818194.399999999</v>
      </c>
      <c r="N70" s="719">
        <v>471419.6</v>
      </c>
      <c r="O70" s="1642"/>
      <c r="W70" s="1650"/>
    </row>
    <row r="71" spans="1:23" s="284" customFormat="1" ht="15.75" customHeight="1" outlineLevel="1">
      <c r="A71" s="1289" t="str">
        <f t="shared" si="1"/>
        <v>BLENHEIM - GILBOA332Reservoirs, Dams, Waterways</v>
      </c>
      <c r="B71" s="1410" t="s">
        <v>1369</v>
      </c>
      <c r="C71" s="1642" t="s">
        <v>451</v>
      </c>
      <c r="D71" s="1643" t="s">
        <v>1929</v>
      </c>
      <c r="E71" s="1642">
        <v>332</v>
      </c>
      <c r="F71" s="1642" t="s">
        <v>1940</v>
      </c>
      <c r="G71" s="1726">
        <v>78718528.780000001</v>
      </c>
      <c r="H71" s="1726">
        <v>53040816.780000001</v>
      </c>
      <c r="I71" s="1726">
        <v>25677712</v>
      </c>
      <c r="J71" s="1726">
        <v>1195502</v>
      </c>
      <c r="K71" s="719">
        <v>78718528.780000001</v>
      </c>
      <c r="L71" s="719">
        <v>51845314.780000001</v>
      </c>
      <c r="M71" s="719">
        <v>26873214</v>
      </c>
      <c r="N71" s="719">
        <v>1195450.1800000002</v>
      </c>
      <c r="O71" s="1642"/>
      <c r="W71" s="1650"/>
    </row>
    <row r="72" spans="1:23" s="284" customFormat="1" ht="15.75" customHeight="1" outlineLevel="1">
      <c r="A72" s="1289" t="str">
        <f t="shared" si="1"/>
        <v>BLENHEIM - GILBOA333Waterwheels, Turbines, Generators</v>
      </c>
      <c r="B72" s="1410" t="s">
        <v>1370</v>
      </c>
      <c r="C72" s="1642" t="s">
        <v>451</v>
      </c>
      <c r="D72" s="1643" t="s">
        <v>1929</v>
      </c>
      <c r="E72" s="1642">
        <v>333</v>
      </c>
      <c r="F72" s="1642" t="s">
        <v>1939</v>
      </c>
      <c r="G72" s="1726">
        <v>95491718.709999979</v>
      </c>
      <c r="H72" s="1726">
        <v>26203526.129999995</v>
      </c>
      <c r="I72" s="1726">
        <v>69288192.579999983</v>
      </c>
      <c r="J72" s="1726">
        <v>2241438</v>
      </c>
      <c r="K72" s="719">
        <v>95491718.709999979</v>
      </c>
      <c r="L72" s="719">
        <v>23962088.129999995</v>
      </c>
      <c r="M72" s="719">
        <v>71529630.579999983</v>
      </c>
      <c r="N72" s="719">
        <v>2238439.7400000002</v>
      </c>
      <c r="O72" s="1642"/>
      <c r="W72" s="1650"/>
    </row>
    <row r="73" spans="1:23" s="284" customFormat="1" ht="15.75" customHeight="1" outlineLevel="1">
      <c r="A73" s="1289" t="str">
        <f t="shared" si="1"/>
        <v>BLENHEIM - GILBOA334Accessory Electric Equipment</v>
      </c>
      <c r="B73" s="1410" t="s">
        <v>1371</v>
      </c>
      <c r="C73" s="1642" t="s">
        <v>451</v>
      </c>
      <c r="D73" s="1643" t="s">
        <v>1929</v>
      </c>
      <c r="E73" s="1642">
        <v>334</v>
      </c>
      <c r="F73" s="1642" t="s">
        <v>1941</v>
      </c>
      <c r="G73" s="1726">
        <v>30282600.879999999</v>
      </c>
      <c r="H73" s="1726">
        <v>13669618.73</v>
      </c>
      <c r="I73" s="1726">
        <v>16612982.149999999</v>
      </c>
      <c r="J73" s="1726">
        <v>1032393.97</v>
      </c>
      <c r="K73" s="719">
        <v>29096558.91</v>
      </c>
      <c r="L73" s="719">
        <v>12637224.76</v>
      </c>
      <c r="M73" s="719">
        <v>16459334.15</v>
      </c>
      <c r="N73" s="719">
        <v>1022122.64</v>
      </c>
      <c r="O73" s="1642"/>
      <c r="W73" s="1650"/>
    </row>
    <row r="74" spans="1:23" s="284" customFormat="1" ht="15.75" customHeight="1" outlineLevel="1">
      <c r="A74" s="1289" t="str">
        <f t="shared" si="1"/>
        <v>BLENHEIM - GILBOA335Misc Power Plant Equipment</v>
      </c>
      <c r="B74" s="1410" t="s">
        <v>1372</v>
      </c>
      <c r="C74" s="1642" t="s">
        <v>451</v>
      </c>
      <c r="D74" s="1643" t="s">
        <v>1929</v>
      </c>
      <c r="E74" s="1642">
        <v>335</v>
      </c>
      <c r="F74" s="1642" t="s">
        <v>1942</v>
      </c>
      <c r="G74" s="1726">
        <v>12275492.839999998</v>
      </c>
      <c r="H74" s="1726">
        <v>5842590.1799999997</v>
      </c>
      <c r="I74" s="1726">
        <v>6432902.6599999983</v>
      </c>
      <c r="J74" s="1726">
        <v>580293</v>
      </c>
      <c r="K74" s="719">
        <v>12275492.839999998</v>
      </c>
      <c r="L74" s="719">
        <v>5262297.18</v>
      </c>
      <c r="M74" s="719">
        <v>7013195.6599999983</v>
      </c>
      <c r="N74" s="719">
        <v>579262.12</v>
      </c>
      <c r="O74" s="1642"/>
      <c r="W74" s="1650"/>
    </row>
    <row r="75" spans="1:23" s="284" customFormat="1" ht="15.75" customHeight="1" outlineLevel="1">
      <c r="A75" s="1289" t="str">
        <f t="shared" si="1"/>
        <v>BLENHEIM - GILBOA336Roads, Railroads &amp; Bridges</v>
      </c>
      <c r="B75" s="1410" t="s">
        <v>1373</v>
      </c>
      <c r="C75" s="1642" t="s">
        <v>451</v>
      </c>
      <c r="D75" s="1643" t="s">
        <v>1929</v>
      </c>
      <c r="E75" s="1642">
        <v>336</v>
      </c>
      <c r="F75" s="1642" t="s">
        <v>1943</v>
      </c>
      <c r="G75" s="1726">
        <v>18416616.760000002</v>
      </c>
      <c r="H75" s="1726">
        <v>5131535.96</v>
      </c>
      <c r="I75" s="1726">
        <v>13285080.800000001</v>
      </c>
      <c r="J75" s="1726">
        <v>222128</v>
      </c>
      <c r="K75" s="719">
        <v>18416616.760000002</v>
      </c>
      <c r="L75" s="719">
        <v>4909407.96</v>
      </c>
      <c r="M75" s="719">
        <v>13507208.800000001</v>
      </c>
      <c r="N75" s="719">
        <v>216113.96</v>
      </c>
      <c r="O75" s="1642"/>
      <c r="W75" s="1650"/>
    </row>
    <row r="76" spans="1:23" s="284" customFormat="1" ht="15.75" customHeight="1" outlineLevel="1">
      <c r="A76" s="1289" t="str">
        <f t="shared" si="1"/>
        <v>Crescent332Reservoirs, Dams, Waterways</v>
      </c>
      <c r="B76" s="1410" t="s">
        <v>1374</v>
      </c>
      <c r="C76" s="1642" t="s">
        <v>451</v>
      </c>
      <c r="D76" s="1643" t="s">
        <v>154</v>
      </c>
      <c r="E76" s="1642">
        <v>332</v>
      </c>
      <c r="F76" s="1642" t="s">
        <v>1940</v>
      </c>
      <c r="G76" s="1726">
        <v>28098444</v>
      </c>
      <c r="H76" s="1726">
        <v>13222328</v>
      </c>
      <c r="I76" s="1726">
        <v>14876116</v>
      </c>
      <c r="J76" s="1726">
        <v>483284</v>
      </c>
      <c r="K76" s="719">
        <v>28098444</v>
      </c>
      <c r="L76" s="719">
        <v>12739044</v>
      </c>
      <c r="M76" s="719">
        <v>15359400</v>
      </c>
      <c r="N76" s="719">
        <v>483284</v>
      </c>
      <c r="O76" s="1642"/>
      <c r="W76" s="1650"/>
    </row>
    <row r="77" spans="1:23" s="284" customFormat="1" ht="15.75" customHeight="1" outlineLevel="1">
      <c r="A77" s="1289" t="str">
        <f t="shared" si="1"/>
        <v>Crescent333Waterwheels, Turbines, Generators</v>
      </c>
      <c r="B77" s="1410" t="s">
        <v>1375</v>
      </c>
      <c r="C77" s="1642" t="s">
        <v>451</v>
      </c>
      <c r="D77" s="1643" t="s">
        <v>154</v>
      </c>
      <c r="E77" s="1642">
        <v>333</v>
      </c>
      <c r="F77" s="1642" t="s">
        <v>1939</v>
      </c>
      <c r="G77" s="1726">
        <v>9175611.3699999992</v>
      </c>
      <c r="H77" s="1726">
        <v>4012176.3699999996</v>
      </c>
      <c r="I77" s="1726">
        <v>5163435</v>
      </c>
      <c r="J77" s="1726">
        <v>157465</v>
      </c>
      <c r="K77" s="719">
        <v>9175611.3699999992</v>
      </c>
      <c r="L77" s="719">
        <v>3854711.3699999996</v>
      </c>
      <c r="M77" s="719">
        <v>5320900</v>
      </c>
      <c r="N77" s="719">
        <v>157465</v>
      </c>
      <c r="O77" s="1642"/>
      <c r="W77" s="1650"/>
    </row>
    <row r="78" spans="1:23" s="284" customFormat="1" ht="15.75" customHeight="1" outlineLevel="1">
      <c r="A78" s="1289" t="str">
        <f t="shared" si="1"/>
        <v>Crescent334Accessory Electric Equipment</v>
      </c>
      <c r="B78" s="1410" t="s">
        <v>1376</v>
      </c>
      <c r="C78" s="1642" t="s">
        <v>451</v>
      </c>
      <c r="D78" s="1643" t="s">
        <v>154</v>
      </c>
      <c r="E78" s="1642">
        <v>334</v>
      </c>
      <c r="F78" s="1642" t="s">
        <v>1941</v>
      </c>
      <c r="G78" s="1726">
        <v>6610333.2799999993</v>
      </c>
      <c r="H78" s="1726">
        <v>1617888.28</v>
      </c>
      <c r="I78" s="1726">
        <v>4992444.9999999991</v>
      </c>
      <c r="J78" s="1726">
        <v>74593.84</v>
      </c>
      <c r="K78" s="719">
        <v>4165236.44</v>
      </c>
      <c r="L78" s="719">
        <v>1543294.44</v>
      </c>
      <c r="M78" s="719">
        <v>2621942</v>
      </c>
      <c r="N78" s="719">
        <v>71198</v>
      </c>
      <c r="O78" s="1642"/>
      <c r="W78" s="1650"/>
    </row>
    <row r="79" spans="1:23" s="284" customFormat="1" ht="15.75" customHeight="1" outlineLevel="1">
      <c r="A79" s="1289" t="str">
        <f t="shared" si="1"/>
        <v>Crescent335Misc Power Plant Equipment</v>
      </c>
      <c r="B79" s="1410" t="s">
        <v>1377</v>
      </c>
      <c r="C79" s="1642" t="s">
        <v>451</v>
      </c>
      <c r="D79" s="1643" t="s">
        <v>154</v>
      </c>
      <c r="E79" s="1642">
        <v>335</v>
      </c>
      <c r="F79" s="1642" t="s">
        <v>1942</v>
      </c>
      <c r="G79" s="1726">
        <v>1594412.42</v>
      </c>
      <c r="H79" s="1726">
        <v>479299.42</v>
      </c>
      <c r="I79" s="1726">
        <v>1115113</v>
      </c>
      <c r="J79" s="1726">
        <v>30832</v>
      </c>
      <c r="K79" s="719">
        <v>1594412.42</v>
      </c>
      <c r="L79" s="719">
        <v>448467.42</v>
      </c>
      <c r="M79" s="719">
        <v>1145945</v>
      </c>
      <c r="N79" s="719">
        <v>30832</v>
      </c>
      <c r="O79" s="1642"/>
      <c r="W79" s="1650"/>
    </row>
    <row r="80" spans="1:23" s="284" customFormat="1" ht="15.75" customHeight="1" outlineLevel="1">
      <c r="A80" s="1289" t="str">
        <f t="shared" si="1"/>
        <v>Jarvis332Reservoirs, Dams, Waterways</v>
      </c>
      <c r="B80" s="1410" t="s">
        <v>1378</v>
      </c>
      <c r="C80" s="1642" t="s">
        <v>451</v>
      </c>
      <c r="D80" s="1643" t="s">
        <v>162</v>
      </c>
      <c r="E80" s="1642">
        <v>332</v>
      </c>
      <c r="F80" s="1642" t="s">
        <v>1940</v>
      </c>
      <c r="G80" s="1726">
        <v>19336575</v>
      </c>
      <c r="H80" s="1726">
        <v>9099511</v>
      </c>
      <c r="I80" s="1726">
        <v>10237064</v>
      </c>
      <c r="J80" s="1726">
        <v>332597</v>
      </c>
      <c r="K80" s="719">
        <v>19336575</v>
      </c>
      <c r="L80" s="719">
        <v>8766914</v>
      </c>
      <c r="M80" s="719">
        <v>10569661</v>
      </c>
      <c r="N80" s="719">
        <v>332597</v>
      </c>
      <c r="O80" s="1642"/>
      <c r="W80" s="1650"/>
    </row>
    <row r="81" spans="1:23" s="284" customFormat="1" ht="15.75" customHeight="1" outlineLevel="1">
      <c r="A81" s="1289" t="str">
        <f t="shared" si="1"/>
        <v>Jarvis333Waterwheels, Turbines, Generators</v>
      </c>
      <c r="B81" s="1410" t="s">
        <v>1379</v>
      </c>
      <c r="C81" s="1642" t="s">
        <v>451</v>
      </c>
      <c r="D81" s="1643" t="s">
        <v>162</v>
      </c>
      <c r="E81" s="1642">
        <v>333</v>
      </c>
      <c r="F81" s="1642" t="s">
        <v>1939</v>
      </c>
      <c r="G81" s="1726">
        <v>8183671.5300000003</v>
      </c>
      <c r="H81" s="1726">
        <v>3735812.53</v>
      </c>
      <c r="I81" s="1726">
        <v>4447859</v>
      </c>
      <c r="J81" s="1726">
        <v>141220</v>
      </c>
      <c r="K81" s="719">
        <v>8183671.5300000003</v>
      </c>
      <c r="L81" s="719">
        <v>3594592.53</v>
      </c>
      <c r="M81" s="719">
        <v>4589079</v>
      </c>
      <c r="N81" s="719">
        <v>141220</v>
      </c>
      <c r="O81" s="1642"/>
      <c r="W81" s="1650"/>
    </row>
    <row r="82" spans="1:23" s="284" customFormat="1" ht="15.75" customHeight="1" outlineLevel="1">
      <c r="A82" s="1289" t="str">
        <f t="shared" si="1"/>
        <v>Jarvis334Accessory Electric Equipment</v>
      </c>
      <c r="B82" s="1410" t="s">
        <v>1380</v>
      </c>
      <c r="C82" s="1642" t="s">
        <v>451</v>
      </c>
      <c r="D82" s="1643" t="s">
        <v>162</v>
      </c>
      <c r="E82" s="1642">
        <v>334</v>
      </c>
      <c r="F82" s="1642" t="s">
        <v>1941</v>
      </c>
      <c r="G82" s="1726">
        <v>153363</v>
      </c>
      <c r="H82" s="1726">
        <v>71654</v>
      </c>
      <c r="I82" s="1726">
        <v>81709</v>
      </c>
      <c r="J82" s="1726">
        <v>2641</v>
      </c>
      <c r="K82" s="719">
        <v>153363</v>
      </c>
      <c r="L82" s="719">
        <v>69013</v>
      </c>
      <c r="M82" s="719">
        <v>84350</v>
      </c>
      <c r="N82" s="719">
        <v>2641</v>
      </c>
      <c r="O82" s="1642"/>
      <c r="W82" s="1650"/>
    </row>
    <row r="83" spans="1:23" s="284" customFormat="1" ht="15.75" customHeight="1" outlineLevel="1">
      <c r="A83" s="1289" t="str">
        <f t="shared" si="1"/>
        <v>Jarvis335Misc Power Plant Equipment</v>
      </c>
      <c r="B83" s="1410" t="s">
        <v>1381</v>
      </c>
      <c r="C83" s="1642" t="s">
        <v>451</v>
      </c>
      <c r="D83" s="1643" t="s">
        <v>162</v>
      </c>
      <c r="E83" s="1642">
        <v>335</v>
      </c>
      <c r="F83" s="1642" t="s">
        <v>1942</v>
      </c>
      <c r="G83" s="1726">
        <v>526915.02</v>
      </c>
      <c r="H83" s="1726">
        <v>268545.02</v>
      </c>
      <c r="I83" s="1726">
        <v>258370</v>
      </c>
      <c r="J83" s="1726">
        <v>26347</v>
      </c>
      <c r="K83" s="719">
        <v>526915.02</v>
      </c>
      <c r="L83" s="719">
        <v>242198.02000000002</v>
      </c>
      <c r="M83" s="719">
        <v>284717</v>
      </c>
      <c r="N83" s="719">
        <v>26347</v>
      </c>
      <c r="O83" s="1642"/>
      <c r="W83" s="1650"/>
    </row>
    <row r="84" spans="1:23" s="284" customFormat="1" ht="15.75" customHeight="1" outlineLevel="1">
      <c r="A84" s="1289" t="str">
        <f t="shared" ref="A84:A147" si="8">CONCATENATE(D84,E84,F84)</f>
        <v>Kensico333Waterwheels, Turbines, Generators</v>
      </c>
      <c r="B84" s="1410" t="s">
        <v>1382</v>
      </c>
      <c r="C84" s="1642" t="s">
        <v>451</v>
      </c>
      <c r="D84" s="1643" t="s">
        <v>163</v>
      </c>
      <c r="E84" s="1642">
        <v>333</v>
      </c>
      <c r="F84" s="1642" t="s">
        <v>1939</v>
      </c>
      <c r="G84" s="1726">
        <v>0</v>
      </c>
      <c r="H84" s="1726">
        <v>0</v>
      </c>
      <c r="I84" s="1726">
        <v>0</v>
      </c>
      <c r="J84" s="1726">
        <v>35123</v>
      </c>
      <c r="K84" s="719">
        <v>5057705</v>
      </c>
      <c r="L84" s="719">
        <v>2616644</v>
      </c>
      <c r="M84" s="719">
        <v>2441061</v>
      </c>
      <c r="N84" s="719">
        <v>63221</v>
      </c>
      <c r="O84" s="1642"/>
      <c r="W84" s="1650"/>
    </row>
    <row r="85" spans="1:23" s="284" customFormat="1" ht="15.75" customHeight="1" outlineLevel="1">
      <c r="A85" s="1289" t="str">
        <f t="shared" si="8"/>
        <v>NIAGARA331Structures &amp; Improvements</v>
      </c>
      <c r="B85" s="1410" t="s">
        <v>1383</v>
      </c>
      <c r="C85" s="1642" t="s">
        <v>451</v>
      </c>
      <c r="D85" s="1643" t="s">
        <v>30</v>
      </c>
      <c r="E85" s="1642">
        <v>331</v>
      </c>
      <c r="F85" s="1642" t="s">
        <v>69</v>
      </c>
      <c r="G85" s="1726">
        <v>123269325.95999998</v>
      </c>
      <c r="H85" s="1726">
        <v>54874337.06000001</v>
      </c>
      <c r="I85" s="1726">
        <v>68394988.899999976</v>
      </c>
      <c r="J85" s="1726">
        <v>1533201</v>
      </c>
      <c r="K85" s="719">
        <v>123269325.95999998</v>
      </c>
      <c r="L85" s="719">
        <v>53341136.06000001</v>
      </c>
      <c r="M85" s="719">
        <v>69928189.899999976</v>
      </c>
      <c r="N85" s="719">
        <v>1523424.7</v>
      </c>
      <c r="O85" s="1642"/>
      <c r="W85" s="1650"/>
    </row>
    <row r="86" spans="1:23" s="284" customFormat="1" ht="15.75" customHeight="1" outlineLevel="1">
      <c r="A86" s="1289" t="str">
        <f t="shared" si="8"/>
        <v>NIAGARA332Reservoirs, Dams, Waterways</v>
      </c>
      <c r="B86" s="1410" t="s">
        <v>1384</v>
      </c>
      <c r="C86" s="1642" t="s">
        <v>451</v>
      </c>
      <c r="D86" s="1643" t="s">
        <v>30</v>
      </c>
      <c r="E86" s="1642">
        <v>332</v>
      </c>
      <c r="F86" s="1642" t="s">
        <v>1940</v>
      </c>
      <c r="G86" s="1726">
        <v>410800024.03000009</v>
      </c>
      <c r="H86" s="1726">
        <v>328582303.83000004</v>
      </c>
      <c r="I86" s="1726">
        <v>82217720.200000048</v>
      </c>
      <c r="J86" s="1726">
        <v>7368752.2599999998</v>
      </c>
      <c r="K86" s="719">
        <v>403537904.7700001</v>
      </c>
      <c r="L86" s="719">
        <v>321213551.57000005</v>
      </c>
      <c r="M86" s="719">
        <v>82324353.200000048</v>
      </c>
      <c r="N86" s="719">
        <v>7302369.4900000002</v>
      </c>
      <c r="O86" s="1642"/>
      <c r="W86" s="1650"/>
    </row>
    <row r="87" spans="1:23" s="284" customFormat="1" ht="15.75" customHeight="1" outlineLevel="1">
      <c r="A87" s="1289" t="str">
        <f t="shared" si="8"/>
        <v>NIAGARA333Waterwheels, Turbines, Generators</v>
      </c>
      <c r="B87" s="1410" t="s">
        <v>1385</v>
      </c>
      <c r="C87" s="1642" t="s">
        <v>451</v>
      </c>
      <c r="D87" s="1643" t="s">
        <v>30</v>
      </c>
      <c r="E87" s="1642">
        <v>333</v>
      </c>
      <c r="F87" s="1642" t="s">
        <v>1939</v>
      </c>
      <c r="G87" s="1726">
        <v>488349672.34999985</v>
      </c>
      <c r="H87" s="1726">
        <v>106761774.75999999</v>
      </c>
      <c r="I87" s="1726">
        <v>381587897.58999985</v>
      </c>
      <c r="J87" s="1726">
        <v>10146737.949999999</v>
      </c>
      <c r="K87" s="719">
        <v>484424281.39999986</v>
      </c>
      <c r="L87" s="719">
        <v>96615036.809999987</v>
      </c>
      <c r="M87" s="719">
        <v>387809244.58999985</v>
      </c>
      <c r="N87" s="719">
        <v>9795995.2400000002</v>
      </c>
      <c r="O87" s="1642"/>
      <c r="W87" s="1650"/>
    </row>
    <row r="88" spans="1:23" s="284" customFormat="1" ht="15.75" customHeight="1" outlineLevel="1">
      <c r="A88" s="1289" t="str">
        <f t="shared" si="8"/>
        <v>NIAGARA334Accessory Electric Equipment</v>
      </c>
      <c r="B88" s="1410" t="s">
        <v>1386</v>
      </c>
      <c r="C88" s="1642" t="s">
        <v>451</v>
      </c>
      <c r="D88" s="1643" t="s">
        <v>30</v>
      </c>
      <c r="E88" s="1642">
        <v>334</v>
      </c>
      <c r="F88" s="1642" t="s">
        <v>1941</v>
      </c>
      <c r="G88" s="1726">
        <v>43572152.840000004</v>
      </c>
      <c r="H88" s="1726">
        <v>19354539.739999995</v>
      </c>
      <c r="I88" s="1726">
        <v>24217613.100000009</v>
      </c>
      <c r="J88" s="1726">
        <v>826886</v>
      </c>
      <c r="K88" s="719">
        <v>43572152.840000004</v>
      </c>
      <c r="L88" s="719">
        <v>18527653.739999995</v>
      </c>
      <c r="M88" s="719">
        <v>25044499.100000009</v>
      </c>
      <c r="N88" s="719">
        <v>1049613.83</v>
      </c>
      <c r="O88" s="1642"/>
      <c r="W88" s="1650"/>
    </row>
    <row r="89" spans="1:23" s="284" customFormat="1" ht="15.75" customHeight="1" outlineLevel="1">
      <c r="A89" s="1289" t="str">
        <f t="shared" si="8"/>
        <v>NIAGARA335Misc Power Plant Equipment</v>
      </c>
      <c r="B89" s="1410" t="s">
        <v>1387</v>
      </c>
      <c r="C89" s="1642" t="s">
        <v>451</v>
      </c>
      <c r="D89" s="1643" t="s">
        <v>30</v>
      </c>
      <c r="E89" s="1642">
        <v>335</v>
      </c>
      <c r="F89" s="1642" t="s">
        <v>1942</v>
      </c>
      <c r="G89" s="1726">
        <v>68085330.569999993</v>
      </c>
      <c r="H89" s="1726">
        <v>23330270.600000001</v>
      </c>
      <c r="I89" s="1726">
        <v>44755059.969999991</v>
      </c>
      <c r="J89" s="1726">
        <v>2164837.3199999998</v>
      </c>
      <c r="K89" s="719">
        <v>67672838.25</v>
      </c>
      <c r="L89" s="719">
        <v>21165433.280000001</v>
      </c>
      <c r="M89" s="719">
        <v>46507404.969999999</v>
      </c>
      <c r="N89" s="719">
        <v>2173608.81</v>
      </c>
      <c r="O89" s="1642"/>
      <c r="W89" s="1650"/>
    </row>
    <row r="90" spans="1:23" s="284" customFormat="1" ht="15.75" customHeight="1" outlineLevel="1">
      <c r="A90" s="1289" t="str">
        <f t="shared" si="8"/>
        <v>NIAGARA336Roads, Railroads &amp; Bridges</v>
      </c>
      <c r="B90" s="1410" t="s">
        <v>1388</v>
      </c>
      <c r="C90" s="1642" t="s">
        <v>451</v>
      </c>
      <c r="D90" s="1643" t="s">
        <v>30</v>
      </c>
      <c r="E90" s="1642">
        <v>336</v>
      </c>
      <c r="F90" s="1642" t="s">
        <v>1943</v>
      </c>
      <c r="G90" s="1726">
        <v>33156576.719999999</v>
      </c>
      <c r="H90" s="1726">
        <v>22411355.120000001</v>
      </c>
      <c r="I90" s="1726">
        <v>10745221.599999998</v>
      </c>
      <c r="J90" s="1726">
        <v>446359</v>
      </c>
      <c r="K90" s="719">
        <v>33156576.719999999</v>
      </c>
      <c r="L90" s="719">
        <v>21964996.120000001</v>
      </c>
      <c r="M90" s="719">
        <v>11191580.599999998</v>
      </c>
      <c r="N90" s="719">
        <v>446165.12</v>
      </c>
      <c r="O90" s="1642"/>
      <c r="W90" s="1650"/>
    </row>
    <row r="91" spans="1:23" s="284" customFormat="1" ht="15.75" customHeight="1" outlineLevel="1">
      <c r="A91" s="1289" t="str">
        <f t="shared" si="8"/>
        <v>St.  LAWRENCE / FDR331Structures &amp; Improvements</v>
      </c>
      <c r="B91" s="1410" t="s">
        <v>1389</v>
      </c>
      <c r="C91" s="1642" t="s">
        <v>451</v>
      </c>
      <c r="D91" s="1643" t="s">
        <v>1935</v>
      </c>
      <c r="E91" s="1642">
        <v>331</v>
      </c>
      <c r="F91" s="1642" t="s">
        <v>69</v>
      </c>
      <c r="G91" s="1726">
        <v>37929003.590000011</v>
      </c>
      <c r="H91" s="1726">
        <v>27152913.289999995</v>
      </c>
      <c r="I91" s="1726">
        <v>10776090.300000016</v>
      </c>
      <c r="J91" s="1726">
        <v>580507</v>
      </c>
      <c r="K91" s="719">
        <v>37929003.590000011</v>
      </c>
      <c r="L91" s="719">
        <v>26572406.289999995</v>
      </c>
      <c r="M91" s="719">
        <v>11356597.300000016</v>
      </c>
      <c r="N91" s="719">
        <v>580489.80000000005</v>
      </c>
      <c r="O91" s="1642"/>
      <c r="W91" s="1650"/>
    </row>
    <row r="92" spans="1:23" s="284" customFormat="1" ht="15.75" customHeight="1" outlineLevel="1">
      <c r="A92" s="1289" t="str">
        <f t="shared" si="8"/>
        <v>St.  LAWRENCE / FDR332Reservoirs, Dams, Waterways</v>
      </c>
      <c r="B92" s="1410" t="s">
        <v>1390</v>
      </c>
      <c r="C92" s="1642" t="s">
        <v>451</v>
      </c>
      <c r="D92" s="1643" t="s">
        <v>1935</v>
      </c>
      <c r="E92" s="1642">
        <v>332</v>
      </c>
      <c r="F92" s="1642" t="s">
        <v>1940</v>
      </c>
      <c r="G92" s="1726">
        <v>219670320.44999999</v>
      </c>
      <c r="H92" s="1726">
        <v>192961144.38999999</v>
      </c>
      <c r="I92" s="1726">
        <v>26709176.060000002</v>
      </c>
      <c r="J92" s="1726">
        <v>4302919</v>
      </c>
      <c r="K92" s="719">
        <v>219670320.44999999</v>
      </c>
      <c r="L92" s="719">
        <v>188658225.38999999</v>
      </c>
      <c r="M92" s="719">
        <v>31012095.060000002</v>
      </c>
      <c r="N92" s="719">
        <v>4302919</v>
      </c>
      <c r="O92" s="1642"/>
      <c r="W92" s="1650"/>
    </row>
    <row r="93" spans="1:23" s="284" customFormat="1" ht="15.75" customHeight="1" outlineLevel="1">
      <c r="A93" s="1289" t="str">
        <f t="shared" si="8"/>
        <v>St.  LAWRENCE / FDR333Waterwheels, Turbines, Generators</v>
      </c>
      <c r="B93" s="1410" t="s">
        <v>1391</v>
      </c>
      <c r="C93" s="1642" t="s">
        <v>451</v>
      </c>
      <c r="D93" s="1643" t="s">
        <v>1935</v>
      </c>
      <c r="E93" s="1642">
        <v>333</v>
      </c>
      <c r="F93" s="1642" t="s">
        <v>1939</v>
      </c>
      <c r="G93" s="1726">
        <v>221869062.55999997</v>
      </c>
      <c r="H93" s="1726">
        <v>51858799.289999999</v>
      </c>
      <c r="I93" s="1726">
        <v>170010263.26999998</v>
      </c>
      <c r="J93" s="1726">
        <v>4455324</v>
      </c>
      <c r="K93" s="719">
        <v>221869062.55999997</v>
      </c>
      <c r="L93" s="719">
        <v>47403475.289999999</v>
      </c>
      <c r="M93" s="719">
        <v>174465587.26999998</v>
      </c>
      <c r="N93" s="719">
        <v>4504371.51</v>
      </c>
      <c r="O93" s="1642"/>
      <c r="W93" s="1650"/>
    </row>
    <row r="94" spans="1:23" s="284" customFormat="1" ht="15.75" customHeight="1" outlineLevel="1">
      <c r="A94" s="1289" t="str">
        <f t="shared" si="8"/>
        <v>St.  LAWRENCE / FDR334Accessory Electric Equipment</v>
      </c>
      <c r="B94" s="1410" t="s">
        <v>1392</v>
      </c>
      <c r="C94" s="1642" t="s">
        <v>451</v>
      </c>
      <c r="D94" s="1643" t="s">
        <v>1935</v>
      </c>
      <c r="E94" s="1642">
        <v>334</v>
      </c>
      <c r="F94" s="1642" t="s">
        <v>1941</v>
      </c>
      <c r="G94" s="1726">
        <v>33643574.480000012</v>
      </c>
      <c r="H94" s="1726">
        <v>13708550.899999999</v>
      </c>
      <c r="I94" s="1726">
        <v>19935023.580000013</v>
      </c>
      <c r="J94" s="1726">
        <v>782084</v>
      </c>
      <c r="K94" s="719">
        <v>33643574.480000012</v>
      </c>
      <c r="L94" s="719">
        <v>12926466.899999999</v>
      </c>
      <c r="M94" s="719">
        <v>20717107.580000013</v>
      </c>
      <c r="N94" s="719">
        <v>782057.52</v>
      </c>
      <c r="O94" s="1642"/>
      <c r="W94" s="1650"/>
    </row>
    <row r="95" spans="1:23" s="284" customFormat="1" ht="15.75" customHeight="1" outlineLevel="1">
      <c r="A95" s="1289" t="str">
        <f t="shared" si="8"/>
        <v>St.  LAWRENCE / FDR335Misc Power Plant Equipment</v>
      </c>
      <c r="B95" s="1410" t="s">
        <v>1393</v>
      </c>
      <c r="C95" s="1642" t="s">
        <v>451</v>
      </c>
      <c r="D95" s="1643" t="s">
        <v>1935</v>
      </c>
      <c r="E95" s="1642">
        <v>335</v>
      </c>
      <c r="F95" s="1642" t="s">
        <v>1942</v>
      </c>
      <c r="G95" s="1726">
        <v>14128250.07</v>
      </c>
      <c r="H95" s="1726">
        <v>8291868.6800000006</v>
      </c>
      <c r="I95" s="1726">
        <v>5836381.3899999997</v>
      </c>
      <c r="J95" s="1726">
        <v>347502</v>
      </c>
      <c r="K95" s="719">
        <v>14128250.07</v>
      </c>
      <c r="L95" s="719">
        <v>7944366.6800000006</v>
      </c>
      <c r="M95" s="719">
        <v>6183883.3899999997</v>
      </c>
      <c r="N95" s="719">
        <v>347401.59</v>
      </c>
      <c r="O95" s="1642"/>
      <c r="W95" s="1650"/>
    </row>
    <row r="96" spans="1:23" s="284" customFormat="1" ht="15.75" customHeight="1" outlineLevel="1">
      <c r="A96" s="1289" t="str">
        <f t="shared" si="8"/>
        <v>St.  LAWRENCE / FDR336Roads, Railroads &amp; Bridges</v>
      </c>
      <c r="B96" s="1410" t="s">
        <v>1394</v>
      </c>
      <c r="C96" s="1642" t="s">
        <v>451</v>
      </c>
      <c r="D96" s="1643" t="s">
        <v>1935</v>
      </c>
      <c r="E96" s="1642">
        <v>336</v>
      </c>
      <c r="F96" s="1642" t="s">
        <v>1943</v>
      </c>
      <c r="G96" s="1726">
        <v>5636129.9500000002</v>
      </c>
      <c r="H96" s="1726">
        <v>4116299.85</v>
      </c>
      <c r="I96" s="1726">
        <v>1519830.1</v>
      </c>
      <c r="J96" s="1726">
        <v>78622</v>
      </c>
      <c r="K96" s="719">
        <v>5636129.9500000002</v>
      </c>
      <c r="L96" s="719">
        <v>4037677.85</v>
      </c>
      <c r="M96" s="719">
        <v>1598452.1</v>
      </c>
      <c r="N96" s="719">
        <v>78618.850000000006</v>
      </c>
      <c r="O96" s="1642"/>
      <c r="W96" s="1650"/>
    </row>
    <row r="97" spans="1:24" s="284" customFormat="1" ht="15.75" customHeight="1" outlineLevel="1">
      <c r="A97" s="1289" t="str">
        <f t="shared" si="8"/>
        <v>Vischer Ferry332Reservoirs, Dams, Waterways</v>
      </c>
      <c r="B97" s="1410" t="s">
        <v>1395</v>
      </c>
      <c r="C97" s="1642" t="s">
        <v>451</v>
      </c>
      <c r="D97" s="1643" t="s">
        <v>164</v>
      </c>
      <c r="E97" s="1642">
        <v>332</v>
      </c>
      <c r="F97" s="1642" t="s">
        <v>1940</v>
      </c>
      <c r="G97" s="1726">
        <v>33413381</v>
      </c>
      <c r="H97" s="1726">
        <v>15723600</v>
      </c>
      <c r="I97" s="1726">
        <v>17689781</v>
      </c>
      <c r="J97" s="1726">
        <v>574710</v>
      </c>
      <c r="K97" s="719">
        <v>33413381</v>
      </c>
      <c r="L97" s="719">
        <v>15148890</v>
      </c>
      <c r="M97" s="719">
        <v>18264491</v>
      </c>
      <c r="N97" s="719">
        <v>574710</v>
      </c>
      <c r="O97" s="1642"/>
      <c r="W97" s="1650"/>
    </row>
    <row r="98" spans="1:24" s="284" customFormat="1" ht="15.75" customHeight="1" outlineLevel="1">
      <c r="A98" s="1289" t="str">
        <f t="shared" si="8"/>
        <v>Vischer Ferry333Waterwheels, Turbines, Generators</v>
      </c>
      <c r="B98" s="1410" t="s">
        <v>1396</v>
      </c>
      <c r="C98" s="1642" t="s">
        <v>451</v>
      </c>
      <c r="D98" s="1643" t="s">
        <v>164</v>
      </c>
      <c r="E98" s="1642">
        <v>333</v>
      </c>
      <c r="F98" s="1642" t="s">
        <v>1939</v>
      </c>
      <c r="G98" s="1726">
        <v>10549389.26</v>
      </c>
      <c r="H98" s="1726">
        <v>4559907.26</v>
      </c>
      <c r="I98" s="1726">
        <v>5989482</v>
      </c>
      <c r="J98" s="1726">
        <v>180948</v>
      </c>
      <c r="K98" s="719">
        <v>10549389.26</v>
      </c>
      <c r="L98" s="719">
        <v>4378959.26</v>
      </c>
      <c r="M98" s="719">
        <v>6170430</v>
      </c>
      <c r="N98" s="719">
        <v>180948</v>
      </c>
      <c r="O98" s="1642"/>
      <c r="W98" s="1650"/>
    </row>
    <row r="99" spans="1:24" s="284" customFormat="1" ht="15.75" customHeight="1" outlineLevel="1">
      <c r="A99" s="1289" t="str">
        <f t="shared" si="8"/>
        <v>Vischer Ferry334Accessory Electric Equipment</v>
      </c>
      <c r="B99" s="1410" t="s">
        <v>1397</v>
      </c>
      <c r="C99" s="1642" t="s">
        <v>451</v>
      </c>
      <c r="D99" s="1643" t="s">
        <v>164</v>
      </c>
      <c r="E99" s="1642">
        <v>334</v>
      </c>
      <c r="F99" s="1642" t="s">
        <v>1941</v>
      </c>
      <c r="G99" s="1726">
        <v>8935941.8900000006</v>
      </c>
      <c r="H99" s="1726">
        <v>3349832.8899999997</v>
      </c>
      <c r="I99" s="1726">
        <v>5586109.0000000009</v>
      </c>
      <c r="J99" s="1726">
        <v>147140.84</v>
      </c>
      <c r="K99" s="719">
        <v>8277356.0499999998</v>
      </c>
      <c r="L99" s="719">
        <v>3202692.05</v>
      </c>
      <c r="M99" s="719">
        <v>5074664</v>
      </c>
      <c r="N99" s="719">
        <v>146043</v>
      </c>
      <c r="O99" s="1642"/>
      <c r="W99" s="1650"/>
    </row>
    <row r="100" spans="1:24" s="284" customFormat="1" ht="15.75" customHeight="1" outlineLevel="1">
      <c r="A100" s="1289" t="str">
        <f t="shared" si="8"/>
        <v>Vischer Ferry335Misc Power Plant Equipment</v>
      </c>
      <c r="B100" s="1410" t="s">
        <v>1398</v>
      </c>
      <c r="C100" s="1642" t="s">
        <v>451</v>
      </c>
      <c r="D100" s="1643" t="s">
        <v>164</v>
      </c>
      <c r="E100" s="1642">
        <v>335</v>
      </c>
      <c r="F100" s="1642" t="s">
        <v>1942</v>
      </c>
      <c r="G100" s="1726">
        <v>910962.8899999999</v>
      </c>
      <c r="H100" s="1726">
        <v>249847.87</v>
      </c>
      <c r="I100" s="1726">
        <v>661115.0199999999</v>
      </c>
      <c r="J100" s="1726">
        <v>18153</v>
      </c>
      <c r="K100" s="719">
        <v>910962.8899999999</v>
      </c>
      <c r="L100" s="719">
        <v>231694.87</v>
      </c>
      <c r="M100" s="719">
        <v>679268.0199999999</v>
      </c>
      <c r="N100" s="719">
        <v>18153</v>
      </c>
      <c r="O100" s="1642"/>
      <c r="W100" s="1650"/>
    </row>
    <row r="101" spans="1:24" s="284" customFormat="1" ht="15.75" customHeight="1" outlineLevel="1">
      <c r="A101" s="1289" t="str">
        <f t="shared" si="8"/>
        <v>AdjustmentsCost of Removal Deprec to Reg Assets (Prod)</v>
      </c>
      <c r="B101" s="1410" t="s">
        <v>1399</v>
      </c>
      <c r="C101" s="1642" t="s">
        <v>451</v>
      </c>
      <c r="D101" s="658" t="s">
        <v>183</v>
      </c>
      <c r="E101" s="1644"/>
      <c r="F101" s="659" t="s">
        <v>1944</v>
      </c>
      <c r="G101" s="1726"/>
      <c r="H101" s="1726">
        <v>-178236935</v>
      </c>
      <c r="I101" s="1726">
        <v>178236935</v>
      </c>
      <c r="J101" s="1726"/>
      <c r="K101" s="719"/>
      <c r="L101" s="719">
        <v>-172331194.99999997</v>
      </c>
      <c r="M101" s="719">
        <v>172331194.99999997</v>
      </c>
      <c r="N101" s="719"/>
      <c r="O101" s="1642"/>
      <c r="W101" s="1650"/>
    </row>
    <row r="102" spans="1:24" s="284" customFormat="1" ht="15.75" customHeight="1" outlineLevel="1">
      <c r="A102" s="1289" t="str">
        <f t="shared" si="8"/>
        <v/>
      </c>
      <c r="B102" s="1410" t="s">
        <v>541</v>
      </c>
      <c r="C102" s="656"/>
      <c r="D102" s="656"/>
      <c r="E102" s="719"/>
      <c r="F102" s="656"/>
      <c r="G102" s="1726"/>
      <c r="H102" s="1726"/>
      <c r="I102" s="1726"/>
      <c r="J102" s="1726"/>
      <c r="K102" s="719"/>
      <c r="L102" s="719"/>
      <c r="M102" s="719"/>
      <c r="N102" s="719"/>
      <c r="W102" s="1650"/>
    </row>
    <row r="103" spans="1:24" s="284" customFormat="1" ht="15.75" customHeight="1" outlineLevel="1" thickBot="1">
      <c r="A103" s="1289" t="str">
        <f t="shared" si="8"/>
        <v/>
      </c>
      <c r="B103" s="1410" t="s">
        <v>541</v>
      </c>
      <c r="C103" s="656"/>
      <c r="D103" s="656"/>
      <c r="E103" s="719"/>
      <c r="F103" s="656"/>
      <c r="G103" s="1726"/>
      <c r="H103" s="1726"/>
      <c r="I103" s="1726"/>
      <c r="J103" s="1726"/>
      <c r="K103" s="719"/>
      <c r="L103" s="719"/>
      <c r="M103" s="719"/>
      <c r="N103" s="719"/>
      <c r="W103" s="1650"/>
    </row>
    <row r="104" spans="1:24" s="261" customFormat="1" ht="16.5" customHeight="1" thickBot="1">
      <c r="A104" s="1289" t="str">
        <f t="shared" si="8"/>
        <v>Production - Hydro Total</v>
      </c>
      <c r="B104" s="1366">
        <v>7</v>
      </c>
      <c r="C104" s="386"/>
      <c r="D104" s="386"/>
      <c r="E104" s="386"/>
      <c r="F104" s="388" t="s">
        <v>615</v>
      </c>
      <c r="G104" s="1727">
        <f t="shared" ref="G104:J104" si="9">SUBTOTAL(9,G69:G103)</f>
        <v>2114283400.0199997</v>
      </c>
      <c r="H104" s="1727">
        <f t="shared" si="9"/>
        <v>863599866.3499999</v>
      </c>
      <c r="I104" s="1727">
        <f t="shared" si="9"/>
        <v>1250683533.6700001</v>
      </c>
      <c r="J104" s="1727">
        <f t="shared" si="9"/>
        <v>41205124.130000003</v>
      </c>
      <c r="K104" s="389">
        <f t="shared" ref="K104:N104" si="10">SUBTOTAL(9,K69:K103)</f>
        <v>2101714209.8899999</v>
      </c>
      <c r="L104" s="389">
        <f t="shared" si="10"/>
        <v>830952249.21999979</v>
      </c>
      <c r="M104" s="389">
        <f t="shared" si="10"/>
        <v>1270761960.6700001</v>
      </c>
      <c r="N104" s="389">
        <f t="shared" si="10"/>
        <v>41058930.70000001</v>
      </c>
      <c r="W104" s="1762"/>
    </row>
    <row r="105" spans="1:24" s="284" customFormat="1" ht="15.75" customHeight="1" outlineLevel="1">
      <c r="A105" s="1289" t="str">
        <f t="shared" si="8"/>
        <v/>
      </c>
      <c r="B105" s="1365"/>
      <c r="C105" s="356"/>
      <c r="D105" s="385"/>
      <c r="E105" s="356"/>
      <c r="F105" s="355"/>
      <c r="G105" s="1728"/>
      <c r="H105" s="1728"/>
      <c r="I105" s="1728"/>
      <c r="J105" s="1728"/>
      <c r="K105" s="361"/>
      <c r="L105" s="361"/>
      <c r="M105" s="361"/>
      <c r="N105" s="361"/>
      <c r="W105" s="1650"/>
    </row>
    <row r="106" spans="1:24" s="284" customFormat="1" ht="15.75" customHeight="1" outlineLevel="1">
      <c r="A106" s="1289" t="str">
        <f t="shared" si="8"/>
        <v/>
      </c>
      <c r="B106" s="1365"/>
      <c r="C106" s="356"/>
      <c r="D106" s="385"/>
      <c r="E106" s="356"/>
      <c r="F106" s="355"/>
      <c r="G106" s="1728"/>
      <c r="H106" s="1728"/>
      <c r="I106" s="1728"/>
      <c r="J106" s="1728"/>
      <c r="K106" s="361"/>
      <c r="L106" s="361"/>
      <c r="M106" s="361"/>
      <c r="N106" s="361"/>
      <c r="W106" s="1650"/>
    </row>
    <row r="107" spans="1:24" s="263" customFormat="1" ht="16.5" customHeight="1" outlineLevel="1" thickBot="1">
      <c r="A107" s="1289" t="str">
        <f t="shared" si="8"/>
        <v>Production - Gas turbine/combined cycle</v>
      </c>
      <c r="B107" s="1367">
        <v>8</v>
      </c>
      <c r="C107" s="358"/>
      <c r="D107" s="383"/>
      <c r="E107" s="358"/>
      <c r="F107" s="384" t="s">
        <v>612</v>
      </c>
      <c r="G107" s="1729"/>
      <c r="H107" s="1729"/>
      <c r="I107" s="1729"/>
      <c r="J107" s="1729"/>
      <c r="K107" s="360"/>
      <c r="L107" s="360"/>
      <c r="M107" s="360"/>
      <c r="N107" s="360"/>
      <c r="W107" s="1763"/>
    </row>
    <row r="108" spans="1:24" s="284" customFormat="1" ht="15.75" customHeight="1" outlineLevel="1">
      <c r="A108" s="1289" t="str">
        <f t="shared" si="8"/>
        <v>500mW C - C at Astoria312Boiler Plant Equipment</v>
      </c>
      <c r="B108" s="1410" t="s">
        <v>1167</v>
      </c>
      <c r="C108" s="1642" t="s">
        <v>451</v>
      </c>
      <c r="D108" s="1643" t="s">
        <v>153</v>
      </c>
      <c r="E108" s="1642">
        <v>312</v>
      </c>
      <c r="F108" s="1642" t="s">
        <v>1945</v>
      </c>
      <c r="G108" s="1726">
        <v>111095656.88</v>
      </c>
      <c r="H108" s="1726">
        <v>48125862.880000003</v>
      </c>
      <c r="I108" s="1726">
        <v>62969793.999999993</v>
      </c>
      <c r="J108" s="1726">
        <v>3703195</v>
      </c>
      <c r="K108" s="719">
        <v>111095656.88</v>
      </c>
      <c r="L108" s="719">
        <v>44422667.880000003</v>
      </c>
      <c r="M108" s="719">
        <v>66672988.999999993</v>
      </c>
      <c r="N108" s="719">
        <v>3703195</v>
      </c>
      <c r="O108" s="1642"/>
      <c r="W108" s="1650"/>
      <c r="X108" s="1643"/>
    </row>
    <row r="109" spans="1:24" s="284" customFormat="1" ht="15.75" customHeight="1" outlineLevel="1">
      <c r="A109" s="1289" t="str">
        <f t="shared" si="8"/>
        <v>500mW C - C at Astoria314TurboGenerator Units</v>
      </c>
      <c r="B109" s="1410" t="s">
        <v>1168</v>
      </c>
      <c r="C109" s="1642" t="s">
        <v>451</v>
      </c>
      <c r="D109" s="1643" t="s">
        <v>153</v>
      </c>
      <c r="E109" s="1642">
        <v>314</v>
      </c>
      <c r="F109" s="1642" t="s">
        <v>1946</v>
      </c>
      <c r="G109" s="1726">
        <v>120835082.48000002</v>
      </c>
      <c r="H109" s="1726">
        <v>52631877.479999997</v>
      </c>
      <c r="I109" s="1726">
        <v>68203205.00000003</v>
      </c>
      <c r="J109" s="1726">
        <v>4063667</v>
      </c>
      <c r="K109" s="719">
        <v>120835082.48000002</v>
      </c>
      <c r="L109" s="719">
        <v>48568210.479999997</v>
      </c>
      <c r="M109" s="719">
        <v>72266872.00000003</v>
      </c>
      <c r="N109" s="719">
        <v>4063667</v>
      </c>
      <c r="O109" s="1642"/>
      <c r="W109" s="1650"/>
      <c r="X109" s="1643"/>
    </row>
    <row r="110" spans="1:24" s="284" customFormat="1" ht="15.75" customHeight="1" outlineLevel="1">
      <c r="A110" s="1289" t="str">
        <f t="shared" si="8"/>
        <v>500mW C - C at Astoria316Misc Power Plant Equipment</v>
      </c>
      <c r="B110" s="1410" t="s">
        <v>1188</v>
      </c>
      <c r="C110" s="1642" t="s">
        <v>451</v>
      </c>
      <c r="D110" s="1643" t="s">
        <v>153</v>
      </c>
      <c r="E110" s="1642">
        <v>316</v>
      </c>
      <c r="F110" s="1642" t="s">
        <v>1942</v>
      </c>
      <c r="G110" s="1726">
        <v>25467670.480000004</v>
      </c>
      <c r="H110" s="1726">
        <v>12942769.48</v>
      </c>
      <c r="I110" s="1726">
        <v>12524901.000000004</v>
      </c>
      <c r="J110" s="1726">
        <v>1037446</v>
      </c>
      <c r="K110" s="719">
        <v>25467670.480000004</v>
      </c>
      <c r="L110" s="719">
        <v>11905323.48</v>
      </c>
      <c r="M110" s="719">
        <v>13562347.000000004</v>
      </c>
      <c r="N110" s="719">
        <v>1037446</v>
      </c>
      <c r="O110" s="1642"/>
      <c r="W110" s="1650"/>
      <c r="X110" s="1643"/>
    </row>
    <row r="111" spans="1:24" s="284" customFormat="1" ht="15.75" customHeight="1" outlineLevel="1">
      <c r="A111" s="1289" t="str">
        <f t="shared" si="8"/>
        <v>500mW C - C at Astoria341Structures &amp; Improvements</v>
      </c>
      <c r="B111" s="1410" t="s">
        <v>1189</v>
      </c>
      <c r="C111" s="1642" t="s">
        <v>451</v>
      </c>
      <c r="D111" s="1643" t="s">
        <v>153</v>
      </c>
      <c r="E111" s="1642">
        <v>341</v>
      </c>
      <c r="F111" s="1642" t="s">
        <v>69</v>
      </c>
      <c r="G111" s="1726">
        <v>97863547.160000026</v>
      </c>
      <c r="H111" s="1726">
        <v>48616126.159999996</v>
      </c>
      <c r="I111" s="1726">
        <v>49247421.00000003</v>
      </c>
      <c r="J111" s="1726">
        <v>4064815.89</v>
      </c>
      <c r="K111" s="719">
        <v>97717255.270000026</v>
      </c>
      <c r="L111" s="719">
        <v>44551310.269999996</v>
      </c>
      <c r="M111" s="719">
        <v>53165945.00000003</v>
      </c>
      <c r="N111" s="719">
        <v>4058306.04</v>
      </c>
      <c r="O111" s="1642"/>
      <c r="W111" s="1650"/>
      <c r="X111" s="1643"/>
    </row>
    <row r="112" spans="1:24" s="284" customFormat="1" ht="15.75" customHeight="1" outlineLevel="1">
      <c r="A112" s="1289" t="str">
        <f t="shared" si="8"/>
        <v>500mW C - C at Astoria342FuelHolders, Producers, Accessory</v>
      </c>
      <c r="B112" s="1410" t="s">
        <v>1190</v>
      </c>
      <c r="C112" s="1642" t="s">
        <v>451</v>
      </c>
      <c r="D112" s="1643" t="s">
        <v>153</v>
      </c>
      <c r="E112" s="1642">
        <v>342</v>
      </c>
      <c r="F112" s="1642" t="s">
        <v>1947</v>
      </c>
      <c r="G112" s="1726">
        <v>67796568.439999998</v>
      </c>
      <c r="H112" s="1726">
        <v>27722250.220000003</v>
      </c>
      <c r="I112" s="1726">
        <v>40074318.219999999</v>
      </c>
      <c r="J112" s="1726">
        <v>2319255</v>
      </c>
      <c r="K112" s="719">
        <v>67796568.439999998</v>
      </c>
      <c r="L112" s="719">
        <v>25402995.220000003</v>
      </c>
      <c r="M112" s="719">
        <v>42393573.219999999</v>
      </c>
      <c r="N112" s="719">
        <v>2318479.0299999998</v>
      </c>
      <c r="O112" s="1642"/>
      <c r="W112" s="1650"/>
      <c r="X112" s="1643"/>
    </row>
    <row r="113" spans="1:24" s="284" customFormat="1" ht="15.75" customHeight="1" outlineLevel="1">
      <c r="A113" s="1289" t="str">
        <f t="shared" si="8"/>
        <v>500mW C - C at Astoria344Generators</v>
      </c>
      <c r="B113" s="1410" t="s">
        <v>1191</v>
      </c>
      <c r="C113" s="1642" t="s">
        <v>451</v>
      </c>
      <c r="D113" s="1643" t="s">
        <v>153</v>
      </c>
      <c r="E113" s="1642">
        <v>344</v>
      </c>
      <c r="F113" s="1642" t="s">
        <v>1948</v>
      </c>
      <c r="G113" s="1726">
        <v>235086832.77999991</v>
      </c>
      <c r="H113" s="1726">
        <v>138016542.78000003</v>
      </c>
      <c r="I113" s="1726">
        <v>97070289.999999881</v>
      </c>
      <c r="J113" s="1726">
        <v>9099368</v>
      </c>
      <c r="K113" s="719">
        <v>235086832.77999991</v>
      </c>
      <c r="L113" s="719">
        <v>128917174.78000002</v>
      </c>
      <c r="M113" s="719">
        <v>106169657.9999999</v>
      </c>
      <c r="N113" s="719">
        <v>10654793.199999999</v>
      </c>
      <c r="O113" s="1642"/>
      <c r="W113" s="1650"/>
      <c r="X113" s="1643"/>
    </row>
    <row r="114" spans="1:24" s="284" customFormat="1" ht="15.75" customHeight="1" outlineLevel="1">
      <c r="A114" s="1289" t="str">
        <f t="shared" si="8"/>
        <v>500mW C - C at Astoria345Accessory Electric Equipment</v>
      </c>
      <c r="B114" s="1410" t="s">
        <v>1192</v>
      </c>
      <c r="C114" s="1642" t="s">
        <v>451</v>
      </c>
      <c r="D114" s="1643" t="s">
        <v>153</v>
      </c>
      <c r="E114" s="1642">
        <v>345</v>
      </c>
      <c r="F114" s="1642" t="s">
        <v>1941</v>
      </c>
      <c r="G114" s="1726">
        <v>29359886.810000002</v>
      </c>
      <c r="H114" s="1726">
        <v>12476040.810000001</v>
      </c>
      <c r="I114" s="1726">
        <v>16883846</v>
      </c>
      <c r="J114" s="1726">
        <v>963031</v>
      </c>
      <c r="K114" s="719">
        <v>29359886.810000002</v>
      </c>
      <c r="L114" s="719">
        <v>11513009.810000001</v>
      </c>
      <c r="M114" s="719">
        <v>17846877</v>
      </c>
      <c r="N114" s="719">
        <v>963031</v>
      </c>
      <c r="O114" s="1642"/>
      <c r="W114" s="1650"/>
      <c r="X114" s="1643"/>
    </row>
    <row r="115" spans="1:24" s="284" customFormat="1" ht="15.75" customHeight="1" outlineLevel="1">
      <c r="A115" s="1289" t="str">
        <f t="shared" si="8"/>
        <v>500mW C - C at Astoria346Misc Power Plant Equipment</v>
      </c>
      <c r="B115" s="1410" t="s">
        <v>1193</v>
      </c>
      <c r="C115" s="1642" t="s">
        <v>451</v>
      </c>
      <c r="D115" s="1643" t="s">
        <v>153</v>
      </c>
      <c r="E115" s="1642">
        <v>346</v>
      </c>
      <c r="F115" s="1642" t="s">
        <v>1942</v>
      </c>
      <c r="G115" s="1726">
        <v>79438</v>
      </c>
      <c r="H115" s="1726">
        <v>32817.07</v>
      </c>
      <c r="I115" s="1726">
        <v>46620.93</v>
      </c>
      <c r="J115" s="1726">
        <v>2649</v>
      </c>
      <c r="K115" s="719">
        <v>79438</v>
      </c>
      <c r="L115" s="719">
        <v>30168.07</v>
      </c>
      <c r="M115" s="719">
        <v>49269.93</v>
      </c>
      <c r="N115" s="719">
        <v>2649</v>
      </c>
      <c r="O115" s="1642"/>
      <c r="W115" s="1650"/>
      <c r="X115" s="1643"/>
    </row>
    <row r="116" spans="1:24" s="284" customFormat="1" ht="15.75" customHeight="1" outlineLevel="1">
      <c r="A116" s="1289" t="str">
        <f t="shared" si="8"/>
        <v>BRENTWOOD  (Long Island)341Structures &amp; Improvements</v>
      </c>
      <c r="B116" s="1410" t="s">
        <v>1194</v>
      </c>
      <c r="C116" s="1642" t="s">
        <v>451</v>
      </c>
      <c r="D116" s="1643" t="s">
        <v>159</v>
      </c>
      <c r="E116" s="1642">
        <v>341</v>
      </c>
      <c r="F116" s="1642" t="s">
        <v>69</v>
      </c>
      <c r="G116" s="1726">
        <v>1113986.5</v>
      </c>
      <c r="H116" s="1726">
        <v>671279.02105999994</v>
      </c>
      <c r="I116" s="1726">
        <v>442707.47894000006</v>
      </c>
      <c r="J116" s="1726">
        <v>0</v>
      </c>
      <c r="K116" s="719">
        <v>1113986.5</v>
      </c>
      <c r="L116" s="719">
        <v>671279.02105999994</v>
      </c>
      <c r="M116" s="719">
        <v>442707.47894000006</v>
      </c>
      <c r="N116" s="719">
        <v>0</v>
      </c>
      <c r="O116" s="1642"/>
      <c r="W116" s="1650"/>
      <c r="X116" s="1643"/>
    </row>
    <row r="117" spans="1:24" s="284" customFormat="1" ht="15.75" customHeight="1" outlineLevel="1">
      <c r="A117" s="1289" t="str">
        <f t="shared" si="8"/>
        <v>BRENTWOOD  (Long Island)342FuelHolders, Producers, Accessory</v>
      </c>
      <c r="B117" s="1410" t="s">
        <v>1195</v>
      </c>
      <c r="C117" s="1642" t="s">
        <v>451</v>
      </c>
      <c r="D117" s="1643" t="s">
        <v>159</v>
      </c>
      <c r="E117" s="1642">
        <v>342</v>
      </c>
      <c r="F117" s="1642" t="s">
        <v>1947</v>
      </c>
      <c r="G117" s="1726">
        <v>3325504</v>
      </c>
      <c r="H117" s="1726">
        <v>2255328.1550099999</v>
      </c>
      <c r="I117" s="1726">
        <v>1070175.8449900001</v>
      </c>
      <c r="J117" s="1726">
        <v>0</v>
      </c>
      <c r="K117" s="719">
        <v>3325504</v>
      </c>
      <c r="L117" s="719">
        <v>2255328.1550099999</v>
      </c>
      <c r="M117" s="719">
        <v>1070175.8449900001</v>
      </c>
      <c r="N117" s="719">
        <v>0</v>
      </c>
      <c r="O117" s="1642"/>
      <c r="W117" s="1650"/>
      <c r="X117" s="1643"/>
    </row>
    <row r="118" spans="1:24" s="284" customFormat="1" ht="15.75" customHeight="1" outlineLevel="1">
      <c r="A118" s="1289" t="str">
        <f t="shared" si="8"/>
        <v>BRENTWOOD  (Long Island)344Generators</v>
      </c>
      <c r="B118" s="1410" t="s">
        <v>1196</v>
      </c>
      <c r="C118" s="1642" t="s">
        <v>451</v>
      </c>
      <c r="D118" s="1643" t="s">
        <v>159</v>
      </c>
      <c r="E118" s="1642">
        <v>344</v>
      </c>
      <c r="F118" s="1642" t="s">
        <v>1948</v>
      </c>
      <c r="G118" s="1726">
        <v>41318967.910000004</v>
      </c>
      <c r="H118" s="1726">
        <v>25700449.384300001</v>
      </c>
      <c r="I118" s="1726">
        <v>15618518.525700003</v>
      </c>
      <c r="J118" s="1726">
        <v>40559</v>
      </c>
      <c r="K118" s="719">
        <v>41318967.910000004</v>
      </c>
      <c r="L118" s="719">
        <v>25659890.384300001</v>
      </c>
      <c r="M118" s="719">
        <v>15659077.525700003</v>
      </c>
      <c r="N118" s="719">
        <v>40559</v>
      </c>
      <c r="O118" s="1642"/>
      <c r="W118" s="1650"/>
      <c r="X118" s="1643"/>
    </row>
    <row r="119" spans="1:24" s="284" customFormat="1" ht="15.75" customHeight="1" outlineLevel="1">
      <c r="A119" s="1289" t="str">
        <f t="shared" si="8"/>
        <v>BRENTWOOD  (Long Island)345Accessory Electric Equipment</v>
      </c>
      <c r="B119" s="1410" t="s">
        <v>1197</v>
      </c>
      <c r="C119" s="1642" t="s">
        <v>451</v>
      </c>
      <c r="D119" s="1643" t="s">
        <v>159</v>
      </c>
      <c r="E119" s="1642">
        <v>345</v>
      </c>
      <c r="F119" s="1642" t="s">
        <v>1941</v>
      </c>
      <c r="G119" s="1726">
        <v>1838521</v>
      </c>
      <c r="H119" s="1726">
        <v>1242131.56963</v>
      </c>
      <c r="I119" s="1726">
        <v>596389.43036999996</v>
      </c>
      <c r="J119" s="1726">
        <v>0</v>
      </c>
      <c r="K119" s="719">
        <v>1838521</v>
      </c>
      <c r="L119" s="719">
        <v>1242131.56963</v>
      </c>
      <c r="M119" s="719">
        <v>596389.43036999996</v>
      </c>
      <c r="N119" s="719">
        <v>0</v>
      </c>
      <c r="O119" s="1642"/>
      <c r="W119" s="1650"/>
      <c r="X119" s="1643"/>
    </row>
    <row r="120" spans="1:24" s="284" customFormat="1" ht="15.75" customHeight="1" outlineLevel="1">
      <c r="A120" s="1289" t="str">
        <f t="shared" si="8"/>
        <v>BRENTWOOD  (Long Island)346Misc Power Plant Equipment</v>
      </c>
      <c r="B120" s="1410" t="s">
        <v>1198</v>
      </c>
      <c r="C120" s="1642" t="s">
        <v>451</v>
      </c>
      <c r="D120" s="1643" t="s">
        <v>159</v>
      </c>
      <c r="E120" s="1642">
        <v>346</v>
      </c>
      <c r="F120" s="1642" t="s">
        <v>1942</v>
      </c>
      <c r="G120" s="1726">
        <v>0</v>
      </c>
      <c r="H120" s="1726">
        <v>0</v>
      </c>
      <c r="I120" s="1726">
        <v>0</v>
      </c>
      <c r="J120" s="1726">
        <v>0</v>
      </c>
      <c r="K120" s="719">
        <v>0</v>
      </c>
      <c r="L120" s="719">
        <v>0</v>
      </c>
      <c r="M120" s="719">
        <v>0</v>
      </c>
      <c r="N120" s="719">
        <v>0</v>
      </c>
      <c r="O120" s="1642"/>
      <c r="W120" s="1650"/>
      <c r="X120" s="1643"/>
    </row>
    <row r="121" spans="1:24" s="284" customFormat="1" ht="15.75" customHeight="1" outlineLevel="1">
      <c r="A121" s="1289" t="str">
        <f t="shared" si="8"/>
        <v>FLYNN  (Holtsville)341Structures &amp; Improvements</v>
      </c>
      <c r="B121" s="1410" t="s">
        <v>1199</v>
      </c>
      <c r="C121" s="1642" t="s">
        <v>451</v>
      </c>
      <c r="D121" s="1643" t="s">
        <v>155</v>
      </c>
      <c r="E121" s="1642">
        <v>341</v>
      </c>
      <c r="F121" s="1642" t="s">
        <v>69</v>
      </c>
      <c r="G121" s="1726">
        <v>9906989.4299999978</v>
      </c>
      <c r="H121" s="1726">
        <v>4924750.4300000006</v>
      </c>
      <c r="I121" s="1726">
        <v>4982238.9999999972</v>
      </c>
      <c r="J121" s="1726">
        <v>303368.2</v>
      </c>
      <c r="K121" s="719">
        <v>9763099.2299999986</v>
      </c>
      <c r="L121" s="719">
        <v>4621382.2300000004</v>
      </c>
      <c r="M121" s="719">
        <v>5141716.9999999981</v>
      </c>
      <c r="N121" s="719">
        <v>300660.47999999998</v>
      </c>
      <c r="O121" s="1642"/>
      <c r="W121" s="1650"/>
      <c r="X121" s="1643"/>
    </row>
    <row r="122" spans="1:24" s="284" customFormat="1" ht="15.75" customHeight="1" outlineLevel="1">
      <c r="A122" s="1289" t="str">
        <f t="shared" si="8"/>
        <v>FLYNN  (Holtsville)342FuelHolders, Producers, Accessory</v>
      </c>
      <c r="B122" s="1410" t="s">
        <v>1200</v>
      </c>
      <c r="C122" s="1642" t="s">
        <v>451</v>
      </c>
      <c r="D122" s="1643" t="s">
        <v>155</v>
      </c>
      <c r="E122" s="1642">
        <v>342</v>
      </c>
      <c r="F122" s="1642" t="s">
        <v>1947</v>
      </c>
      <c r="G122" s="1726">
        <v>16776430.539999999</v>
      </c>
      <c r="H122" s="1726">
        <v>6658014.6800000006</v>
      </c>
      <c r="I122" s="1726">
        <v>10118415.859999999</v>
      </c>
      <c r="J122" s="1726">
        <v>281501.17</v>
      </c>
      <c r="K122" s="719">
        <v>10711452.369999999</v>
      </c>
      <c r="L122" s="719">
        <v>6376513.5100000007</v>
      </c>
      <c r="M122" s="719">
        <v>4334938.8599999985</v>
      </c>
      <c r="N122" s="719">
        <v>268865</v>
      </c>
      <c r="O122" s="1642"/>
      <c r="W122" s="1650"/>
      <c r="X122" s="1643"/>
    </row>
    <row r="123" spans="1:24" s="284" customFormat="1" ht="15.75" customHeight="1" outlineLevel="1">
      <c r="A123" s="1289" t="str">
        <f t="shared" si="8"/>
        <v>FLYNN  (Holtsville)344Generators</v>
      </c>
      <c r="B123" s="1410" t="s">
        <v>1201</v>
      </c>
      <c r="C123" s="1642" t="s">
        <v>451</v>
      </c>
      <c r="D123" s="1643" t="s">
        <v>155</v>
      </c>
      <c r="E123" s="1642">
        <v>344</v>
      </c>
      <c r="F123" s="1642" t="s">
        <v>1948</v>
      </c>
      <c r="G123" s="1726">
        <v>135182593.75</v>
      </c>
      <c r="H123" s="1726">
        <v>79460449.609999999</v>
      </c>
      <c r="I123" s="1726">
        <v>55722144.140000001</v>
      </c>
      <c r="J123" s="1726">
        <v>3351521.99</v>
      </c>
      <c r="K123" s="719">
        <v>135154761.75999999</v>
      </c>
      <c r="L123" s="719">
        <v>76108927.620000005</v>
      </c>
      <c r="M123" s="719">
        <v>59045834.139999986</v>
      </c>
      <c r="N123" s="719">
        <v>3451496</v>
      </c>
      <c r="O123" s="1642"/>
      <c r="W123" s="1650"/>
      <c r="X123" s="1643"/>
    </row>
    <row r="124" spans="1:24" s="284" customFormat="1" ht="15.75" customHeight="1" outlineLevel="1">
      <c r="A124" s="1289" t="str">
        <f t="shared" si="8"/>
        <v>FLYNN  (Holtsville)345Accessory Electric Equipment</v>
      </c>
      <c r="B124" s="1410" t="s">
        <v>1202</v>
      </c>
      <c r="C124" s="1642" t="s">
        <v>451</v>
      </c>
      <c r="D124" s="1643" t="s">
        <v>155</v>
      </c>
      <c r="E124" s="1642">
        <v>345</v>
      </c>
      <c r="F124" s="1642" t="s">
        <v>1941</v>
      </c>
      <c r="G124" s="1726">
        <v>2620457.8000000003</v>
      </c>
      <c r="H124" s="1726">
        <v>1797436.1099999999</v>
      </c>
      <c r="I124" s="1726">
        <v>823021.69000000041</v>
      </c>
      <c r="J124" s="1726">
        <v>188800</v>
      </c>
      <c r="K124" s="719">
        <v>2620457.8000000003</v>
      </c>
      <c r="L124" s="719">
        <v>1608636.1099999999</v>
      </c>
      <c r="M124" s="719">
        <v>1011821.6900000004</v>
      </c>
      <c r="N124" s="719">
        <v>188799</v>
      </c>
      <c r="O124" s="1642"/>
      <c r="W124" s="1650"/>
      <c r="X124" s="1643"/>
    </row>
    <row r="125" spans="1:24" s="284" customFormat="1" ht="15.75" customHeight="1" outlineLevel="1">
      <c r="A125" s="1289" t="str">
        <f t="shared" si="8"/>
        <v>FLYNN  (Holtsville)346Misc Power Plant Equipment</v>
      </c>
      <c r="B125" s="1410" t="s">
        <v>1203</v>
      </c>
      <c r="C125" s="1642" t="s">
        <v>451</v>
      </c>
      <c r="D125" s="1643" t="s">
        <v>155</v>
      </c>
      <c r="E125" s="1642">
        <v>346</v>
      </c>
      <c r="F125" s="1642" t="s">
        <v>1942</v>
      </c>
      <c r="G125" s="1726">
        <v>3736375.42</v>
      </c>
      <c r="H125" s="1726">
        <v>2167131.44</v>
      </c>
      <c r="I125" s="1726">
        <v>1569243.98</v>
      </c>
      <c r="J125" s="1726">
        <v>118124</v>
      </c>
      <c r="K125" s="719">
        <v>3736375.42</v>
      </c>
      <c r="L125" s="719">
        <v>2049007.44</v>
      </c>
      <c r="M125" s="719">
        <v>1687367.98</v>
      </c>
      <c r="N125" s="719">
        <v>118124</v>
      </c>
      <c r="O125" s="1642"/>
      <c r="W125" s="1650"/>
      <c r="X125" s="1643"/>
    </row>
    <row r="126" spans="1:24" s="284" customFormat="1" ht="15.75" customHeight="1" outlineLevel="1">
      <c r="A126" s="1289" t="str">
        <f t="shared" si="8"/>
        <v>GOWANUS  (Brooklyn)341Structures &amp; Improvements</v>
      </c>
      <c r="B126" s="1410" t="s">
        <v>1204</v>
      </c>
      <c r="C126" s="1642" t="s">
        <v>451</v>
      </c>
      <c r="D126" s="1643" t="s">
        <v>156</v>
      </c>
      <c r="E126" s="1642">
        <v>341</v>
      </c>
      <c r="F126" s="1642" t="s">
        <v>69</v>
      </c>
      <c r="G126" s="1726">
        <v>4751681.3</v>
      </c>
      <c r="H126" s="1726">
        <v>1724891.4843677285</v>
      </c>
      <c r="I126" s="1726">
        <v>3026789.8156322716</v>
      </c>
      <c r="J126" s="1726">
        <v>3504.69</v>
      </c>
      <c r="K126" s="719">
        <v>4436305.6099999994</v>
      </c>
      <c r="L126" s="719">
        <v>1721386.7943677285</v>
      </c>
      <c r="M126" s="719">
        <v>2714918.8156322706</v>
      </c>
      <c r="N126" s="719">
        <v>-6491.3500326971325</v>
      </c>
      <c r="O126" s="1642"/>
      <c r="W126" s="1650"/>
      <c r="X126" s="1643"/>
    </row>
    <row r="127" spans="1:24" s="284" customFormat="1" ht="15.75" customHeight="1" outlineLevel="1">
      <c r="A127" s="1289" t="str">
        <f t="shared" si="8"/>
        <v>GOWANUS  (Brooklyn)342FuelHolders, Producers, Accessory</v>
      </c>
      <c r="B127" s="1410" t="s">
        <v>1205</v>
      </c>
      <c r="C127" s="1642" t="s">
        <v>451</v>
      </c>
      <c r="D127" s="1643" t="s">
        <v>156</v>
      </c>
      <c r="E127" s="1642">
        <v>342</v>
      </c>
      <c r="F127" s="1642" t="s">
        <v>1947</v>
      </c>
      <c r="G127" s="1726">
        <v>5203737</v>
      </c>
      <c r="H127" s="1726">
        <v>3451658.8130058548</v>
      </c>
      <c r="I127" s="1726">
        <v>1752078.1869941452</v>
      </c>
      <c r="J127" s="1726">
        <v>0</v>
      </c>
      <c r="K127" s="719">
        <v>5203737</v>
      </c>
      <c r="L127" s="719">
        <v>3451658.8130058548</v>
      </c>
      <c r="M127" s="719">
        <v>1752078.1869941452</v>
      </c>
      <c r="N127" s="719">
        <v>-5498.3585096190418</v>
      </c>
      <c r="O127" s="1642"/>
      <c r="W127" s="1650"/>
      <c r="X127" s="1643"/>
    </row>
    <row r="128" spans="1:24" s="284" customFormat="1" ht="15.75" customHeight="1" outlineLevel="1">
      <c r="A128" s="1289" t="str">
        <f t="shared" si="8"/>
        <v>GOWANUS  (Brooklyn)344Generators</v>
      </c>
      <c r="B128" s="1410" t="s">
        <v>1206</v>
      </c>
      <c r="C128" s="1642" t="s">
        <v>451</v>
      </c>
      <c r="D128" s="1643" t="s">
        <v>156</v>
      </c>
      <c r="E128" s="1642">
        <v>344</v>
      </c>
      <c r="F128" s="1642" t="s">
        <v>1948</v>
      </c>
      <c r="G128" s="1726">
        <v>83638967.310000017</v>
      </c>
      <c r="H128" s="1726">
        <v>53108747.237188049</v>
      </c>
      <c r="I128" s="1726">
        <v>30530220.072811969</v>
      </c>
      <c r="J128" s="1726">
        <v>26203.559999999998</v>
      </c>
      <c r="K128" s="719">
        <v>83235074.050000012</v>
      </c>
      <c r="L128" s="719">
        <v>53082543.677188046</v>
      </c>
      <c r="M128" s="719">
        <v>30152530.372811966</v>
      </c>
      <c r="N128" s="719">
        <v>49691.06604820925</v>
      </c>
      <c r="O128" s="1642"/>
      <c r="W128" s="1650"/>
      <c r="X128" s="1643"/>
    </row>
    <row r="129" spans="1:24" s="284" customFormat="1" ht="15.75" customHeight="1" outlineLevel="1">
      <c r="A129" s="1289" t="str">
        <f t="shared" si="8"/>
        <v>GOWANUS  (Brooklyn)345Accessory Electric Equipment</v>
      </c>
      <c r="B129" s="1410" t="s">
        <v>1207</v>
      </c>
      <c r="C129" s="1642" t="s">
        <v>451</v>
      </c>
      <c r="D129" s="1643" t="s">
        <v>156</v>
      </c>
      <c r="E129" s="1642">
        <v>345</v>
      </c>
      <c r="F129" s="1642" t="s">
        <v>1941</v>
      </c>
      <c r="G129" s="1726">
        <v>3722340</v>
      </c>
      <c r="H129" s="1726">
        <v>2469106.5254383697</v>
      </c>
      <c r="I129" s="1726">
        <v>1253233.4745616303</v>
      </c>
      <c r="J129" s="1726">
        <v>0</v>
      </c>
      <c r="K129" s="719">
        <v>3722340</v>
      </c>
      <c r="L129" s="719">
        <v>2469106.5254383697</v>
      </c>
      <c r="M129" s="719">
        <v>1253233.4745616303</v>
      </c>
      <c r="N129" s="719">
        <v>-3933.3575058930865</v>
      </c>
      <c r="O129" s="1642"/>
      <c r="W129" s="1650"/>
      <c r="X129" s="1643"/>
    </row>
    <row r="130" spans="1:24" s="284" customFormat="1" ht="15.75" customHeight="1" outlineLevel="1">
      <c r="A130" s="1289" t="str">
        <f t="shared" si="8"/>
        <v>GOWANUS  (Brooklyn)346Misc Power Plant Equipment</v>
      </c>
      <c r="B130" s="1410" t="s">
        <v>1208</v>
      </c>
      <c r="C130" s="1642" t="s">
        <v>451</v>
      </c>
      <c r="D130" s="1643" t="s">
        <v>156</v>
      </c>
      <c r="E130" s="1642">
        <v>346</v>
      </c>
      <c r="F130" s="1642" t="s">
        <v>1942</v>
      </c>
      <c r="G130" s="1726">
        <v>0</v>
      </c>
      <c r="H130" s="1726">
        <v>0</v>
      </c>
      <c r="I130" s="1726">
        <v>0</v>
      </c>
      <c r="J130" s="1726">
        <v>0</v>
      </c>
      <c r="K130" s="719">
        <v>0</v>
      </c>
      <c r="L130" s="719">
        <v>0</v>
      </c>
      <c r="M130" s="719">
        <v>0</v>
      </c>
      <c r="N130" s="719">
        <v>0</v>
      </c>
      <c r="O130" s="1642"/>
      <c r="W130" s="1650"/>
      <c r="X130" s="1643"/>
    </row>
    <row r="131" spans="1:24" s="284" customFormat="1" ht="15.75" customHeight="1" outlineLevel="1">
      <c r="A131" s="1289" t="str">
        <f t="shared" si="8"/>
        <v>HARLEM RIVER YARDS  (Bronx)341Structures &amp; Improvements</v>
      </c>
      <c r="B131" s="1410" t="s">
        <v>1209</v>
      </c>
      <c r="C131" s="1642" t="s">
        <v>451</v>
      </c>
      <c r="D131" s="1643" t="s">
        <v>157</v>
      </c>
      <c r="E131" s="1642">
        <v>341</v>
      </c>
      <c r="F131" s="1642" t="s">
        <v>69</v>
      </c>
      <c r="G131" s="1726">
        <v>1916037.6</v>
      </c>
      <c r="H131" s="1726">
        <v>1699281.08</v>
      </c>
      <c r="I131" s="1726">
        <v>216756.52000000002</v>
      </c>
      <c r="J131" s="1726">
        <v>3349.27</v>
      </c>
      <c r="K131" s="719">
        <v>1614657.33</v>
      </c>
      <c r="L131" s="719">
        <v>1695931.81</v>
      </c>
      <c r="M131" s="719">
        <v>-81274.479999999981</v>
      </c>
      <c r="N131" s="719">
        <v>1504</v>
      </c>
      <c r="O131" s="1642"/>
      <c r="W131" s="1650"/>
      <c r="X131" s="1643"/>
    </row>
    <row r="132" spans="1:24" s="284" customFormat="1" ht="15.75" customHeight="1" outlineLevel="1">
      <c r="A132" s="1289" t="str">
        <f t="shared" si="8"/>
        <v>HARLEM RIVER YARDS  (Bronx)342FuelHolders, Producers, Accessory</v>
      </c>
      <c r="B132" s="1410" t="s">
        <v>1210</v>
      </c>
      <c r="C132" s="1642" t="s">
        <v>451</v>
      </c>
      <c r="D132" s="1643" t="s">
        <v>157</v>
      </c>
      <c r="E132" s="1642">
        <v>342</v>
      </c>
      <c r="F132" s="1642" t="s">
        <v>1947</v>
      </c>
      <c r="G132" s="1726">
        <v>3169205</v>
      </c>
      <c r="H132" s="1726">
        <v>174598</v>
      </c>
      <c r="I132" s="1726">
        <v>2994607</v>
      </c>
      <c r="J132" s="1726">
        <v>0</v>
      </c>
      <c r="K132" s="719">
        <v>3169205</v>
      </c>
      <c r="L132" s="719">
        <v>174598</v>
      </c>
      <c r="M132" s="719">
        <v>2994607</v>
      </c>
      <c r="N132" s="719">
        <v>0</v>
      </c>
      <c r="O132" s="1642"/>
      <c r="W132" s="1650"/>
      <c r="X132" s="1643"/>
    </row>
    <row r="133" spans="1:24" s="284" customFormat="1" ht="15.75" customHeight="1" outlineLevel="1">
      <c r="A133" s="1289" t="str">
        <f t="shared" si="8"/>
        <v>HARLEM RIVER YARDS  (Bronx)344Generators</v>
      </c>
      <c r="B133" s="1410" t="s">
        <v>1211</v>
      </c>
      <c r="C133" s="1642" t="s">
        <v>451</v>
      </c>
      <c r="D133" s="1643" t="s">
        <v>157</v>
      </c>
      <c r="E133" s="1642">
        <v>344</v>
      </c>
      <c r="F133" s="1642" t="s">
        <v>1948</v>
      </c>
      <c r="G133" s="1726">
        <v>83273601.320000008</v>
      </c>
      <c r="H133" s="1726">
        <v>87799540.989999995</v>
      </c>
      <c r="I133" s="1726">
        <v>-4525939.6699999869</v>
      </c>
      <c r="J133" s="1726">
        <v>81046</v>
      </c>
      <c r="K133" s="719">
        <v>83273601.320000008</v>
      </c>
      <c r="L133" s="719">
        <v>87718494.989999995</v>
      </c>
      <c r="M133" s="719">
        <v>-4444893.6699999869</v>
      </c>
      <c r="N133" s="719">
        <v>81046</v>
      </c>
      <c r="O133" s="1642"/>
      <c r="W133" s="1650"/>
      <c r="X133" s="1643"/>
    </row>
    <row r="134" spans="1:24" s="284" customFormat="1" ht="15.75" customHeight="1" outlineLevel="1">
      <c r="A134" s="1289" t="str">
        <f t="shared" si="8"/>
        <v>HARLEM RIVER YARDS  (Bronx)345Accessory Electric Equipment</v>
      </c>
      <c r="B134" s="1410" t="s">
        <v>1212</v>
      </c>
      <c r="C134" s="1642" t="s">
        <v>451</v>
      </c>
      <c r="D134" s="1643" t="s">
        <v>157</v>
      </c>
      <c r="E134" s="1642">
        <v>345</v>
      </c>
      <c r="F134" s="1642" t="s">
        <v>1941</v>
      </c>
      <c r="G134" s="1726">
        <v>3636503</v>
      </c>
      <c r="H134" s="1726">
        <v>3800883</v>
      </c>
      <c r="I134" s="1726">
        <v>-164380</v>
      </c>
      <c r="J134" s="1726">
        <v>0</v>
      </c>
      <c r="K134" s="719">
        <v>3636503</v>
      </c>
      <c r="L134" s="719">
        <v>3800883</v>
      </c>
      <c r="M134" s="719">
        <v>-164380</v>
      </c>
      <c r="N134" s="719">
        <v>0</v>
      </c>
      <c r="O134" s="1642"/>
      <c r="W134" s="1650"/>
      <c r="X134" s="1643"/>
    </row>
    <row r="135" spans="1:24" s="284" customFormat="1" ht="15.75" customHeight="1" outlineLevel="1">
      <c r="A135" s="1289" t="str">
        <f t="shared" si="8"/>
        <v>HARLEM RIVER YARDS  (Bronx)346Misc Power Plant Equipment</v>
      </c>
      <c r="B135" s="1410" t="s">
        <v>1213</v>
      </c>
      <c r="C135" s="1642" t="s">
        <v>451</v>
      </c>
      <c r="D135" s="1643" t="s">
        <v>157</v>
      </c>
      <c r="E135" s="1642">
        <v>346</v>
      </c>
      <c r="F135" s="1642" t="s">
        <v>1942</v>
      </c>
      <c r="G135" s="1726">
        <v>0</v>
      </c>
      <c r="H135" s="1726">
        <v>0</v>
      </c>
      <c r="I135" s="1726">
        <v>0</v>
      </c>
      <c r="J135" s="1726">
        <v>0</v>
      </c>
      <c r="K135" s="719">
        <v>0</v>
      </c>
      <c r="L135" s="719">
        <v>0</v>
      </c>
      <c r="M135" s="719">
        <v>0</v>
      </c>
      <c r="N135" s="719">
        <v>0</v>
      </c>
      <c r="O135" s="1642"/>
      <c r="W135" s="1650"/>
      <c r="X135" s="1643"/>
    </row>
    <row r="136" spans="1:24" s="284" customFormat="1" ht="15.75" customHeight="1" outlineLevel="1">
      <c r="A136" s="1289" t="str">
        <f t="shared" si="8"/>
        <v>HELLGATE  (Bronx)341Structures &amp; Improvements</v>
      </c>
      <c r="B136" s="1410" t="s">
        <v>1214</v>
      </c>
      <c r="C136" s="1642" t="s">
        <v>451</v>
      </c>
      <c r="D136" s="1643" t="s">
        <v>158</v>
      </c>
      <c r="E136" s="1642">
        <v>341</v>
      </c>
      <c r="F136" s="1642" t="s">
        <v>69</v>
      </c>
      <c r="G136" s="1726">
        <v>1555480.37</v>
      </c>
      <c r="H136" s="1726">
        <v>1632816.85</v>
      </c>
      <c r="I136" s="1726">
        <v>-77336.479999999981</v>
      </c>
      <c r="J136" s="1726">
        <v>0</v>
      </c>
      <c r="K136" s="719">
        <v>1555480.37</v>
      </c>
      <c r="L136" s="719">
        <v>1632816.85</v>
      </c>
      <c r="M136" s="719">
        <v>-77336.479999999981</v>
      </c>
      <c r="N136" s="719">
        <v>1504</v>
      </c>
      <c r="O136" s="1642"/>
      <c r="W136" s="1650"/>
      <c r="X136" s="1643"/>
    </row>
    <row r="137" spans="1:24" s="284" customFormat="1" ht="15.75" customHeight="1" outlineLevel="1">
      <c r="A137" s="1289" t="str">
        <f t="shared" si="8"/>
        <v>HELLGATE  (Bronx)342FuelHolders, Producers, Accessory</v>
      </c>
      <c r="B137" s="1410" t="s">
        <v>1215</v>
      </c>
      <c r="C137" s="1642" t="s">
        <v>451</v>
      </c>
      <c r="D137" s="1643" t="s">
        <v>158</v>
      </c>
      <c r="E137" s="1642">
        <v>342</v>
      </c>
      <c r="F137" s="1642" t="s">
        <v>1947</v>
      </c>
      <c r="G137" s="1726">
        <v>6968039</v>
      </c>
      <c r="H137" s="1726">
        <v>7245604</v>
      </c>
      <c r="I137" s="1726">
        <v>-277565</v>
      </c>
      <c r="J137" s="1726">
        <v>0</v>
      </c>
      <c r="K137" s="719">
        <v>6968039</v>
      </c>
      <c r="L137" s="719">
        <v>7245604</v>
      </c>
      <c r="M137" s="719">
        <v>-277565</v>
      </c>
      <c r="N137" s="719">
        <v>0</v>
      </c>
      <c r="O137" s="1642"/>
      <c r="W137" s="1650"/>
      <c r="X137" s="1643"/>
    </row>
    <row r="138" spans="1:24" s="284" customFormat="1" ht="15.75" customHeight="1" outlineLevel="1">
      <c r="A138" s="1289" t="str">
        <f t="shared" si="8"/>
        <v>HELLGATE  (Bronx)344Generators</v>
      </c>
      <c r="B138" s="1410" t="s">
        <v>1216</v>
      </c>
      <c r="C138" s="1642" t="s">
        <v>451</v>
      </c>
      <c r="D138" s="1643" t="s">
        <v>158</v>
      </c>
      <c r="E138" s="1642">
        <v>344</v>
      </c>
      <c r="F138" s="1642" t="s">
        <v>1948</v>
      </c>
      <c r="G138" s="1726">
        <v>85378835.879999995</v>
      </c>
      <c r="H138" s="1726">
        <v>88286338.929999992</v>
      </c>
      <c r="I138" s="1726">
        <v>-2907503.049999997</v>
      </c>
      <c r="J138" s="1726">
        <v>81046</v>
      </c>
      <c r="K138" s="719">
        <v>85378835.879999995</v>
      </c>
      <c r="L138" s="719">
        <v>88205292.929999992</v>
      </c>
      <c r="M138" s="719">
        <v>-2826457.049999997</v>
      </c>
      <c r="N138" s="719">
        <v>81046</v>
      </c>
      <c r="O138" s="1642"/>
      <c r="W138" s="1650"/>
      <c r="X138" s="1643"/>
    </row>
    <row r="139" spans="1:24" s="284" customFormat="1" ht="15.75" customHeight="1" outlineLevel="1">
      <c r="A139" s="1289" t="str">
        <f t="shared" si="8"/>
        <v>HELLGATE  (Bronx)345Accessory Electric Equipment</v>
      </c>
      <c r="B139" s="1410" t="s">
        <v>1217</v>
      </c>
      <c r="C139" s="1642" t="s">
        <v>451</v>
      </c>
      <c r="D139" s="1643" t="s">
        <v>158</v>
      </c>
      <c r="E139" s="1642">
        <v>345</v>
      </c>
      <c r="F139" s="1642" t="s">
        <v>1941</v>
      </c>
      <c r="G139" s="1726">
        <v>3530209</v>
      </c>
      <c r="H139" s="1726">
        <v>3688417</v>
      </c>
      <c r="I139" s="1726">
        <v>-158208</v>
      </c>
      <c r="J139" s="1726">
        <v>0</v>
      </c>
      <c r="K139" s="719">
        <v>3530209</v>
      </c>
      <c r="L139" s="719">
        <v>3688417</v>
      </c>
      <c r="M139" s="719">
        <v>-158208</v>
      </c>
      <c r="N139" s="719">
        <v>0</v>
      </c>
      <c r="O139" s="1642"/>
      <c r="W139" s="1650"/>
      <c r="X139" s="1643"/>
    </row>
    <row r="140" spans="1:24" s="284" customFormat="1" ht="15.75" customHeight="1" outlineLevel="1">
      <c r="A140" s="1289" t="str">
        <f t="shared" si="8"/>
        <v>HELLGATE  (Bronx)346Misc Power Plant Equipment</v>
      </c>
      <c r="B140" s="1410" t="s">
        <v>1366</v>
      </c>
      <c r="C140" s="1642" t="s">
        <v>451</v>
      </c>
      <c r="D140" s="1643" t="s">
        <v>158</v>
      </c>
      <c r="E140" s="1642">
        <v>346</v>
      </c>
      <c r="F140" s="1642" t="s">
        <v>1942</v>
      </c>
      <c r="G140" s="1726">
        <v>0</v>
      </c>
      <c r="H140" s="1726">
        <v>0</v>
      </c>
      <c r="I140" s="1726">
        <v>0</v>
      </c>
      <c r="J140" s="1726">
        <v>0</v>
      </c>
      <c r="K140" s="719">
        <v>0</v>
      </c>
      <c r="L140" s="719">
        <v>0</v>
      </c>
      <c r="M140" s="719">
        <v>0</v>
      </c>
      <c r="N140" s="719">
        <v>0</v>
      </c>
      <c r="O140" s="1642"/>
      <c r="W140" s="1650"/>
      <c r="X140" s="1643"/>
    </row>
    <row r="141" spans="1:24" s="284" customFormat="1" ht="15.75" customHeight="1" outlineLevel="1">
      <c r="A141" s="1289" t="str">
        <f t="shared" si="8"/>
        <v>KENT  (Brooklyn)341Structures &amp; Improvements</v>
      </c>
      <c r="B141" s="1410" t="s">
        <v>1400</v>
      </c>
      <c r="C141" s="1642" t="s">
        <v>451</v>
      </c>
      <c r="D141" s="1643" t="s">
        <v>165</v>
      </c>
      <c r="E141" s="1642">
        <v>341</v>
      </c>
      <c r="F141" s="1642" t="s">
        <v>69</v>
      </c>
      <c r="G141" s="1726">
        <v>1180758.8199999998</v>
      </c>
      <c r="H141" s="1726">
        <v>769450.27513539768</v>
      </c>
      <c r="I141" s="1726">
        <v>411308.54486460215</v>
      </c>
      <c r="J141" s="1726">
        <v>0</v>
      </c>
      <c r="K141" s="719">
        <v>1180758.8199999998</v>
      </c>
      <c r="L141" s="719">
        <v>769450.27513539768</v>
      </c>
      <c r="M141" s="719">
        <v>411308.54486460215</v>
      </c>
      <c r="N141" s="719">
        <v>1504</v>
      </c>
      <c r="O141" s="1642"/>
      <c r="W141" s="1650"/>
      <c r="X141" s="1643"/>
    </row>
    <row r="142" spans="1:24" s="284" customFormat="1" ht="15.75" customHeight="1" outlineLevel="1">
      <c r="A142" s="1289" t="str">
        <f t="shared" si="8"/>
        <v>KENT  (Brooklyn)342FuelHolders, Producers, Accessory</v>
      </c>
      <c r="B142" s="1410" t="s">
        <v>1401</v>
      </c>
      <c r="C142" s="1642" t="s">
        <v>451</v>
      </c>
      <c r="D142" s="1643" t="s">
        <v>165</v>
      </c>
      <c r="E142" s="1642">
        <v>342</v>
      </c>
      <c r="F142" s="1642" t="s">
        <v>1947</v>
      </c>
      <c r="G142" s="1726">
        <v>5309685</v>
      </c>
      <c r="H142" s="1726">
        <v>3875701.6921841311</v>
      </c>
      <c r="I142" s="1726">
        <v>1433983.3078158689</v>
      </c>
      <c r="J142" s="1726">
        <v>0</v>
      </c>
      <c r="K142" s="719">
        <v>5309685</v>
      </c>
      <c r="L142" s="719">
        <v>3875701.6921841311</v>
      </c>
      <c r="M142" s="719">
        <v>1433983.3078158689</v>
      </c>
      <c r="N142" s="719">
        <v>0</v>
      </c>
      <c r="O142" s="1642"/>
      <c r="W142" s="1650"/>
      <c r="X142" s="1643"/>
    </row>
    <row r="143" spans="1:24" s="284" customFormat="1" ht="15.75" customHeight="1" outlineLevel="1">
      <c r="A143" s="1289" t="str">
        <f t="shared" si="8"/>
        <v>KENT  (Brooklyn)344Generators</v>
      </c>
      <c r="B143" s="1410" t="s">
        <v>1402</v>
      </c>
      <c r="C143" s="1642" t="s">
        <v>451</v>
      </c>
      <c r="D143" s="1643" t="s">
        <v>165</v>
      </c>
      <c r="E143" s="1642">
        <v>344</v>
      </c>
      <c r="F143" s="1642" t="s">
        <v>1948</v>
      </c>
      <c r="G143" s="1726">
        <v>43403209.670000002</v>
      </c>
      <c r="H143" s="1726">
        <v>30369524.139713332</v>
      </c>
      <c r="I143" s="1726">
        <v>13033685.53028667</v>
      </c>
      <c r="J143" s="1726">
        <v>0</v>
      </c>
      <c r="K143" s="719">
        <v>43403209.670000002</v>
      </c>
      <c r="L143" s="719">
        <v>30369524.139713332</v>
      </c>
      <c r="M143" s="719">
        <v>13033685.53028667</v>
      </c>
      <c r="N143" s="719">
        <v>0</v>
      </c>
      <c r="O143" s="1642"/>
      <c r="W143" s="1650"/>
      <c r="X143" s="1643"/>
    </row>
    <row r="144" spans="1:24" s="284" customFormat="1" ht="15.75" customHeight="1" outlineLevel="1">
      <c r="A144" s="1289" t="str">
        <f t="shared" si="8"/>
        <v>KENT  (Brooklyn)345Accessory Electric Equipment</v>
      </c>
      <c r="B144" s="1410" t="s">
        <v>1403</v>
      </c>
      <c r="C144" s="1642" t="s">
        <v>451</v>
      </c>
      <c r="D144" s="1643" t="s">
        <v>165</v>
      </c>
      <c r="E144" s="1642">
        <v>345</v>
      </c>
      <c r="F144" s="1642" t="s">
        <v>1941</v>
      </c>
      <c r="G144" s="1726">
        <v>1987337</v>
      </c>
      <c r="H144" s="1726">
        <v>1442006.6429671396</v>
      </c>
      <c r="I144" s="1726">
        <v>545330.3570328604</v>
      </c>
      <c r="J144" s="1726">
        <v>0</v>
      </c>
      <c r="K144" s="719">
        <v>1987337</v>
      </c>
      <c r="L144" s="719">
        <v>1442006.6429671396</v>
      </c>
      <c r="M144" s="719">
        <v>545330.3570328604</v>
      </c>
      <c r="N144" s="719">
        <v>0</v>
      </c>
      <c r="O144" s="1642"/>
      <c r="W144" s="1650"/>
      <c r="X144" s="1643"/>
    </row>
    <row r="145" spans="1:24" s="284" customFormat="1" ht="15.75" customHeight="1" outlineLevel="1">
      <c r="A145" s="1289" t="str">
        <f t="shared" si="8"/>
        <v>KENT  (Brooklyn)346Misc Power Plant Equipment</v>
      </c>
      <c r="B145" s="1410" t="s">
        <v>1404</v>
      </c>
      <c r="C145" s="1642" t="s">
        <v>451</v>
      </c>
      <c r="D145" s="1643" t="s">
        <v>165</v>
      </c>
      <c r="E145" s="1642">
        <v>346</v>
      </c>
      <c r="F145" s="1642" t="s">
        <v>1942</v>
      </c>
      <c r="G145" s="1726">
        <v>0</v>
      </c>
      <c r="H145" s="1726">
        <v>0</v>
      </c>
      <c r="I145" s="1726">
        <v>0</v>
      </c>
      <c r="J145" s="1726">
        <v>0</v>
      </c>
      <c r="K145" s="719">
        <v>0</v>
      </c>
      <c r="L145" s="719">
        <v>0</v>
      </c>
      <c r="M145" s="719">
        <v>0</v>
      </c>
      <c r="N145" s="719">
        <v>0</v>
      </c>
      <c r="O145" s="1642"/>
      <c r="W145" s="1779"/>
      <c r="X145" s="1643"/>
    </row>
    <row r="146" spans="1:24" s="284" customFormat="1" ht="15.75" customHeight="1" outlineLevel="1">
      <c r="A146" s="1289" t="str">
        <f t="shared" si="8"/>
        <v>POLETTI  (Astoria)311Structures &amp; Improvements</v>
      </c>
      <c r="B146" s="1410" t="s">
        <v>1405</v>
      </c>
      <c r="C146" s="1642" t="s">
        <v>451</v>
      </c>
      <c r="D146" s="1643" t="s">
        <v>161</v>
      </c>
      <c r="E146" s="1642">
        <v>311</v>
      </c>
      <c r="F146" s="1642" t="s">
        <v>69</v>
      </c>
      <c r="G146" s="1726">
        <v>0.45000000298023224</v>
      </c>
      <c r="H146" s="1726">
        <v>3.1811182647943497</v>
      </c>
      <c r="I146" s="1726">
        <v>-2.7311182618141174</v>
      </c>
      <c r="J146" s="1726">
        <v>0</v>
      </c>
      <c r="K146" s="719">
        <v>0.45000000298023224</v>
      </c>
      <c r="L146" s="719">
        <v>3.1811182647943497</v>
      </c>
      <c r="M146" s="719">
        <v>-2.7311182618141174</v>
      </c>
      <c r="N146" s="719">
        <v>0</v>
      </c>
      <c r="O146" s="1642"/>
      <c r="W146" s="1650"/>
      <c r="X146" s="1643"/>
    </row>
    <row r="147" spans="1:24" s="284" customFormat="1" ht="15.75" customHeight="1" outlineLevel="1">
      <c r="A147" s="1289" t="str">
        <f t="shared" si="8"/>
        <v>POLETTI  (Astoria)312Boiler Plant Equipment</v>
      </c>
      <c r="B147" s="1410" t="s">
        <v>1406</v>
      </c>
      <c r="C147" s="1642" t="s">
        <v>451</v>
      </c>
      <c r="D147" s="1643" t="s">
        <v>161</v>
      </c>
      <c r="E147" s="1642">
        <v>312</v>
      </c>
      <c r="F147" s="1642" t="s">
        <v>1945</v>
      </c>
      <c r="G147" s="1726">
        <v>3.9999991655349731E-2</v>
      </c>
      <c r="H147" s="1726">
        <v>-4.4736266136169434E-4</v>
      </c>
      <c r="I147" s="1726">
        <v>4.0447354316711426E-2</v>
      </c>
      <c r="J147" s="1726">
        <v>0</v>
      </c>
      <c r="K147" s="719">
        <v>3.9999991655349731E-2</v>
      </c>
      <c r="L147" s="719">
        <v>-4.4736266136169434E-4</v>
      </c>
      <c r="M147" s="719">
        <v>4.0447354316711426E-2</v>
      </c>
      <c r="N147" s="719">
        <v>0</v>
      </c>
      <c r="O147" s="1642"/>
      <c r="W147" s="1650"/>
      <c r="X147" s="1643"/>
    </row>
    <row r="148" spans="1:24" s="284" customFormat="1" ht="15.75" customHeight="1" outlineLevel="1">
      <c r="A148" s="1289" t="str">
        <f t="shared" ref="A148:A162" si="11">CONCATENATE(D148,E148,F148)</f>
        <v>POLETTI  (Astoria)314TurboGenerator Units</v>
      </c>
      <c r="B148" s="1410" t="s">
        <v>1407</v>
      </c>
      <c r="C148" s="1642" t="s">
        <v>451</v>
      </c>
      <c r="D148" s="1643" t="s">
        <v>161</v>
      </c>
      <c r="E148" s="1642">
        <v>314</v>
      </c>
      <c r="F148" s="1642" t="s">
        <v>1946</v>
      </c>
      <c r="G148" s="1726">
        <v>0.39000000059604645</v>
      </c>
      <c r="H148" s="1726">
        <v>-3.2081692963838577</v>
      </c>
      <c r="I148" s="1726">
        <v>3.5981692969799042</v>
      </c>
      <c r="J148" s="1726">
        <v>0</v>
      </c>
      <c r="K148" s="719">
        <v>0.39000000059604645</v>
      </c>
      <c r="L148" s="719">
        <v>-3.2081692963838577</v>
      </c>
      <c r="M148" s="719">
        <v>3.5981692969799042</v>
      </c>
      <c r="N148" s="719">
        <v>0</v>
      </c>
      <c r="O148" s="1642"/>
      <c r="W148" s="1650"/>
      <c r="X148" s="1643"/>
    </row>
    <row r="149" spans="1:24" s="284" customFormat="1" ht="15.75" customHeight="1" outlineLevel="1">
      <c r="A149" s="1289" t="str">
        <f t="shared" si="11"/>
        <v>POLETTI  (Astoria)315Accessory Electric Equipment</v>
      </c>
      <c r="B149" s="1410" t="s">
        <v>1408</v>
      </c>
      <c r="C149" s="1642" t="s">
        <v>451</v>
      </c>
      <c r="D149" s="1643" t="s">
        <v>161</v>
      </c>
      <c r="E149" s="1642">
        <v>315</v>
      </c>
      <c r="F149" s="1642" t="s">
        <v>1941</v>
      </c>
      <c r="G149" s="1726">
        <v>-0.28999999910593033</v>
      </c>
      <c r="H149" s="1726">
        <v>0</v>
      </c>
      <c r="I149" s="1726">
        <v>-0.28999999910593033</v>
      </c>
      <c r="J149" s="1726">
        <v>0</v>
      </c>
      <c r="K149" s="719">
        <v>-0.28999999910593033</v>
      </c>
      <c r="L149" s="719">
        <v>0</v>
      </c>
      <c r="M149" s="719">
        <v>-0.28999999910593033</v>
      </c>
      <c r="N149" s="719">
        <v>0</v>
      </c>
      <c r="O149" s="1642"/>
      <c r="W149" s="1650"/>
      <c r="X149" s="1643"/>
    </row>
    <row r="150" spans="1:24" s="284" customFormat="1" ht="15.75" customHeight="1" outlineLevel="1">
      <c r="A150" s="1289" t="str">
        <f t="shared" si="11"/>
        <v>POLETTI  (Astoria)316Misc Power Plant Equipment</v>
      </c>
      <c r="B150" s="1410" t="s">
        <v>1409</v>
      </c>
      <c r="C150" s="1642" t="s">
        <v>451</v>
      </c>
      <c r="D150" s="1643" t="s">
        <v>161</v>
      </c>
      <c r="E150" s="1642">
        <v>316</v>
      </c>
      <c r="F150" s="1642" t="s">
        <v>1942</v>
      </c>
      <c r="G150" s="1726">
        <v>-0.25</v>
      </c>
      <c r="H150" s="1726">
        <v>0.39661968406289816</v>
      </c>
      <c r="I150" s="1726">
        <v>-0.64661968406289816</v>
      </c>
      <c r="J150" s="1726">
        <v>0</v>
      </c>
      <c r="K150" s="719">
        <v>-0.25</v>
      </c>
      <c r="L150" s="719">
        <v>0.39661968406289816</v>
      </c>
      <c r="M150" s="719">
        <v>-0.64661968406289816</v>
      </c>
      <c r="N150" s="719">
        <v>0</v>
      </c>
      <c r="O150" s="1642"/>
      <c r="W150" s="1650"/>
      <c r="X150" s="1643"/>
    </row>
    <row r="151" spans="1:24" s="284" customFormat="1" ht="15.75" customHeight="1" outlineLevel="1">
      <c r="A151" s="1289" t="str">
        <f t="shared" si="11"/>
        <v>POUCH TERMINAL  (Richmond)341Structures &amp; Improvements</v>
      </c>
      <c r="B151" s="1410" t="s">
        <v>1410</v>
      </c>
      <c r="C151" s="1642" t="s">
        <v>451</v>
      </c>
      <c r="D151" s="1643" t="s">
        <v>166</v>
      </c>
      <c r="E151" s="1642">
        <v>341</v>
      </c>
      <c r="F151" s="1642" t="s">
        <v>69</v>
      </c>
      <c r="G151" s="1726">
        <v>3445867.67</v>
      </c>
      <c r="H151" s="1726">
        <v>1913969.1688463639</v>
      </c>
      <c r="I151" s="1726">
        <v>1531898.501153636</v>
      </c>
      <c r="J151" s="1726">
        <v>1879.4399999999987</v>
      </c>
      <c r="K151" s="719">
        <v>3276763.23</v>
      </c>
      <c r="L151" s="719">
        <v>1912089.728846364</v>
      </c>
      <c r="M151" s="719">
        <v>1364673.501153636</v>
      </c>
      <c r="N151" s="719">
        <v>145066.59818499032</v>
      </c>
      <c r="O151" s="1642"/>
      <c r="W151" s="1650"/>
      <c r="X151" s="1643"/>
    </row>
    <row r="152" spans="1:24" s="284" customFormat="1" ht="15.75" customHeight="1" outlineLevel="1">
      <c r="A152" s="1289" t="str">
        <f t="shared" si="11"/>
        <v>POUCH TERMINAL  (Richmond)342FuelHolders, Producers, Accessory</v>
      </c>
      <c r="B152" s="1410" t="s">
        <v>1411</v>
      </c>
      <c r="C152" s="1642" t="s">
        <v>451</v>
      </c>
      <c r="D152" s="1643" t="s">
        <v>166</v>
      </c>
      <c r="E152" s="1642">
        <v>342</v>
      </c>
      <c r="F152" s="1642" t="s">
        <v>1947</v>
      </c>
      <c r="G152" s="1726">
        <v>4329702</v>
      </c>
      <c r="H152" s="1726">
        <v>2573277.1665662914</v>
      </c>
      <c r="I152" s="1726">
        <v>1756424.8334337086</v>
      </c>
      <c r="J152" s="1726">
        <v>0</v>
      </c>
      <c r="K152" s="719">
        <v>4329702</v>
      </c>
      <c r="L152" s="719">
        <v>2573277.1665662914</v>
      </c>
      <c r="M152" s="719">
        <v>1756424.8334337086</v>
      </c>
      <c r="N152" s="719">
        <v>0</v>
      </c>
      <c r="O152" s="1642"/>
      <c r="W152" s="1650"/>
      <c r="X152" s="1643"/>
    </row>
    <row r="153" spans="1:24" s="284" customFormat="1" ht="15.75" customHeight="1" outlineLevel="1">
      <c r="A153" s="1289" t="str">
        <f t="shared" si="11"/>
        <v>POUCH TERMINAL  (Richmond)344Generators</v>
      </c>
      <c r="B153" s="1410" t="s">
        <v>1412</v>
      </c>
      <c r="C153" s="1642" t="s">
        <v>451</v>
      </c>
      <c r="D153" s="1643" t="s">
        <v>166</v>
      </c>
      <c r="E153" s="1642">
        <v>344</v>
      </c>
      <c r="F153" s="1642" t="s">
        <v>1948</v>
      </c>
      <c r="G153" s="1726">
        <v>46487277.550000004</v>
      </c>
      <c r="H153" s="1726">
        <v>25380300.873949323</v>
      </c>
      <c r="I153" s="1726">
        <v>21106976.676050682</v>
      </c>
      <c r="J153" s="1726">
        <v>6762.09</v>
      </c>
      <c r="K153" s="719">
        <v>46284431.460000001</v>
      </c>
      <c r="L153" s="719">
        <v>25373538.783949323</v>
      </c>
      <c r="M153" s="719">
        <v>20910892.676050678</v>
      </c>
      <c r="N153" s="719">
        <v>1183063.8018150099</v>
      </c>
      <c r="O153" s="1642"/>
      <c r="W153" s="1650"/>
      <c r="X153" s="1643"/>
    </row>
    <row r="154" spans="1:24" s="284" customFormat="1" ht="15.75" customHeight="1" outlineLevel="1">
      <c r="A154" s="1289" t="str">
        <f t="shared" si="11"/>
        <v>POUCH TERMINAL  (Richmond)345Accessory Electric Equipment</v>
      </c>
      <c r="B154" s="1410" t="s">
        <v>1413</v>
      </c>
      <c r="C154" s="1642" t="s">
        <v>451</v>
      </c>
      <c r="D154" s="1643" t="s">
        <v>166</v>
      </c>
      <c r="E154" s="1642">
        <v>345</v>
      </c>
      <c r="F154" s="1642" t="s">
        <v>1941</v>
      </c>
      <c r="G154" s="1726">
        <v>1908050</v>
      </c>
      <c r="H154" s="1726">
        <v>1133668.660638019</v>
      </c>
      <c r="I154" s="1726">
        <v>774381.33936198102</v>
      </c>
      <c r="J154" s="1726">
        <v>0</v>
      </c>
      <c r="K154" s="719">
        <v>1908050</v>
      </c>
      <c r="L154" s="719">
        <v>1133668.660638019</v>
      </c>
      <c r="M154" s="719">
        <v>774381.33936198102</v>
      </c>
      <c r="N154" s="719">
        <v>0</v>
      </c>
      <c r="O154" s="1642"/>
      <c r="W154" s="1650"/>
      <c r="X154" s="1643"/>
    </row>
    <row r="155" spans="1:24" s="284" customFormat="1" ht="15.75" customHeight="1" outlineLevel="1">
      <c r="A155" s="1289" t="str">
        <f t="shared" si="11"/>
        <v>POUCH TERMINAL  (Richmond)346Misc Power Plant Equipment</v>
      </c>
      <c r="B155" s="1410" t="s">
        <v>1414</v>
      </c>
      <c r="C155" s="1642" t="s">
        <v>451</v>
      </c>
      <c r="D155" s="1643" t="s">
        <v>166</v>
      </c>
      <c r="E155" s="1642">
        <v>346</v>
      </c>
      <c r="F155" s="1642" t="s">
        <v>1942</v>
      </c>
      <c r="G155" s="1726">
        <v>0</v>
      </c>
      <c r="H155" s="1726">
        <v>0</v>
      </c>
      <c r="I155" s="1726">
        <v>0</v>
      </c>
      <c r="J155" s="1726">
        <v>0</v>
      </c>
      <c r="K155" s="719">
        <v>0</v>
      </c>
      <c r="L155" s="719">
        <v>0</v>
      </c>
      <c r="M155" s="719">
        <v>0</v>
      </c>
      <c r="N155" s="719">
        <v>0</v>
      </c>
      <c r="O155" s="1642"/>
      <c r="W155" s="1650"/>
      <c r="X155" s="1643"/>
    </row>
    <row r="156" spans="1:24" s="284" customFormat="1" ht="15.75" customHeight="1" outlineLevel="1">
      <c r="A156" s="1289" t="str">
        <f t="shared" si="11"/>
        <v>VERNON BOULEVARD  (Queens)341Structures &amp; Improvements</v>
      </c>
      <c r="B156" s="1410" t="s">
        <v>1415</v>
      </c>
      <c r="C156" s="1642" t="s">
        <v>451</v>
      </c>
      <c r="D156" s="1643" t="s">
        <v>167</v>
      </c>
      <c r="E156" s="1642">
        <v>341</v>
      </c>
      <c r="F156" s="1642" t="s">
        <v>69</v>
      </c>
      <c r="G156" s="1726">
        <v>2767660.77</v>
      </c>
      <c r="H156" s="1726">
        <v>866060.69000000006</v>
      </c>
      <c r="I156" s="1726">
        <v>1901600.08</v>
      </c>
      <c r="J156" s="1726">
        <v>4079.77</v>
      </c>
      <c r="K156" s="719">
        <v>2050481</v>
      </c>
      <c r="L156" s="719">
        <v>861980.92</v>
      </c>
      <c r="M156" s="719">
        <v>1188500.08</v>
      </c>
      <c r="N156" s="719">
        <v>0</v>
      </c>
      <c r="O156" s="1642"/>
      <c r="W156" s="1650"/>
      <c r="X156" s="1643"/>
    </row>
    <row r="157" spans="1:24" s="284" customFormat="1" ht="15.75" customHeight="1" outlineLevel="1">
      <c r="A157" s="1289" t="str">
        <f t="shared" si="11"/>
        <v>VERNON BOULEVARD  (Queens)342FuelHolders, Producers, Accessory</v>
      </c>
      <c r="B157" s="1410" t="s">
        <v>1416</v>
      </c>
      <c r="C157" s="1642" t="s">
        <v>451</v>
      </c>
      <c r="D157" s="1643" t="s">
        <v>167</v>
      </c>
      <c r="E157" s="1642">
        <v>342</v>
      </c>
      <c r="F157" s="1642" t="s">
        <v>1947</v>
      </c>
      <c r="G157" s="1726">
        <v>5968898</v>
      </c>
      <c r="H157" s="1726">
        <v>2340435</v>
      </c>
      <c r="I157" s="1726">
        <v>3628463</v>
      </c>
      <c r="J157" s="1726">
        <v>0</v>
      </c>
      <c r="K157" s="719">
        <v>5968898</v>
      </c>
      <c r="L157" s="719">
        <v>2340435</v>
      </c>
      <c r="M157" s="719">
        <v>3628463</v>
      </c>
      <c r="N157" s="719">
        <v>0</v>
      </c>
      <c r="O157" s="1642"/>
      <c r="W157" s="1650"/>
      <c r="X157" s="1643"/>
    </row>
    <row r="158" spans="1:24" s="284" customFormat="1" ht="15.75" customHeight="1" outlineLevel="1">
      <c r="A158" s="1289" t="str">
        <f t="shared" si="11"/>
        <v>VERNON BOULEVARD  (Queens)344Generators</v>
      </c>
      <c r="B158" s="1410" t="s">
        <v>1417</v>
      </c>
      <c r="C158" s="1642" t="s">
        <v>451</v>
      </c>
      <c r="D158" s="1643" t="s">
        <v>167</v>
      </c>
      <c r="E158" s="1642">
        <v>344</v>
      </c>
      <c r="F158" s="1642" t="s">
        <v>1948</v>
      </c>
      <c r="G158" s="1726">
        <v>79624201.120000005</v>
      </c>
      <c r="H158" s="1726">
        <v>33562975.780000001</v>
      </c>
      <c r="I158" s="1726">
        <v>46061225.340000004</v>
      </c>
      <c r="J158" s="1726">
        <v>0</v>
      </c>
      <c r="K158" s="719">
        <v>79624201.120000005</v>
      </c>
      <c r="L158" s="719">
        <v>33562975.780000001</v>
      </c>
      <c r="M158" s="719">
        <v>46061225.340000004</v>
      </c>
      <c r="N158" s="719">
        <v>0</v>
      </c>
      <c r="O158" s="1642"/>
      <c r="W158" s="1650"/>
      <c r="X158" s="1643"/>
    </row>
    <row r="159" spans="1:24" s="284" customFormat="1" ht="15.75" customHeight="1" outlineLevel="1">
      <c r="A159" s="1289" t="str">
        <f t="shared" si="11"/>
        <v>VERNON BOULEVARD  (Queens)345Accessory Electric Equipment</v>
      </c>
      <c r="B159" s="1410" t="s">
        <v>1418</v>
      </c>
      <c r="C159" s="1642" t="s">
        <v>451</v>
      </c>
      <c r="D159" s="1643" t="s">
        <v>167</v>
      </c>
      <c r="E159" s="1642">
        <v>345</v>
      </c>
      <c r="F159" s="1642" t="s">
        <v>1941</v>
      </c>
      <c r="G159" s="1726">
        <v>3560059</v>
      </c>
      <c r="H159" s="1726">
        <v>1508537</v>
      </c>
      <c r="I159" s="1726">
        <v>2051522</v>
      </c>
      <c r="J159" s="1726">
        <v>0</v>
      </c>
      <c r="K159" s="719">
        <v>3560059</v>
      </c>
      <c r="L159" s="719">
        <v>1508537</v>
      </c>
      <c r="M159" s="719">
        <v>2051522</v>
      </c>
      <c r="N159" s="719">
        <v>0</v>
      </c>
      <c r="O159" s="1642"/>
      <c r="W159" s="1650"/>
      <c r="X159" s="1643"/>
    </row>
    <row r="160" spans="1:24" s="284" customFormat="1" ht="15.75" customHeight="1" outlineLevel="1">
      <c r="A160" s="1289" t="str">
        <f t="shared" si="11"/>
        <v>VERNON BOULEVARD  (Queens)346Misc Power Plant Equipment</v>
      </c>
      <c r="B160" s="1410" t="s">
        <v>1419</v>
      </c>
      <c r="C160" s="1642" t="s">
        <v>451</v>
      </c>
      <c r="D160" s="1643" t="s">
        <v>167</v>
      </c>
      <c r="E160" s="1642">
        <v>346</v>
      </c>
      <c r="F160" s="1642" t="s">
        <v>1942</v>
      </c>
      <c r="G160" s="1726">
        <v>14816000</v>
      </c>
      <c r="H160" s="1726">
        <v>977708.3</v>
      </c>
      <c r="I160" s="1726">
        <v>13838291.699999999</v>
      </c>
      <c r="J160" s="1726">
        <v>-1197</v>
      </c>
      <c r="K160" s="719">
        <v>14816000</v>
      </c>
      <c r="L160" s="719">
        <v>978905.3</v>
      </c>
      <c r="M160" s="719">
        <v>13837094.699999999</v>
      </c>
      <c r="N160" s="719">
        <v>-1094.7</v>
      </c>
      <c r="O160" s="1642"/>
      <c r="W160" s="1650"/>
      <c r="X160" s="1643"/>
    </row>
    <row r="161" spans="1:25" s="284" customFormat="1" ht="15.75" customHeight="1" outlineLevel="1">
      <c r="A161" s="1289" t="str">
        <f t="shared" si="11"/>
        <v>Astoria 2 (AE-II) SubstationCapital Lease Asset (Manual)</v>
      </c>
      <c r="B161" s="1410" t="s">
        <v>1420</v>
      </c>
      <c r="C161" s="1642" t="s">
        <v>451</v>
      </c>
      <c r="D161" s="1643" t="s">
        <v>448</v>
      </c>
      <c r="E161" s="1642"/>
      <c r="F161" s="1645" t="s">
        <v>1949</v>
      </c>
      <c r="G161" s="1726">
        <v>1155449919</v>
      </c>
      <c r="H161" s="1726">
        <v>433294694</v>
      </c>
      <c r="I161" s="1726">
        <v>722155225</v>
      </c>
      <c r="J161" s="1726">
        <v>57772692</v>
      </c>
      <c r="K161" s="719">
        <v>1155449919</v>
      </c>
      <c r="L161" s="719">
        <v>375522002</v>
      </c>
      <c r="M161" s="719">
        <v>779927917</v>
      </c>
      <c r="N161" s="719">
        <v>57772692</v>
      </c>
      <c r="W161" s="1650"/>
      <c r="X161" s="1643"/>
    </row>
    <row r="162" spans="1:25" s="284" customFormat="1" ht="15.75" customHeight="1" outlineLevel="1">
      <c r="A162" s="1289" t="str">
        <f t="shared" si="11"/>
        <v>AdjustmentsImpairment (Prod)</v>
      </c>
      <c r="B162" s="1410" t="s">
        <v>1421</v>
      </c>
      <c r="C162" s="1642" t="s">
        <v>451</v>
      </c>
      <c r="D162" s="658" t="s">
        <v>183</v>
      </c>
      <c r="E162" s="1644"/>
      <c r="F162" s="659" t="s">
        <v>1950</v>
      </c>
      <c r="G162" s="1726">
        <v>-173816000</v>
      </c>
      <c r="H162" s="1726"/>
      <c r="I162" s="1726">
        <v>-173816000</v>
      </c>
      <c r="J162" s="1726"/>
      <c r="K162" s="719">
        <v>-173816000</v>
      </c>
      <c r="L162" s="719"/>
      <c r="M162" s="719">
        <v>-173816000</v>
      </c>
      <c r="N162" s="719"/>
      <c r="W162" s="1650"/>
    </row>
    <row r="163" spans="1:25" s="284" customFormat="1" ht="15.75" customHeight="1" outlineLevel="1">
      <c r="A163" s="1289" t="str">
        <f t="shared" ref="A163:A164" si="12">CONCATENATE(D163,E163,F163)</f>
        <v/>
      </c>
      <c r="B163" s="1410" t="s">
        <v>541</v>
      </c>
      <c r="C163" s="656"/>
      <c r="D163" s="656"/>
      <c r="E163" s="719"/>
      <c r="F163" s="656"/>
      <c r="G163" s="1726"/>
      <c r="H163" s="1726"/>
      <c r="I163" s="1726"/>
      <c r="J163" s="1726"/>
      <c r="K163" s="719"/>
      <c r="L163" s="719"/>
      <c r="M163" s="719"/>
      <c r="N163" s="719"/>
      <c r="W163" s="1650"/>
    </row>
    <row r="164" spans="1:25" s="284" customFormat="1" ht="15.75" customHeight="1" outlineLevel="1" thickBot="1">
      <c r="A164" s="1289" t="str">
        <f t="shared" si="12"/>
        <v/>
      </c>
      <c r="B164" s="1410" t="s">
        <v>541</v>
      </c>
      <c r="C164" s="656"/>
      <c r="D164" s="656"/>
      <c r="E164" s="719"/>
      <c r="F164" s="656"/>
      <c r="G164" s="1726"/>
      <c r="H164" s="1726"/>
      <c r="I164" s="1726"/>
      <c r="J164" s="1726"/>
      <c r="K164" s="719"/>
      <c r="L164" s="719"/>
      <c r="M164" s="719"/>
      <c r="N164" s="719"/>
      <c r="W164" s="1650"/>
    </row>
    <row r="165" spans="1:25" s="261" customFormat="1" ht="34.5" customHeight="1" thickBot="1">
      <c r="A165" s="1289" t="str">
        <f t="shared" ref="A165:A210" si="13">CONCATENATE(D165,E165,F165)</f>
        <v>Production - Gas turbine/combined cycle Total</v>
      </c>
      <c r="B165" s="1366">
        <v>9</v>
      </c>
      <c r="C165" s="386"/>
      <c r="D165" s="386"/>
      <c r="E165" s="386"/>
      <c r="F165" s="660" t="s">
        <v>616</v>
      </c>
      <c r="G165" s="1727">
        <f t="shared" ref="G165:J165" si="14">SUBTOTAL(9,G108:G164)</f>
        <v>2386571772.0999999</v>
      </c>
      <c r="H165" s="1727">
        <f t="shared" si="14"/>
        <v>1260531450.949121</v>
      </c>
      <c r="I165" s="1727">
        <f t="shared" si="14"/>
        <v>1126040321.1508784</v>
      </c>
      <c r="J165" s="1727">
        <f t="shared" si="14"/>
        <v>87516667.069999993</v>
      </c>
      <c r="K165" s="389">
        <f t="shared" ref="K165:N165" si="15">SUBTOTAL(9,K108:K164)</f>
        <v>2378079000.3299999</v>
      </c>
      <c r="L165" s="389">
        <f t="shared" si="15"/>
        <v>1173014783.8791208</v>
      </c>
      <c r="M165" s="389">
        <f t="shared" si="15"/>
        <v>1205064216.4508786</v>
      </c>
      <c r="N165" s="389">
        <f t="shared" si="15"/>
        <v>90470169.450000003</v>
      </c>
      <c r="W165" s="1762"/>
    </row>
    <row r="166" spans="1:25" s="284" customFormat="1" ht="15.75" customHeight="1" outlineLevel="1">
      <c r="A166" s="1289" t="str">
        <f t="shared" si="13"/>
        <v/>
      </c>
      <c r="B166" s="1365"/>
      <c r="C166" s="356"/>
      <c r="D166" s="385"/>
      <c r="E166" s="356"/>
      <c r="F166" s="355"/>
      <c r="G166" s="1728"/>
      <c r="H166" s="1728"/>
      <c r="I166" s="1728"/>
      <c r="J166" s="1728"/>
      <c r="K166" s="361"/>
      <c r="L166" s="361"/>
      <c r="M166" s="361"/>
      <c r="N166" s="361"/>
      <c r="W166" s="1650"/>
    </row>
    <row r="167" spans="1:25" s="284" customFormat="1" ht="15.75" customHeight="1" outlineLevel="1">
      <c r="A167" s="1289" t="str">
        <f t="shared" si="13"/>
        <v/>
      </c>
      <c r="B167" s="1365"/>
      <c r="C167" s="356"/>
      <c r="D167" s="385"/>
      <c r="E167" s="356"/>
      <c r="F167" s="355"/>
      <c r="G167" s="1728"/>
      <c r="H167" s="1728"/>
      <c r="I167" s="1728"/>
      <c r="J167" s="1728"/>
      <c r="K167" s="361"/>
      <c r="L167" s="361"/>
      <c r="M167" s="361"/>
      <c r="N167" s="361"/>
      <c r="W167" s="1650"/>
    </row>
    <row r="168" spans="1:25" s="263" customFormat="1" ht="16.5" customHeight="1" outlineLevel="1" thickBot="1">
      <c r="A168" s="1289" t="str">
        <f t="shared" si="13"/>
        <v>Transmission</v>
      </c>
      <c r="B168" s="1367">
        <v>10</v>
      </c>
      <c r="C168" s="358"/>
      <c r="D168" s="383"/>
      <c r="E168" s="358"/>
      <c r="F168" s="384" t="s">
        <v>34</v>
      </c>
      <c r="G168" s="1729"/>
      <c r="H168" s="1729"/>
      <c r="I168" s="1729"/>
      <c r="J168" s="1729"/>
      <c r="K168" s="360"/>
      <c r="L168" s="360"/>
      <c r="M168" s="360"/>
      <c r="N168" s="360"/>
      <c r="W168" s="1763"/>
    </row>
    <row r="169" spans="1:25" s="284" customFormat="1" ht="15.75" customHeight="1" outlineLevel="1">
      <c r="A169" s="1289" t="str">
        <f t="shared" si="13"/>
        <v>BLENHEIM - GILBOA352Structures &amp; Improvements</v>
      </c>
      <c r="B169" s="1410" t="s">
        <v>1218</v>
      </c>
      <c r="C169" s="1642" t="s">
        <v>34</v>
      </c>
      <c r="D169" s="1643" t="s">
        <v>1929</v>
      </c>
      <c r="E169" s="1642">
        <v>352</v>
      </c>
      <c r="F169" s="1642" t="s">
        <v>69</v>
      </c>
      <c r="G169" s="1726">
        <v>4693795.67</v>
      </c>
      <c r="H169" s="1726">
        <v>3466134.6454188144</v>
      </c>
      <c r="I169" s="1726">
        <v>1227661.0245811855</v>
      </c>
      <c r="J169" s="1726">
        <v>62563.770335051537</v>
      </c>
      <c r="K169" s="719">
        <v>4355251.6399999997</v>
      </c>
      <c r="L169" s="719">
        <v>3403570.8750837627</v>
      </c>
      <c r="M169" s="719">
        <v>951680.76491623698</v>
      </c>
      <c r="N169" s="719">
        <v>64952.87508376289</v>
      </c>
      <c r="W169" s="1650"/>
      <c r="X169" s="1643"/>
      <c r="Y169" s="1642"/>
    </row>
    <row r="170" spans="1:25" s="284" customFormat="1" ht="15.75" customHeight="1" outlineLevel="1">
      <c r="A170" s="1289" t="str">
        <f t="shared" si="13"/>
        <v>BLENHEIM - GILBOA353Station Equipment</v>
      </c>
      <c r="B170" s="1410" t="s">
        <v>1219</v>
      </c>
      <c r="C170" s="1642" t="s">
        <v>34</v>
      </c>
      <c r="D170" s="1643" t="s">
        <v>1929</v>
      </c>
      <c r="E170" s="1642">
        <v>353</v>
      </c>
      <c r="F170" s="1642" t="s">
        <v>20</v>
      </c>
      <c r="G170" s="1726">
        <v>54391679.989999995</v>
      </c>
      <c r="H170" s="1726">
        <v>15937178.989909794</v>
      </c>
      <c r="I170" s="1726">
        <v>38454501.000090197</v>
      </c>
      <c r="J170" s="1726">
        <v>876156.81592783506</v>
      </c>
      <c r="K170" s="719">
        <v>54114747.829999998</v>
      </c>
      <c r="L170" s="719">
        <v>15061022.173981959</v>
      </c>
      <c r="M170" s="719">
        <v>39053725.656018041</v>
      </c>
      <c r="N170" s="719">
        <v>999024.8339819588</v>
      </c>
      <c r="W170" s="1765"/>
      <c r="X170" s="1643"/>
      <c r="Y170" s="1642"/>
    </row>
    <row r="171" spans="1:25" s="284" customFormat="1" ht="15.75" customHeight="1" outlineLevel="1">
      <c r="A171" s="1289" t="str">
        <f t="shared" si="13"/>
        <v>BLENHEIM - GILBOA354Towers &amp; Fixtures</v>
      </c>
      <c r="B171" s="1410" t="s">
        <v>1220</v>
      </c>
      <c r="C171" s="1642" t="s">
        <v>34</v>
      </c>
      <c r="D171" s="1643" t="s">
        <v>1929</v>
      </c>
      <c r="E171" s="1642">
        <v>354</v>
      </c>
      <c r="F171" s="1642" t="s">
        <v>70</v>
      </c>
      <c r="G171" s="1726">
        <v>22612274</v>
      </c>
      <c r="H171" s="1726">
        <v>21003082.542944588</v>
      </c>
      <c r="I171" s="1726">
        <v>1609191.4570554122</v>
      </c>
      <c r="J171" s="1726">
        <v>450343.87435567018</v>
      </c>
      <c r="K171" s="719">
        <v>22612274</v>
      </c>
      <c r="L171" s="719">
        <v>20552738.668588918</v>
      </c>
      <c r="M171" s="719">
        <v>2059535.3314110823</v>
      </c>
      <c r="N171" s="719">
        <v>457060.66858891759</v>
      </c>
      <c r="W171" s="1765"/>
      <c r="X171" s="1643"/>
      <c r="Y171" s="1642"/>
    </row>
    <row r="172" spans="1:25" s="284" customFormat="1" ht="15.75" customHeight="1" outlineLevel="1">
      <c r="A172" s="1289" t="str">
        <f t="shared" si="13"/>
        <v>BLENHEIM - GILBOA355Poles &amp; Fixtures</v>
      </c>
      <c r="B172" s="1410" t="s">
        <v>1221</v>
      </c>
      <c r="C172" s="1642" t="s">
        <v>34</v>
      </c>
      <c r="D172" s="1643" t="s">
        <v>1929</v>
      </c>
      <c r="E172" s="1642">
        <v>355</v>
      </c>
      <c r="F172" s="1642" t="s">
        <v>71</v>
      </c>
      <c r="G172" s="1726">
        <v>1953118</v>
      </c>
      <c r="H172" s="1726">
        <v>2080435.8403994844</v>
      </c>
      <c r="I172" s="1726">
        <v>-127317.84039948438</v>
      </c>
      <c r="J172" s="1726">
        <v>37450.952319587625</v>
      </c>
      <c r="K172" s="719">
        <v>1953118</v>
      </c>
      <c r="L172" s="719">
        <v>2042984.8880798968</v>
      </c>
      <c r="M172" s="719">
        <v>-89866.888079896802</v>
      </c>
      <c r="N172" s="719">
        <v>39686.888079896904</v>
      </c>
      <c r="W172" s="1765"/>
      <c r="X172" s="1643"/>
      <c r="Y172" s="1642"/>
    </row>
    <row r="173" spans="1:25" s="284" customFormat="1" ht="15.75" customHeight="1" outlineLevel="1">
      <c r="A173" s="1289" t="str">
        <f t="shared" si="13"/>
        <v>BLENHEIM - GILBOA356Overhead Conductors &amp; Devices</v>
      </c>
      <c r="B173" s="1410" t="s">
        <v>1222</v>
      </c>
      <c r="C173" s="1642" t="s">
        <v>34</v>
      </c>
      <c r="D173" s="1643" t="s">
        <v>1929</v>
      </c>
      <c r="E173" s="1642">
        <v>356</v>
      </c>
      <c r="F173" s="1642" t="s">
        <v>72</v>
      </c>
      <c r="G173" s="1726">
        <v>9403929</v>
      </c>
      <c r="H173" s="1726">
        <v>8695527.497068299</v>
      </c>
      <c r="I173" s="1726">
        <v>708401.50293170102</v>
      </c>
      <c r="J173" s="1726">
        <v>104604.31765463919</v>
      </c>
      <c r="K173" s="719">
        <v>9403929</v>
      </c>
      <c r="L173" s="719">
        <v>8590923.1794136595</v>
      </c>
      <c r="M173" s="719">
        <v>813005.8205863405</v>
      </c>
      <c r="N173" s="719">
        <v>121259.67941365979</v>
      </c>
      <c r="W173" s="1765"/>
      <c r="X173" s="1643"/>
      <c r="Y173" s="1642"/>
    </row>
    <row r="174" spans="1:25" s="284" customFormat="1" ht="15.75" customHeight="1" outlineLevel="1">
      <c r="A174" s="1289" t="str">
        <f t="shared" si="13"/>
        <v>BLENHEIM - GILBOA359Roads &amp; Trails</v>
      </c>
      <c r="B174" s="1410" t="s">
        <v>1223</v>
      </c>
      <c r="C174" s="1642" t="s">
        <v>34</v>
      </c>
      <c r="D174" s="1643" t="s">
        <v>1929</v>
      </c>
      <c r="E174" s="1642">
        <v>359</v>
      </c>
      <c r="F174" s="1642" t="s">
        <v>75</v>
      </c>
      <c r="G174" s="1726">
        <v>670808</v>
      </c>
      <c r="H174" s="1726">
        <v>412952.32425902062</v>
      </c>
      <c r="I174" s="1726">
        <v>257855.67574097938</v>
      </c>
      <c r="J174" s="1726">
        <v>7666.4594072164946</v>
      </c>
      <c r="K174" s="719">
        <v>670808</v>
      </c>
      <c r="L174" s="719">
        <v>405285.8648518041</v>
      </c>
      <c r="M174" s="719">
        <v>265522.1351481959</v>
      </c>
      <c r="N174" s="719">
        <v>7756.8648518041227</v>
      </c>
      <c r="W174" s="1765"/>
      <c r="X174" s="1643"/>
      <c r="Y174" s="1642"/>
    </row>
    <row r="175" spans="1:25" s="284" customFormat="1" ht="15.75" customHeight="1" outlineLevel="1">
      <c r="A175" s="1289" t="str">
        <f t="shared" si="13"/>
        <v>J. A. FITZPATRICK352Structures &amp; Improvements</v>
      </c>
      <c r="B175" s="1410" t="s">
        <v>1224</v>
      </c>
      <c r="C175" s="1642" t="s">
        <v>34</v>
      </c>
      <c r="D175" s="1643" t="s">
        <v>1931</v>
      </c>
      <c r="E175" s="1642">
        <v>352</v>
      </c>
      <c r="F175" s="1642" t="s">
        <v>69</v>
      </c>
      <c r="G175" s="1726">
        <v>0</v>
      </c>
      <c r="H175" s="1726">
        <v>0</v>
      </c>
      <c r="I175" s="1726">
        <v>0</v>
      </c>
      <c r="J175" s="1726">
        <v>0</v>
      </c>
      <c r="K175" s="719">
        <v>0</v>
      </c>
      <c r="L175" s="719">
        <v>77356</v>
      </c>
      <c r="M175" s="719">
        <v>-77356</v>
      </c>
      <c r="N175" s="719">
        <v>77356</v>
      </c>
      <c r="W175" s="1765"/>
      <c r="X175" s="1643"/>
      <c r="Y175" s="1642"/>
    </row>
    <row r="176" spans="1:25" s="284" customFormat="1" ht="15.75" customHeight="1" outlineLevel="1">
      <c r="A176" s="1289" t="str">
        <f t="shared" si="13"/>
        <v>J. A. FITZPATRICK353Station Equipment</v>
      </c>
      <c r="B176" s="1410" t="s">
        <v>1422</v>
      </c>
      <c r="C176" s="1642" t="s">
        <v>34</v>
      </c>
      <c r="D176" s="1643" t="s">
        <v>1931</v>
      </c>
      <c r="E176" s="1642">
        <v>353</v>
      </c>
      <c r="F176" s="1642" t="s">
        <v>20</v>
      </c>
      <c r="G176" s="1726">
        <v>0</v>
      </c>
      <c r="H176" s="1726">
        <v>0</v>
      </c>
      <c r="I176" s="1726">
        <v>0</v>
      </c>
      <c r="J176" s="1726">
        <v>0</v>
      </c>
      <c r="K176" s="719">
        <v>0</v>
      </c>
      <c r="L176" s="719">
        <v>0</v>
      </c>
      <c r="M176" s="719">
        <v>0</v>
      </c>
      <c r="N176" s="719">
        <v>0</v>
      </c>
      <c r="W176" s="1765"/>
      <c r="X176" s="1643"/>
      <c r="Y176" s="1642"/>
    </row>
    <row r="177" spans="1:25" s="284" customFormat="1" ht="15.75" customHeight="1" outlineLevel="1">
      <c r="A177" s="1289" t="str">
        <f t="shared" si="13"/>
        <v>J. A. FITZPATRICK354Towers &amp; Fixtures</v>
      </c>
      <c r="B177" s="1410" t="s">
        <v>1423</v>
      </c>
      <c r="C177" s="1642" t="s">
        <v>34</v>
      </c>
      <c r="D177" s="1643" t="s">
        <v>1931</v>
      </c>
      <c r="E177" s="1642">
        <v>354</v>
      </c>
      <c r="F177" s="1642" t="s">
        <v>70</v>
      </c>
      <c r="G177" s="1726">
        <v>10051183</v>
      </c>
      <c r="H177" s="1726">
        <v>12574051.393981736</v>
      </c>
      <c r="I177" s="1726">
        <v>-2522868.3939817362</v>
      </c>
      <c r="J177" s="1726">
        <v>105030.19367803604</v>
      </c>
      <c r="K177" s="719">
        <v>10051183</v>
      </c>
      <c r="L177" s="719">
        <v>12391665.200303741</v>
      </c>
      <c r="M177" s="719">
        <v>-2340482.2003037408</v>
      </c>
      <c r="N177" s="719">
        <v>16097.200303740799</v>
      </c>
      <c r="W177" s="1765"/>
      <c r="X177" s="1643"/>
      <c r="Y177" s="1642"/>
    </row>
    <row r="178" spans="1:25" s="284" customFormat="1" ht="15.75" customHeight="1" outlineLevel="1">
      <c r="A178" s="1289" t="str">
        <f t="shared" si="13"/>
        <v>J. A. FITZPATRICK356Overhead Conductors &amp; Devices</v>
      </c>
      <c r="B178" s="1410" t="s">
        <v>1424</v>
      </c>
      <c r="C178" s="1642" t="s">
        <v>34</v>
      </c>
      <c r="D178" s="1643" t="s">
        <v>1931</v>
      </c>
      <c r="E178" s="1642">
        <v>356</v>
      </c>
      <c r="F178" s="1642" t="s">
        <v>72</v>
      </c>
      <c r="G178" s="1726">
        <v>5926677</v>
      </c>
      <c r="H178" s="1726">
        <v>6667112.0081137801</v>
      </c>
      <c r="I178" s="1726">
        <v>-740435.00811378006</v>
      </c>
      <c r="J178" s="1726">
        <v>35957.815834393718</v>
      </c>
      <c r="K178" s="719">
        <v>5926677</v>
      </c>
      <c r="L178" s="719">
        <v>6631154.1922793863</v>
      </c>
      <c r="M178" s="719">
        <v>-704477.19227938633</v>
      </c>
      <c r="N178" s="719">
        <v>3718.1922793864578</v>
      </c>
      <c r="W178" s="1765"/>
      <c r="X178" s="1643"/>
      <c r="Y178" s="1642"/>
    </row>
    <row r="179" spans="1:25" s="284" customFormat="1" ht="15.75" customHeight="1" outlineLevel="1">
      <c r="A179" s="1289" t="str">
        <f t="shared" si="13"/>
        <v>J. A. FITZPATRICK359Roads &amp; Trails</v>
      </c>
      <c r="B179" s="1410" t="s">
        <v>1425</v>
      </c>
      <c r="C179" s="1642" t="s">
        <v>34</v>
      </c>
      <c r="D179" s="1643" t="s">
        <v>1931</v>
      </c>
      <c r="E179" s="1642">
        <v>359</v>
      </c>
      <c r="F179" s="1642" t="s">
        <v>75</v>
      </c>
      <c r="G179" s="1726">
        <v>80335</v>
      </c>
      <c r="H179" s="1726">
        <v>75088.397904442973</v>
      </c>
      <c r="I179" s="1726">
        <v>5246.6020955570275</v>
      </c>
      <c r="J179" s="1726">
        <v>995.89048757021817</v>
      </c>
      <c r="K179" s="719">
        <v>80335</v>
      </c>
      <c r="L179" s="719">
        <v>74092.507416872759</v>
      </c>
      <c r="M179" s="719">
        <v>6242.4925831272412</v>
      </c>
      <c r="N179" s="719">
        <v>173.50741687275479</v>
      </c>
      <c r="W179" s="1765"/>
      <c r="X179" s="1643"/>
      <c r="Y179" s="1642"/>
    </row>
    <row r="180" spans="1:25" s="284" customFormat="1" ht="15.75" customHeight="1" outlineLevel="1">
      <c r="A180" s="1289" t="str">
        <f t="shared" si="13"/>
        <v>LONG ISLAND SOUND CABLE352Structures &amp; Improvements</v>
      </c>
      <c r="B180" s="1410" t="s">
        <v>1426</v>
      </c>
      <c r="C180" s="1642" t="s">
        <v>34</v>
      </c>
      <c r="D180" s="1643" t="s">
        <v>1932</v>
      </c>
      <c r="E180" s="1642">
        <v>352</v>
      </c>
      <c r="F180" s="1642" t="s">
        <v>69</v>
      </c>
      <c r="G180" s="1726">
        <v>6243128</v>
      </c>
      <c r="H180" s="1726">
        <v>5351592</v>
      </c>
      <c r="I180" s="1726">
        <v>891536</v>
      </c>
      <c r="J180" s="1726">
        <v>208106</v>
      </c>
      <c r="K180" s="719">
        <v>6243128</v>
      </c>
      <c r="L180" s="719">
        <v>5143486</v>
      </c>
      <c r="M180" s="719">
        <v>1099642</v>
      </c>
      <c r="N180" s="719">
        <v>208106</v>
      </c>
      <c r="W180" s="1765"/>
      <c r="X180" s="1643"/>
      <c r="Y180" s="1642"/>
    </row>
    <row r="181" spans="1:25" s="284" customFormat="1" ht="15.75" customHeight="1" outlineLevel="1">
      <c r="A181" s="1289" t="str">
        <f t="shared" si="13"/>
        <v>LONG ISLAND SOUND CABLE353Station Equipment</v>
      </c>
      <c r="B181" s="1410" t="s">
        <v>1427</v>
      </c>
      <c r="C181" s="1642" t="s">
        <v>34</v>
      </c>
      <c r="D181" s="1643" t="s">
        <v>1932</v>
      </c>
      <c r="E181" s="1642">
        <v>353</v>
      </c>
      <c r="F181" s="1642" t="s">
        <v>20</v>
      </c>
      <c r="G181" s="1726">
        <v>58875694</v>
      </c>
      <c r="H181" s="1726">
        <v>53751796</v>
      </c>
      <c r="I181" s="1726">
        <v>5123898</v>
      </c>
      <c r="J181" s="1726">
        <v>1962524</v>
      </c>
      <c r="K181" s="719">
        <v>58875694</v>
      </c>
      <c r="L181" s="719">
        <v>51789272</v>
      </c>
      <c r="M181" s="719">
        <v>7086422</v>
      </c>
      <c r="N181" s="719">
        <v>1962524</v>
      </c>
      <c r="W181" s="1765"/>
      <c r="X181" s="1643"/>
      <c r="Y181" s="1642"/>
    </row>
    <row r="182" spans="1:25" s="284" customFormat="1" ht="15.75" customHeight="1" outlineLevel="1">
      <c r="A182" s="1289" t="str">
        <f t="shared" si="13"/>
        <v>LONG ISLAND SOUND CABLE357Underground Conduit</v>
      </c>
      <c r="B182" s="1410" t="s">
        <v>1428</v>
      </c>
      <c r="C182" s="1642" t="s">
        <v>34</v>
      </c>
      <c r="D182" s="1643" t="s">
        <v>1932</v>
      </c>
      <c r="E182" s="1642">
        <v>357</v>
      </c>
      <c r="F182" s="1642" t="s">
        <v>73</v>
      </c>
      <c r="G182" s="1726">
        <v>60722320</v>
      </c>
      <c r="H182" s="1726">
        <v>55935813</v>
      </c>
      <c r="I182" s="1726">
        <v>4786507</v>
      </c>
      <c r="J182" s="1726">
        <v>2024078</v>
      </c>
      <c r="K182" s="719">
        <v>60722320</v>
      </c>
      <c r="L182" s="719">
        <v>53911735</v>
      </c>
      <c r="M182" s="719">
        <v>6810585</v>
      </c>
      <c r="N182" s="719">
        <v>2024078</v>
      </c>
      <c r="W182" s="1765"/>
      <c r="X182" s="1643"/>
      <c r="Y182" s="1642"/>
    </row>
    <row r="183" spans="1:25" s="284" customFormat="1" ht="15.75" customHeight="1" outlineLevel="1">
      <c r="A183" s="1289" t="str">
        <f t="shared" si="13"/>
        <v>LONG ISLAND SOUND CABLE358Underground Conductors &amp; Devices</v>
      </c>
      <c r="B183" s="1410" t="s">
        <v>1429</v>
      </c>
      <c r="C183" s="1642" t="s">
        <v>34</v>
      </c>
      <c r="D183" s="1643" t="s">
        <v>1932</v>
      </c>
      <c r="E183" s="1642">
        <v>358</v>
      </c>
      <c r="F183" s="1642" t="s">
        <v>74</v>
      </c>
      <c r="G183" s="1726">
        <v>162719243</v>
      </c>
      <c r="H183" s="1726">
        <v>149059939</v>
      </c>
      <c r="I183" s="1726">
        <v>13659304</v>
      </c>
      <c r="J183" s="1726">
        <v>5450121</v>
      </c>
      <c r="K183" s="719">
        <v>162719243</v>
      </c>
      <c r="L183" s="719">
        <v>143609818</v>
      </c>
      <c r="M183" s="719">
        <v>19109425</v>
      </c>
      <c r="N183" s="719">
        <v>5450121</v>
      </c>
      <c r="W183" s="1765"/>
      <c r="X183" s="1643"/>
      <c r="Y183" s="1642"/>
    </row>
    <row r="184" spans="1:25" s="284" customFormat="1" ht="15.75" customHeight="1" outlineLevel="1">
      <c r="A184" s="1289" t="str">
        <f t="shared" si="13"/>
        <v>MARCY-SOUTH352Structures &amp; Improvements</v>
      </c>
      <c r="B184" s="1410" t="s">
        <v>1430</v>
      </c>
      <c r="C184" s="1642" t="s">
        <v>34</v>
      </c>
      <c r="D184" s="1643" t="s">
        <v>1933</v>
      </c>
      <c r="E184" s="1642">
        <v>352</v>
      </c>
      <c r="F184" s="1642" t="s">
        <v>69</v>
      </c>
      <c r="G184" s="1726">
        <v>0</v>
      </c>
      <c r="H184" s="1726">
        <v>0</v>
      </c>
      <c r="I184" s="1726">
        <v>0</v>
      </c>
      <c r="J184" s="1726">
        <v>0</v>
      </c>
      <c r="K184" s="719">
        <v>0</v>
      </c>
      <c r="L184" s="719">
        <v>0</v>
      </c>
      <c r="M184" s="719">
        <v>0</v>
      </c>
      <c r="N184" s="719">
        <v>0</v>
      </c>
      <c r="W184" s="1765"/>
      <c r="X184" s="1643"/>
      <c r="Y184" s="1642"/>
    </row>
    <row r="185" spans="1:25" s="284" customFormat="1" ht="15.75" customHeight="1" outlineLevel="1">
      <c r="A185" s="1289" t="str">
        <f t="shared" si="13"/>
        <v>MARCY-SOUTH353Station Equipment</v>
      </c>
      <c r="B185" s="1410" t="s">
        <v>1431</v>
      </c>
      <c r="C185" s="1642" t="s">
        <v>34</v>
      </c>
      <c r="D185" s="1643" t="s">
        <v>1933</v>
      </c>
      <c r="E185" s="1642">
        <v>353</v>
      </c>
      <c r="F185" s="1642" t="s">
        <v>20</v>
      </c>
      <c r="G185" s="1726">
        <v>69725267.349999994</v>
      </c>
      <c r="H185" s="1726">
        <v>16195864.759378593</v>
      </c>
      <c r="I185" s="1726">
        <v>53529402.590621397</v>
      </c>
      <c r="J185" s="1726">
        <v>981567.31139502372</v>
      </c>
      <c r="K185" s="719">
        <v>68604730.030000001</v>
      </c>
      <c r="L185" s="719">
        <v>15214297.44798357</v>
      </c>
      <c r="M185" s="719">
        <v>53390432.582016431</v>
      </c>
      <c r="N185" s="719">
        <v>1050624.4279835713</v>
      </c>
      <c r="W185" s="1765"/>
      <c r="X185" s="1643"/>
      <c r="Y185" s="1642"/>
    </row>
    <row r="186" spans="1:25" s="284" customFormat="1" ht="15.75" customHeight="1" outlineLevel="1">
      <c r="A186" s="1289" t="str">
        <f t="shared" si="13"/>
        <v>MARCY-SOUTH354Towers &amp; Fixtures</v>
      </c>
      <c r="B186" s="1410" t="s">
        <v>1432</v>
      </c>
      <c r="C186" s="1642" t="s">
        <v>34</v>
      </c>
      <c r="D186" s="1643" t="s">
        <v>1933</v>
      </c>
      <c r="E186" s="1642">
        <v>354</v>
      </c>
      <c r="F186" s="1642" t="s">
        <v>70</v>
      </c>
      <c r="G186" s="1726">
        <v>75439776</v>
      </c>
      <c r="H186" s="1726">
        <v>48294667.171594486</v>
      </c>
      <c r="I186" s="1726">
        <v>27145108.828405514</v>
      </c>
      <c r="J186" s="1726">
        <v>1462226.4394299351</v>
      </c>
      <c r="K186" s="719">
        <v>75439776</v>
      </c>
      <c r="L186" s="719">
        <v>46832440.732164554</v>
      </c>
      <c r="M186" s="719">
        <v>28607335.267835446</v>
      </c>
      <c r="N186" s="719">
        <v>1489583.7321645545</v>
      </c>
      <c r="W186" s="1765"/>
      <c r="X186" s="1643"/>
      <c r="Y186" s="1642"/>
    </row>
    <row r="187" spans="1:25" s="284" customFormat="1" ht="15.6" customHeight="1" outlineLevel="1">
      <c r="A187" s="1289" t="str">
        <f t="shared" si="13"/>
        <v>MARCY-SOUTH355Poles &amp; Fixtures</v>
      </c>
      <c r="B187" s="1410" t="s">
        <v>1433</v>
      </c>
      <c r="C187" s="1642" t="s">
        <v>34</v>
      </c>
      <c r="D187" s="1643" t="s">
        <v>1933</v>
      </c>
      <c r="E187" s="1642">
        <v>355</v>
      </c>
      <c r="F187" s="1642" t="s">
        <v>71</v>
      </c>
      <c r="G187" s="1726">
        <v>210096383</v>
      </c>
      <c r="H187" s="1726">
        <v>165056390.6649178</v>
      </c>
      <c r="I187" s="1726">
        <v>45039992.335082203</v>
      </c>
      <c r="J187" s="1726">
        <v>4145861.664917809</v>
      </c>
      <c r="K187" s="719">
        <v>210096383</v>
      </c>
      <c r="L187" s="719">
        <v>161462728.22555974</v>
      </c>
      <c r="M187" s="719">
        <v>48633654.774440259</v>
      </c>
      <c r="N187" s="719">
        <v>4374466.2255597496</v>
      </c>
      <c r="W187" s="1765"/>
      <c r="X187" s="1643"/>
      <c r="Y187" s="1642"/>
    </row>
    <row r="188" spans="1:25" s="284" customFormat="1" ht="15.75" customHeight="1" outlineLevel="1">
      <c r="A188" s="1289" t="str">
        <f t="shared" si="13"/>
        <v>MARCY-SOUTH356Overhead Conductors &amp; Devices</v>
      </c>
      <c r="B188" s="1410" t="s">
        <v>1434</v>
      </c>
      <c r="C188" s="1642" t="s">
        <v>34</v>
      </c>
      <c r="D188" s="1643" t="s">
        <v>1933</v>
      </c>
      <c r="E188" s="1642">
        <v>356</v>
      </c>
      <c r="F188" s="1642" t="s">
        <v>72</v>
      </c>
      <c r="G188" s="1726">
        <v>105799660</v>
      </c>
      <c r="H188" s="1726">
        <v>67540264.354104072</v>
      </c>
      <c r="I188" s="1726">
        <v>38259395.645895928</v>
      </c>
      <c r="J188" s="1726">
        <v>1455220.4485022961</v>
      </c>
      <c r="K188" s="719">
        <v>105799660</v>
      </c>
      <c r="L188" s="719">
        <v>66085043.90560177</v>
      </c>
      <c r="M188" s="719">
        <v>39714616.09439823</v>
      </c>
      <c r="N188" s="719">
        <v>1595393.905601772</v>
      </c>
      <c r="W188" s="1765"/>
      <c r="X188" s="1643"/>
      <c r="Y188" s="1642"/>
    </row>
    <row r="189" spans="1:25" s="284" customFormat="1" ht="15.75" customHeight="1" outlineLevel="1">
      <c r="A189" s="1289" t="str">
        <f t="shared" si="13"/>
        <v>MARCY-SOUTH357Underground Conduit</v>
      </c>
      <c r="B189" s="1410" t="s">
        <v>1435</v>
      </c>
      <c r="C189" s="1642" t="s">
        <v>34</v>
      </c>
      <c r="D189" s="1643" t="s">
        <v>1933</v>
      </c>
      <c r="E189" s="1642">
        <v>357</v>
      </c>
      <c r="F189" s="1642" t="s">
        <v>73</v>
      </c>
      <c r="G189" s="1726">
        <v>43951419</v>
      </c>
      <c r="H189" s="1726">
        <v>21996321.177100044</v>
      </c>
      <c r="I189" s="1726">
        <v>21955097.822899956</v>
      </c>
      <c r="J189" s="1726">
        <v>544255.78932849085</v>
      </c>
      <c r="K189" s="719">
        <v>43951419</v>
      </c>
      <c r="L189" s="719">
        <v>21452065.387771554</v>
      </c>
      <c r="M189" s="719">
        <v>22499353.612228446</v>
      </c>
      <c r="N189" s="719">
        <v>556962.38777155569</v>
      </c>
      <c r="W189" s="1765"/>
      <c r="X189" s="1643"/>
      <c r="Y189" s="1642"/>
    </row>
    <row r="190" spans="1:25" s="284" customFormat="1" ht="15.75" customHeight="1" outlineLevel="1">
      <c r="A190" s="1289" t="str">
        <f t="shared" si="13"/>
        <v>MARCY-SOUTH358Underground Conductors &amp; Devices</v>
      </c>
      <c r="B190" s="1410" t="s">
        <v>1436</v>
      </c>
      <c r="C190" s="1642" t="s">
        <v>34</v>
      </c>
      <c r="D190" s="1643" t="s">
        <v>1933</v>
      </c>
      <c r="E190" s="1642">
        <v>358</v>
      </c>
      <c r="F190" s="1642" t="s">
        <v>74</v>
      </c>
      <c r="G190" s="1726">
        <v>12314493</v>
      </c>
      <c r="H190" s="1726">
        <v>8406371.3873452432</v>
      </c>
      <c r="I190" s="1726">
        <v>3908121.6126547568</v>
      </c>
      <c r="J190" s="1726">
        <v>201783.42642644586</v>
      </c>
      <c r="K190" s="719">
        <v>12314493</v>
      </c>
      <c r="L190" s="719">
        <v>8204587.9609187972</v>
      </c>
      <c r="M190" s="719">
        <v>4109905.0390812028</v>
      </c>
      <c r="N190" s="719">
        <v>215449.96091879712</v>
      </c>
      <c r="W190" s="1765"/>
      <c r="X190" s="1643"/>
      <c r="Y190" s="1642"/>
    </row>
    <row r="191" spans="1:25" s="284" customFormat="1" ht="15.75" customHeight="1" outlineLevel="1">
      <c r="A191" s="1289" t="str">
        <f t="shared" si="13"/>
        <v>MARCY-SOUTH359Roads &amp; Trails</v>
      </c>
      <c r="B191" s="1410" t="s">
        <v>1437</v>
      </c>
      <c r="C191" s="1642" t="s">
        <v>34</v>
      </c>
      <c r="D191" s="1643" t="s">
        <v>1933</v>
      </c>
      <c r="E191" s="1642">
        <v>359</v>
      </c>
      <c r="F191" s="1642" t="s">
        <v>75</v>
      </c>
      <c r="G191" s="1726">
        <v>22421909</v>
      </c>
      <c r="H191" s="1726">
        <v>8290566</v>
      </c>
      <c r="I191" s="1726">
        <v>14131343</v>
      </c>
      <c r="J191" s="1726">
        <v>201147</v>
      </c>
      <c r="K191" s="719">
        <v>22421909</v>
      </c>
      <c r="L191" s="719">
        <v>8089419</v>
      </c>
      <c r="M191" s="719">
        <v>14332490</v>
      </c>
      <c r="N191" s="719">
        <v>205430</v>
      </c>
      <c r="W191" s="1765"/>
      <c r="X191" s="1643"/>
      <c r="Y191" s="1642"/>
    </row>
    <row r="192" spans="1:25" s="284" customFormat="1" ht="15.75" customHeight="1" outlineLevel="1">
      <c r="A192" s="1289" t="str">
        <f t="shared" si="13"/>
        <v>MASSENA - MARCY  (Clark)352Structures &amp; Improvements</v>
      </c>
      <c r="B192" s="1410" t="s">
        <v>1438</v>
      </c>
      <c r="C192" s="1642" t="s">
        <v>34</v>
      </c>
      <c r="D192" s="1643" t="s">
        <v>1934</v>
      </c>
      <c r="E192" s="1642">
        <v>352</v>
      </c>
      <c r="F192" s="1642" t="s">
        <v>69</v>
      </c>
      <c r="G192" s="1726">
        <v>40705098.289999999</v>
      </c>
      <c r="H192" s="1726">
        <v>26893032.800579105</v>
      </c>
      <c r="I192" s="1726">
        <v>13812065.489420895</v>
      </c>
      <c r="J192" s="1726">
        <v>611438.40711263043</v>
      </c>
      <c r="K192" s="719">
        <v>40705098.289999999</v>
      </c>
      <c r="L192" s="719">
        <v>26281594.393466473</v>
      </c>
      <c r="M192" s="719">
        <v>14423503.896533526</v>
      </c>
      <c r="N192" s="719">
        <v>648880.99346647481</v>
      </c>
      <c r="W192" s="1765"/>
      <c r="X192" s="1643"/>
      <c r="Y192" s="1642"/>
    </row>
    <row r="193" spans="1:25" s="284" customFormat="1" ht="15.75" customHeight="1" outlineLevel="1">
      <c r="A193" s="1289" t="str">
        <f t="shared" si="13"/>
        <v>MASSENA - MARCY  (Clark)353Station Equipment</v>
      </c>
      <c r="B193" s="1410" t="s">
        <v>1439</v>
      </c>
      <c r="C193" s="1642" t="s">
        <v>34</v>
      </c>
      <c r="D193" s="1643" t="s">
        <v>1934</v>
      </c>
      <c r="E193" s="1642">
        <v>353</v>
      </c>
      <c r="F193" s="1642" t="s">
        <v>20</v>
      </c>
      <c r="G193" s="1726">
        <v>213883060.77000004</v>
      </c>
      <c r="H193" s="1726">
        <v>130309865.5711844</v>
      </c>
      <c r="I193" s="1726">
        <v>83573195.198815644</v>
      </c>
      <c r="J193" s="1726">
        <v>3344380.8059258726</v>
      </c>
      <c r="K193" s="719">
        <v>213883060.77000004</v>
      </c>
      <c r="L193" s="719">
        <v>126965484.76525852</v>
      </c>
      <c r="M193" s="719">
        <v>86917576.00474152</v>
      </c>
      <c r="N193" s="719">
        <v>3531982.9552584859</v>
      </c>
      <c r="W193" s="1765"/>
      <c r="X193" s="1643"/>
      <c r="Y193" s="1642"/>
    </row>
    <row r="194" spans="1:25" s="284" customFormat="1" ht="15.75" customHeight="1" outlineLevel="1">
      <c r="A194" s="1289" t="str">
        <f t="shared" si="13"/>
        <v>MASSENA - MARCY  (Clark)353Station Equipment - Windfarm Assets acq. 12-1-11</v>
      </c>
      <c r="B194" s="1410" t="s">
        <v>1440</v>
      </c>
      <c r="C194" s="1642" t="s">
        <v>34</v>
      </c>
      <c r="D194" s="1643" t="s">
        <v>1934</v>
      </c>
      <c r="E194" s="1642">
        <v>353</v>
      </c>
      <c r="F194" s="1642" t="s">
        <v>1951</v>
      </c>
      <c r="G194" s="1726">
        <v>79805091</v>
      </c>
      <c r="H194" s="1726">
        <v>10569726</v>
      </c>
      <c r="I194" s="1726">
        <v>69235365</v>
      </c>
      <c r="J194" s="1726">
        <v>1608459</v>
      </c>
      <c r="K194" s="719">
        <v>79805091</v>
      </c>
      <c r="L194" s="719">
        <v>8961267</v>
      </c>
      <c r="M194" s="719">
        <v>70843824</v>
      </c>
      <c r="N194" s="719">
        <v>1608459</v>
      </c>
      <c r="W194" s="1765"/>
      <c r="X194" s="1643"/>
      <c r="Y194" s="1642"/>
    </row>
    <row r="195" spans="1:25" s="284" customFormat="1" ht="15.75" customHeight="1" outlineLevel="1">
      <c r="A195" s="1289" t="str">
        <f t="shared" si="13"/>
        <v>MASSENA - MARCY  (Clark)354Towers &amp; Fixtures</v>
      </c>
      <c r="B195" s="1410" t="s">
        <v>1441</v>
      </c>
      <c r="C195" s="1642" t="s">
        <v>34</v>
      </c>
      <c r="D195" s="1643" t="s">
        <v>1934</v>
      </c>
      <c r="E195" s="1642">
        <v>354</v>
      </c>
      <c r="F195" s="1642" t="s">
        <v>70</v>
      </c>
      <c r="G195" s="1726">
        <v>64465654</v>
      </c>
      <c r="H195" s="1726">
        <v>54800241.972019434</v>
      </c>
      <c r="I195" s="1726">
        <v>9665412.027980566</v>
      </c>
      <c r="J195" s="1726">
        <v>1288393.6092270603</v>
      </c>
      <c r="K195" s="719">
        <v>64465654</v>
      </c>
      <c r="L195" s="719">
        <v>53511848.362792373</v>
      </c>
      <c r="M195" s="719">
        <v>10953805.637207627</v>
      </c>
      <c r="N195" s="719">
        <v>1305703.3627923713</v>
      </c>
      <c r="W195" s="1765"/>
      <c r="X195" s="1643"/>
      <c r="Y195" s="1642"/>
    </row>
    <row r="196" spans="1:25" s="284" customFormat="1" ht="15.75" customHeight="1" outlineLevel="1">
      <c r="A196" s="1289" t="str">
        <f t="shared" si="13"/>
        <v>MASSENA - MARCY  (Clark)355Poles &amp; Fixtures</v>
      </c>
      <c r="B196" s="1410" t="s">
        <v>1442</v>
      </c>
      <c r="C196" s="1642" t="s">
        <v>34</v>
      </c>
      <c r="D196" s="1643" t="s">
        <v>1934</v>
      </c>
      <c r="E196" s="1642">
        <v>355</v>
      </c>
      <c r="F196" s="1642" t="s">
        <v>71</v>
      </c>
      <c r="G196" s="1726">
        <v>19615058</v>
      </c>
      <c r="H196" s="1726">
        <v>20665001.265150532</v>
      </c>
      <c r="I196" s="1726">
        <v>-1049943.2651505321</v>
      </c>
      <c r="J196" s="1726">
        <v>363974.91882691626</v>
      </c>
      <c r="K196" s="719">
        <v>19615058</v>
      </c>
      <c r="L196" s="719">
        <v>20301026.346323617</v>
      </c>
      <c r="M196" s="719">
        <v>-685968.3463236168</v>
      </c>
      <c r="N196" s="719">
        <v>388479.34632361762</v>
      </c>
      <c r="W196" s="1765"/>
      <c r="X196" s="1643"/>
      <c r="Y196" s="1642"/>
    </row>
    <row r="197" spans="1:25" s="284" customFormat="1" ht="15.75" customHeight="1" outlineLevel="1">
      <c r="A197" s="1289" t="str">
        <f t="shared" si="13"/>
        <v>MASSENA - MARCY  (Clark)356Overhead Conductors &amp; Devices</v>
      </c>
      <c r="B197" s="1410" t="s">
        <v>1443</v>
      </c>
      <c r="C197" s="1642" t="s">
        <v>34</v>
      </c>
      <c r="D197" s="1643" t="s">
        <v>1934</v>
      </c>
      <c r="E197" s="1642">
        <v>356</v>
      </c>
      <c r="F197" s="1642" t="s">
        <v>72</v>
      </c>
      <c r="G197" s="1726">
        <v>42480940.079999998</v>
      </c>
      <c r="H197" s="1726">
        <v>24452438.681066573</v>
      </c>
      <c r="I197" s="1726">
        <v>18028501.398933426</v>
      </c>
      <c r="J197" s="1726">
        <v>540380.19890752062</v>
      </c>
      <c r="K197" s="719">
        <v>42480940.079999998</v>
      </c>
      <c r="L197" s="719">
        <v>23912058.482159052</v>
      </c>
      <c r="M197" s="719">
        <v>18568881.597840946</v>
      </c>
      <c r="N197" s="719">
        <v>602943.70215905004</v>
      </c>
      <c r="W197" s="1765"/>
      <c r="X197" s="1643"/>
      <c r="Y197" s="1642"/>
    </row>
    <row r="198" spans="1:25" s="284" customFormat="1" ht="15.75" customHeight="1" outlineLevel="1">
      <c r="A198" s="1289" t="str">
        <f t="shared" si="13"/>
        <v>MASSENA - MARCY  (Clark)359Roads &amp; Trails</v>
      </c>
      <c r="B198" s="1410" t="s">
        <v>1444</v>
      </c>
      <c r="C198" s="1642" t="s">
        <v>34</v>
      </c>
      <c r="D198" s="1643" t="s">
        <v>1934</v>
      </c>
      <c r="E198" s="1642">
        <v>359</v>
      </c>
      <c r="F198" s="1642" t="s">
        <v>75</v>
      </c>
      <c r="G198" s="1726">
        <v>5105433</v>
      </c>
      <c r="H198" s="1726">
        <v>2784746</v>
      </c>
      <c r="I198" s="1726">
        <v>2320687</v>
      </c>
      <c r="J198" s="1726">
        <v>37248</v>
      </c>
      <c r="K198" s="719">
        <v>5105433</v>
      </c>
      <c r="L198" s="719">
        <v>2747498</v>
      </c>
      <c r="M198" s="719">
        <v>2357935</v>
      </c>
      <c r="N198" s="719">
        <v>39662</v>
      </c>
      <c r="W198" s="1765"/>
      <c r="X198" s="1643"/>
      <c r="Y198" s="1642"/>
    </row>
    <row r="199" spans="1:25" s="284" customFormat="1" ht="15.75" customHeight="1" outlineLevel="1">
      <c r="A199" s="1289" t="str">
        <f t="shared" si="13"/>
        <v>NIAGARA352Structures &amp; Improvements</v>
      </c>
      <c r="B199" s="1410" t="s">
        <v>1445</v>
      </c>
      <c r="C199" s="1642" t="s">
        <v>34</v>
      </c>
      <c r="D199" s="1643" t="s">
        <v>30</v>
      </c>
      <c r="E199" s="1642">
        <v>352</v>
      </c>
      <c r="F199" s="1642" t="s">
        <v>69</v>
      </c>
      <c r="G199" s="1726">
        <v>24449344</v>
      </c>
      <c r="H199" s="1726">
        <v>20368126.906443432</v>
      </c>
      <c r="I199" s="1726">
        <v>4081217.093556568</v>
      </c>
      <c r="J199" s="1726">
        <v>476976.94855403359</v>
      </c>
      <c r="K199" s="719">
        <v>24449344</v>
      </c>
      <c r="L199" s="719">
        <v>19891149.957889397</v>
      </c>
      <c r="M199" s="719">
        <v>4558194.0421106033</v>
      </c>
      <c r="N199" s="719">
        <v>469652.95788939629</v>
      </c>
      <c r="W199" s="1765"/>
      <c r="X199" s="1643"/>
      <c r="Y199" s="1642"/>
    </row>
    <row r="200" spans="1:25" s="284" customFormat="1" ht="15.75" customHeight="1" outlineLevel="1">
      <c r="A200" s="1289" t="str">
        <f t="shared" si="13"/>
        <v>NIAGARA353Station Equipment</v>
      </c>
      <c r="B200" s="1410" t="s">
        <v>1446</v>
      </c>
      <c r="C200" s="1642" t="s">
        <v>34</v>
      </c>
      <c r="D200" s="1643" t="s">
        <v>30</v>
      </c>
      <c r="E200" s="1642">
        <v>353</v>
      </c>
      <c r="F200" s="1642" t="s">
        <v>20</v>
      </c>
      <c r="G200" s="1726">
        <v>118606868.17000003</v>
      </c>
      <c r="H200" s="1726">
        <v>64926542.146722473</v>
      </c>
      <c r="I200" s="1726">
        <v>53680326.023277558</v>
      </c>
      <c r="J200" s="1726">
        <v>1837598.8428614917</v>
      </c>
      <c r="K200" s="719">
        <v>118606868.17000003</v>
      </c>
      <c r="L200" s="719">
        <v>63088943.303860985</v>
      </c>
      <c r="M200" s="719">
        <v>55517924.866139047</v>
      </c>
      <c r="N200" s="719">
        <v>1974412.8238609845</v>
      </c>
      <c r="W200" s="1765"/>
      <c r="X200" s="1643"/>
      <c r="Y200" s="1642"/>
    </row>
    <row r="201" spans="1:25" s="284" customFormat="1" ht="15.75" customHeight="1" outlineLevel="1">
      <c r="A201" s="1289" t="str">
        <f t="shared" si="13"/>
        <v>NIAGARA354Towers &amp; Fixtures</v>
      </c>
      <c r="B201" s="1410" t="s">
        <v>1447</v>
      </c>
      <c r="C201" s="1642" t="s">
        <v>34</v>
      </c>
      <c r="D201" s="1643" t="s">
        <v>30</v>
      </c>
      <c r="E201" s="1642">
        <v>354</v>
      </c>
      <c r="F201" s="1642" t="s">
        <v>70</v>
      </c>
      <c r="G201" s="1726">
        <v>18743984</v>
      </c>
      <c r="H201" s="1726">
        <v>20035765.773191273</v>
      </c>
      <c r="I201" s="1726">
        <v>-1291781.7731912732</v>
      </c>
      <c r="J201" s="1726">
        <v>598789.69089802122</v>
      </c>
      <c r="K201" s="719">
        <v>18743984</v>
      </c>
      <c r="L201" s="719">
        <v>19436976.082293253</v>
      </c>
      <c r="M201" s="719">
        <v>-692992.08229325339</v>
      </c>
      <c r="N201" s="719">
        <v>567904.08229325211</v>
      </c>
      <c r="W201" s="1765"/>
      <c r="X201" s="1643"/>
      <c r="Y201" s="1642"/>
    </row>
    <row r="202" spans="1:25" s="284" customFormat="1" ht="15.75" customHeight="1" outlineLevel="1">
      <c r="A202" s="1289" t="str">
        <f t="shared" si="13"/>
        <v>NIAGARA355Poles &amp; Fixtures</v>
      </c>
      <c r="B202" s="1410" t="s">
        <v>1448</v>
      </c>
      <c r="C202" s="1642" t="s">
        <v>34</v>
      </c>
      <c r="D202" s="1643" t="s">
        <v>30</v>
      </c>
      <c r="E202" s="1642">
        <v>355</v>
      </c>
      <c r="F202" s="1642" t="s">
        <v>71</v>
      </c>
      <c r="G202" s="1726">
        <v>19726</v>
      </c>
      <c r="H202" s="1726">
        <v>21335.746839167932</v>
      </c>
      <c r="I202" s="1726">
        <v>-1609.7468391679322</v>
      </c>
      <c r="J202" s="1726">
        <v>746.13248097412486</v>
      </c>
      <c r="K202" s="719">
        <v>19726</v>
      </c>
      <c r="L202" s="719">
        <v>20589.614358193809</v>
      </c>
      <c r="M202" s="719">
        <v>-863.61435819380858</v>
      </c>
      <c r="N202" s="719">
        <v>707.61435819381018</v>
      </c>
      <c r="W202" s="1765"/>
      <c r="X202" s="1643"/>
      <c r="Y202" s="1642"/>
    </row>
    <row r="203" spans="1:25" s="284" customFormat="1" ht="15.75" customHeight="1" outlineLevel="1">
      <c r="A203" s="1289" t="str">
        <f t="shared" si="13"/>
        <v>NIAGARA356Overhead Conductors &amp; Devices</v>
      </c>
      <c r="B203" s="1410" t="s">
        <v>1449</v>
      </c>
      <c r="C203" s="1642" t="s">
        <v>34</v>
      </c>
      <c r="D203" s="1643" t="s">
        <v>30</v>
      </c>
      <c r="E203" s="1642">
        <v>356</v>
      </c>
      <c r="F203" s="1642" t="s">
        <v>72</v>
      </c>
      <c r="G203" s="1726">
        <v>28672315</v>
      </c>
      <c r="H203" s="1726">
        <v>29140095.161339421</v>
      </c>
      <c r="I203" s="1726">
        <v>-467780.16133942083</v>
      </c>
      <c r="J203" s="1726">
        <v>403592.50867579918</v>
      </c>
      <c r="K203" s="719">
        <v>28672315</v>
      </c>
      <c r="L203" s="719">
        <v>28736502.652663622</v>
      </c>
      <c r="M203" s="719">
        <v>-64187.652663622051</v>
      </c>
      <c r="N203" s="719">
        <v>445772.65266362252</v>
      </c>
      <c r="W203" s="1765"/>
      <c r="X203" s="1643"/>
      <c r="Y203" s="1642"/>
    </row>
    <row r="204" spans="1:25" s="284" customFormat="1" ht="15.75" customHeight="1" outlineLevel="1">
      <c r="A204" s="1289" t="str">
        <f t="shared" si="13"/>
        <v>NIAGARA359Roads &amp; Trails</v>
      </c>
      <c r="B204" s="1410" t="s">
        <v>1450</v>
      </c>
      <c r="C204" s="1642" t="s">
        <v>34</v>
      </c>
      <c r="D204" s="1643" t="s">
        <v>30</v>
      </c>
      <c r="E204" s="1642">
        <v>359</v>
      </c>
      <c r="F204" s="1642" t="s">
        <v>75</v>
      </c>
      <c r="G204" s="1726">
        <v>42797</v>
      </c>
      <c r="H204" s="1726">
        <v>38182.575464231355</v>
      </c>
      <c r="I204" s="1726">
        <v>4614.424535768645</v>
      </c>
      <c r="J204" s="1726">
        <v>314.67652968036532</v>
      </c>
      <c r="K204" s="719">
        <v>42797</v>
      </c>
      <c r="L204" s="719">
        <v>37867.898934550991</v>
      </c>
      <c r="M204" s="719">
        <v>4929.1010654490092</v>
      </c>
      <c r="N204" s="719">
        <v>346.89893455098934</v>
      </c>
      <c r="W204" s="1765"/>
      <c r="X204" s="1643"/>
      <c r="Y204" s="1642"/>
    </row>
    <row r="205" spans="1:25" s="284" customFormat="1" ht="15.75" customHeight="1" outlineLevel="1">
      <c r="A205" s="1289" t="str">
        <f t="shared" si="13"/>
        <v>St.  LAWRENCE / FDR352Structures &amp; Improvements</v>
      </c>
      <c r="B205" s="1410" t="s">
        <v>1451</v>
      </c>
      <c r="C205" s="1642" t="s">
        <v>34</v>
      </c>
      <c r="D205" s="1643" t="s">
        <v>1935</v>
      </c>
      <c r="E205" s="1642">
        <v>352</v>
      </c>
      <c r="F205" s="1642" t="s">
        <v>69</v>
      </c>
      <c r="G205" s="1726">
        <v>12755534.649999999</v>
      </c>
      <c r="H205" s="1726">
        <v>8073930.666443821</v>
      </c>
      <c r="I205" s="1726">
        <v>4681603.9835561775</v>
      </c>
      <c r="J205" s="1726">
        <v>230029.59137309849</v>
      </c>
      <c r="K205" s="719">
        <v>12755534.649999999</v>
      </c>
      <c r="L205" s="719">
        <v>7843901.075070723</v>
      </c>
      <c r="M205" s="719">
        <v>4911633.5749292755</v>
      </c>
      <c r="N205" s="719">
        <v>234111.54679476918</v>
      </c>
      <c r="W205" s="1765"/>
      <c r="X205" s="1643"/>
      <c r="Y205" s="1642"/>
    </row>
    <row r="206" spans="1:25" s="284" customFormat="1" ht="15.75" customHeight="1" outlineLevel="1">
      <c r="A206" s="1289" t="str">
        <f t="shared" si="13"/>
        <v>St.  LAWRENCE / FDR353Station Equipment</v>
      </c>
      <c r="B206" s="1410" t="s">
        <v>1452</v>
      </c>
      <c r="C206" s="1642" t="s">
        <v>34</v>
      </c>
      <c r="D206" s="1643" t="s">
        <v>1935</v>
      </c>
      <c r="E206" s="1642">
        <v>353</v>
      </c>
      <c r="F206" s="1642" t="s">
        <v>20</v>
      </c>
      <c r="G206" s="1726">
        <v>224000360.15000001</v>
      </c>
      <c r="H206" s="1726">
        <v>81992273.128766581</v>
      </c>
      <c r="I206" s="1726">
        <v>142008087.02123344</v>
      </c>
      <c r="J206" s="1726">
        <v>3565046.1330491062</v>
      </c>
      <c r="K206" s="719">
        <v>219930552.46000001</v>
      </c>
      <c r="L206" s="719">
        <v>80969471.055717483</v>
      </c>
      <c r="M206" s="719">
        <v>138961081.40428251</v>
      </c>
      <c r="N206" s="719">
        <v>3594965.0711947335</v>
      </c>
      <c r="W206" s="1765"/>
      <c r="X206" s="1643"/>
      <c r="Y206" s="1642"/>
    </row>
    <row r="207" spans="1:25" s="284" customFormat="1" ht="15.75" customHeight="1" outlineLevel="1">
      <c r="A207" s="1289" t="str">
        <f t="shared" si="13"/>
        <v>St.  LAWRENCE / FDR354Towers &amp; Fixtures</v>
      </c>
      <c r="B207" s="1410" t="s">
        <v>1453</v>
      </c>
      <c r="C207" s="1642" t="s">
        <v>34</v>
      </c>
      <c r="D207" s="1643" t="s">
        <v>1935</v>
      </c>
      <c r="E207" s="1642">
        <v>354</v>
      </c>
      <c r="F207" s="1642" t="s">
        <v>70</v>
      </c>
      <c r="G207" s="1726">
        <v>15185237</v>
      </c>
      <c r="H207" s="1726">
        <v>14447995.503465885</v>
      </c>
      <c r="I207" s="1726">
        <v>737241.4965341147</v>
      </c>
      <c r="J207" s="1726">
        <v>469707.48439284763</v>
      </c>
      <c r="K207" s="719">
        <v>15185237</v>
      </c>
      <c r="L207" s="719">
        <v>13978288.019073037</v>
      </c>
      <c r="M207" s="719">
        <v>1206948.9809269626</v>
      </c>
      <c r="N207" s="719">
        <v>451349.23622453521</v>
      </c>
      <c r="W207" s="1765"/>
      <c r="X207" s="1643"/>
      <c r="Y207" s="1642"/>
    </row>
    <row r="208" spans="1:25" s="284" customFormat="1" ht="15.75" customHeight="1" outlineLevel="1">
      <c r="A208" s="1289" t="str">
        <f t="shared" si="13"/>
        <v>St.  LAWRENCE / FDR355Poles &amp; Fixtures</v>
      </c>
      <c r="B208" s="1410" t="s">
        <v>1454</v>
      </c>
      <c r="C208" s="1642" t="s">
        <v>34</v>
      </c>
      <c r="D208" s="1643" t="s">
        <v>1935</v>
      </c>
      <c r="E208" s="1642">
        <v>355</v>
      </c>
      <c r="F208" s="1642" t="s">
        <v>71</v>
      </c>
      <c r="G208" s="1726">
        <v>6427665</v>
      </c>
      <c r="H208" s="1726">
        <v>6945161.2350529311</v>
      </c>
      <c r="I208" s="1726">
        <v>-517496.23505293112</v>
      </c>
      <c r="J208" s="1726">
        <v>238031.32161996266</v>
      </c>
      <c r="K208" s="719">
        <v>6427665</v>
      </c>
      <c r="L208" s="719">
        <v>6707129.9134329688</v>
      </c>
      <c r="M208" s="719">
        <v>-279464.91343296878</v>
      </c>
      <c r="N208" s="719">
        <v>226641.01133351127</v>
      </c>
      <c r="W208" s="1765"/>
      <c r="X208" s="1643"/>
      <c r="Y208" s="1642"/>
    </row>
    <row r="209" spans="1:25" s="284" customFormat="1" ht="15.75" customHeight="1" outlineLevel="1">
      <c r="A209" s="1289" t="str">
        <f t="shared" si="13"/>
        <v>St.  LAWRENCE / FDR356Overhead Conductors &amp; Devices</v>
      </c>
      <c r="B209" s="1410" t="s">
        <v>1455</v>
      </c>
      <c r="C209" s="1642" t="s">
        <v>34</v>
      </c>
      <c r="D209" s="1643" t="s">
        <v>1935</v>
      </c>
      <c r="E209" s="1642">
        <v>356</v>
      </c>
      <c r="F209" s="1642" t="s">
        <v>72</v>
      </c>
      <c r="G209" s="1726">
        <v>15472585</v>
      </c>
      <c r="H209" s="1726">
        <v>14630788.865772618</v>
      </c>
      <c r="I209" s="1726">
        <v>841796.13422738202</v>
      </c>
      <c r="J209" s="1726">
        <v>261706.87137710169</v>
      </c>
      <c r="K209" s="719">
        <v>15472585</v>
      </c>
      <c r="L209" s="719">
        <v>14369081.994395517</v>
      </c>
      <c r="M209" s="719">
        <v>1103503.0056044832</v>
      </c>
      <c r="N209" s="719">
        <v>277357.112489992</v>
      </c>
      <c r="W209" s="1765"/>
      <c r="X209" s="1643"/>
      <c r="Y209" s="1642"/>
    </row>
    <row r="210" spans="1:25" s="284" customFormat="1" ht="15.75" customHeight="1" outlineLevel="1">
      <c r="A210" s="1289" t="str">
        <f t="shared" si="13"/>
        <v>St.  LAWRENCE / FDR357Underground Conduit</v>
      </c>
      <c r="B210" s="1410" t="s">
        <v>1456</v>
      </c>
      <c r="C210" s="1642" t="s">
        <v>34</v>
      </c>
      <c r="D210" s="1643" t="s">
        <v>1935</v>
      </c>
      <c r="E210" s="1642">
        <v>357</v>
      </c>
      <c r="F210" s="1642" t="s">
        <v>73</v>
      </c>
      <c r="G210" s="1726">
        <v>61047</v>
      </c>
      <c r="H210" s="1726">
        <v>61368.913715416784</v>
      </c>
      <c r="I210" s="1726">
        <v>-321.91371541678382</v>
      </c>
      <c r="J210" s="1726">
        <v>137.62417267147049</v>
      </c>
      <c r="K210" s="719">
        <v>61047</v>
      </c>
      <c r="L210" s="719">
        <v>61231.289542745311</v>
      </c>
      <c r="M210" s="719">
        <v>-184.28954274531134</v>
      </c>
      <c r="N210" s="719">
        <v>124.28965394537855</v>
      </c>
      <c r="W210" s="1765"/>
      <c r="X210" s="1643"/>
      <c r="Y210" s="1642"/>
    </row>
    <row r="211" spans="1:25" s="284" customFormat="1" ht="15.75" customHeight="1" outlineLevel="1">
      <c r="A211" s="1289" t="str">
        <f t="shared" ref="A211:A237" si="16">CONCATENATE(D211,E211,F211)</f>
        <v>St.  LAWRENCE / FDR358Underground Conductors &amp; Devices</v>
      </c>
      <c r="B211" s="1410" t="s">
        <v>1457</v>
      </c>
      <c r="C211" s="1642" t="s">
        <v>34</v>
      </c>
      <c r="D211" s="1643" t="s">
        <v>1935</v>
      </c>
      <c r="E211" s="1642">
        <v>358</v>
      </c>
      <c r="F211" s="1642" t="s">
        <v>74</v>
      </c>
      <c r="G211" s="1726">
        <v>30293138.300000001</v>
      </c>
      <c r="H211" s="1726">
        <v>1680570.284419091</v>
      </c>
      <c r="I211" s="1726">
        <v>28612568.015580911</v>
      </c>
      <c r="J211" s="1726">
        <v>453961.1692380571</v>
      </c>
      <c r="K211" s="719">
        <v>1186661</v>
      </c>
      <c r="L211" s="719">
        <v>1226609.1151810337</v>
      </c>
      <c r="M211" s="719">
        <v>-39948.115181033732</v>
      </c>
      <c r="N211" s="719">
        <v>12170.122675918512</v>
      </c>
      <c r="W211" s="1765"/>
      <c r="X211" s="1643"/>
      <c r="Y211" s="1642"/>
    </row>
    <row r="212" spans="1:25" s="284" customFormat="1" ht="15.75" customHeight="1" outlineLevel="1">
      <c r="A212" s="1289" t="str">
        <f t="shared" si="16"/>
        <v>St.  LAWRENCE / FDR359Roads &amp; Trails</v>
      </c>
      <c r="B212" s="1410" t="s">
        <v>1458</v>
      </c>
      <c r="C212" s="1642" t="s">
        <v>34</v>
      </c>
      <c r="D212" s="1643" t="s">
        <v>1935</v>
      </c>
      <c r="E212" s="1642">
        <v>359</v>
      </c>
      <c r="F212" s="1642" t="s">
        <v>75</v>
      </c>
      <c r="G212" s="1726">
        <v>193299</v>
      </c>
      <c r="H212" s="1726">
        <v>136042.21236366872</v>
      </c>
      <c r="I212" s="1726">
        <v>57256.787636331283</v>
      </c>
      <c r="J212" s="1726">
        <v>3821.2847771550582</v>
      </c>
      <c r="K212" s="719">
        <v>193299</v>
      </c>
      <c r="L212" s="719">
        <v>132220.92758651366</v>
      </c>
      <c r="M212" s="719">
        <v>61078.072413486341</v>
      </c>
      <c r="N212" s="719">
        <v>3694.9296325949654</v>
      </c>
      <c r="W212" s="1765"/>
      <c r="X212" s="1643"/>
      <c r="Y212" s="1642"/>
    </row>
    <row r="213" spans="1:25" s="284" customFormat="1" ht="15.75" customHeight="1" outlineLevel="1">
      <c r="A213" s="1289" t="str">
        <f t="shared" si="16"/>
        <v>500mW C - C at Astoria353Station Equip - Transmission</v>
      </c>
      <c r="B213" s="1410" t="s">
        <v>1459</v>
      </c>
      <c r="C213" s="1642" t="s">
        <v>34</v>
      </c>
      <c r="D213" s="1643" t="s">
        <v>153</v>
      </c>
      <c r="E213" s="1642">
        <v>353</v>
      </c>
      <c r="F213" s="1642" t="s">
        <v>1852</v>
      </c>
      <c r="G213" s="1726">
        <v>85142278.459999993</v>
      </c>
      <c r="H213" s="1726">
        <v>34035174.700000003</v>
      </c>
      <c r="I213" s="1726">
        <v>51107103.75999999</v>
      </c>
      <c r="J213" s="1726">
        <v>2729335</v>
      </c>
      <c r="K213" s="719">
        <v>85142278.459999993</v>
      </c>
      <c r="L213" s="719">
        <v>31305839.700000003</v>
      </c>
      <c r="M213" s="719">
        <v>53836438.75999999</v>
      </c>
      <c r="N213" s="719">
        <v>2729331.16</v>
      </c>
      <c r="W213" s="1765"/>
      <c r="X213" s="1643"/>
      <c r="Y213" s="1642"/>
    </row>
    <row r="214" spans="1:25" s="284" customFormat="1" ht="15.75" customHeight="1" outlineLevel="1">
      <c r="A214" s="1289" t="str">
        <f t="shared" si="16"/>
        <v>Astoria 2 (AE-II) Substation352Structures &amp; Improvements</v>
      </c>
      <c r="B214" s="1410" t="s">
        <v>1460</v>
      </c>
      <c r="C214" s="1642" t="s">
        <v>34</v>
      </c>
      <c r="D214" s="1643" t="s">
        <v>448</v>
      </c>
      <c r="E214" s="1642">
        <v>352</v>
      </c>
      <c r="F214" s="1642" t="s">
        <v>69</v>
      </c>
      <c r="G214" s="1726">
        <v>0</v>
      </c>
      <c r="H214" s="1726">
        <v>0</v>
      </c>
      <c r="I214" s="1726">
        <v>0</v>
      </c>
      <c r="J214" s="1726">
        <v>0</v>
      </c>
      <c r="K214" s="719">
        <v>0</v>
      </c>
      <c r="L214" s="719">
        <v>0</v>
      </c>
      <c r="M214" s="719">
        <v>0</v>
      </c>
      <c r="N214" s="719">
        <v>0</v>
      </c>
      <c r="W214" s="1765"/>
      <c r="X214" s="1643"/>
      <c r="Y214" s="1642"/>
    </row>
    <row r="215" spans="1:25" s="284" customFormat="1" ht="15.75" customHeight="1" outlineLevel="1">
      <c r="A215" s="1289" t="str">
        <f t="shared" si="16"/>
        <v>Astoria 2 (AE-II) Substation353Station Equipment</v>
      </c>
      <c r="B215" s="1410" t="s">
        <v>1461</v>
      </c>
      <c r="C215" s="1642" t="s">
        <v>34</v>
      </c>
      <c r="D215" s="1643" t="s">
        <v>448</v>
      </c>
      <c r="E215" s="1642">
        <v>353</v>
      </c>
      <c r="F215" s="1642" t="s">
        <v>20</v>
      </c>
      <c r="G215" s="1726">
        <v>60481915</v>
      </c>
      <c r="H215" s="1726">
        <v>22642583</v>
      </c>
      <c r="I215" s="1726">
        <v>37839332</v>
      </c>
      <c r="J215" s="1726">
        <v>3011360</v>
      </c>
      <c r="K215" s="719">
        <v>60481915</v>
      </c>
      <c r="L215" s="719">
        <v>19631223</v>
      </c>
      <c r="M215" s="719">
        <v>40850692</v>
      </c>
      <c r="N215" s="719">
        <v>3011360</v>
      </c>
      <c r="W215" s="1765"/>
      <c r="X215" s="1643"/>
      <c r="Y215" s="1642"/>
    </row>
    <row r="216" spans="1:25" s="284" customFormat="1" ht="15.75" customHeight="1" outlineLevel="1">
      <c r="A216" s="1289" t="str">
        <f t="shared" si="16"/>
        <v>Astoria 2 (AE-II) Substation354Towers &amp; Fixtures</v>
      </c>
      <c r="B216" s="1410" t="s">
        <v>1462</v>
      </c>
      <c r="C216" s="1642" t="s">
        <v>34</v>
      </c>
      <c r="D216" s="1643" t="s">
        <v>448</v>
      </c>
      <c r="E216" s="1642">
        <v>354</v>
      </c>
      <c r="F216" s="1642" t="s">
        <v>70</v>
      </c>
      <c r="G216" s="1726">
        <v>0</v>
      </c>
      <c r="H216" s="1726">
        <v>0</v>
      </c>
      <c r="I216" s="1726">
        <v>0</v>
      </c>
      <c r="J216" s="1726">
        <v>0</v>
      </c>
      <c r="K216" s="719">
        <v>0</v>
      </c>
      <c r="L216" s="719">
        <v>0</v>
      </c>
      <c r="M216" s="719">
        <v>0</v>
      </c>
      <c r="N216" s="719">
        <v>0</v>
      </c>
      <c r="W216" s="1765"/>
      <c r="X216" s="1643"/>
      <c r="Y216" s="1642"/>
    </row>
    <row r="217" spans="1:25" s="284" customFormat="1" ht="15.75" customHeight="1" outlineLevel="1">
      <c r="A217" s="1289" t="str">
        <f t="shared" si="16"/>
        <v>Astoria 2 (AE-II) Substation355Poles &amp; Fixtures</v>
      </c>
      <c r="B217" s="1410" t="s">
        <v>1463</v>
      </c>
      <c r="C217" s="1642" t="s">
        <v>34</v>
      </c>
      <c r="D217" s="1643" t="s">
        <v>448</v>
      </c>
      <c r="E217" s="1642">
        <v>355</v>
      </c>
      <c r="F217" s="1642" t="s">
        <v>71</v>
      </c>
      <c r="G217" s="1726">
        <v>0</v>
      </c>
      <c r="H217" s="1726">
        <v>0</v>
      </c>
      <c r="I217" s="1726">
        <v>0</v>
      </c>
      <c r="J217" s="1726">
        <v>0</v>
      </c>
      <c r="K217" s="719">
        <v>0</v>
      </c>
      <c r="L217" s="719">
        <v>0</v>
      </c>
      <c r="M217" s="719">
        <v>0</v>
      </c>
      <c r="N217" s="719">
        <v>0</v>
      </c>
      <c r="W217" s="1765"/>
      <c r="X217" s="1643"/>
      <c r="Y217" s="1642"/>
    </row>
    <row r="218" spans="1:25" s="284" customFormat="1" ht="15.75" customHeight="1" outlineLevel="1">
      <c r="A218" s="1289" t="str">
        <f t="shared" si="16"/>
        <v>Astoria 2 (AE-II) Substation356Overhead Conductors &amp; Devices</v>
      </c>
      <c r="B218" s="1410" t="s">
        <v>1464</v>
      </c>
      <c r="C218" s="1642" t="s">
        <v>34</v>
      </c>
      <c r="D218" s="1643" t="s">
        <v>448</v>
      </c>
      <c r="E218" s="1642">
        <v>356</v>
      </c>
      <c r="F218" s="1642" t="s">
        <v>72</v>
      </c>
      <c r="G218" s="1726">
        <v>0</v>
      </c>
      <c r="H218" s="1726">
        <v>0</v>
      </c>
      <c r="I218" s="1726">
        <v>0</v>
      </c>
      <c r="J218" s="1726">
        <v>0</v>
      </c>
      <c r="K218" s="719">
        <v>0</v>
      </c>
      <c r="L218" s="719">
        <v>0</v>
      </c>
      <c r="M218" s="719">
        <v>0</v>
      </c>
      <c r="N218" s="719">
        <v>0</v>
      </c>
      <c r="W218" s="1765"/>
      <c r="X218" s="1643"/>
      <c r="Y218" s="1642"/>
    </row>
    <row r="219" spans="1:25" s="284" customFormat="1" ht="15.75" customHeight="1" outlineLevel="1">
      <c r="A219" s="1289" t="str">
        <f t="shared" si="16"/>
        <v>Astoria 2 (AE-II) Substation357Underground Conduit</v>
      </c>
      <c r="B219" s="1410" t="s">
        <v>1465</v>
      </c>
      <c r="C219" s="1642" t="s">
        <v>34</v>
      </c>
      <c r="D219" s="1643" t="s">
        <v>448</v>
      </c>
      <c r="E219" s="1642">
        <v>357</v>
      </c>
      <c r="F219" s="1642" t="s">
        <v>73</v>
      </c>
      <c r="G219" s="1726">
        <v>24644166</v>
      </c>
      <c r="H219" s="1726">
        <v>9241568</v>
      </c>
      <c r="I219" s="1726">
        <v>15402598</v>
      </c>
      <c r="J219" s="1726">
        <v>1232209</v>
      </c>
      <c r="K219" s="719">
        <v>24644166</v>
      </c>
      <c r="L219" s="719">
        <v>8009359</v>
      </c>
      <c r="M219" s="719">
        <v>16634807</v>
      </c>
      <c r="N219" s="719">
        <v>1232209</v>
      </c>
      <c r="W219" s="1765"/>
      <c r="X219" s="1643"/>
      <c r="Y219" s="1642"/>
    </row>
    <row r="220" spans="1:25" s="284" customFormat="1" ht="15.75" customHeight="1" outlineLevel="1">
      <c r="A220" s="1289" t="str">
        <f t="shared" si="16"/>
        <v>Astoria 2 (AE-II) Substation358Underground Conductors &amp; Devices</v>
      </c>
      <c r="B220" s="1410" t="s">
        <v>1466</v>
      </c>
      <c r="C220" s="1642" t="s">
        <v>34</v>
      </c>
      <c r="D220" s="1643" t="s">
        <v>448</v>
      </c>
      <c r="E220" s="1642">
        <v>358</v>
      </c>
      <c r="F220" s="1642" t="s">
        <v>74</v>
      </c>
      <c r="G220" s="1726">
        <v>0</v>
      </c>
      <c r="H220" s="1726">
        <v>0</v>
      </c>
      <c r="I220" s="1726">
        <v>0</v>
      </c>
      <c r="J220" s="1726">
        <v>0</v>
      </c>
      <c r="K220" s="719">
        <v>0</v>
      </c>
      <c r="L220" s="719">
        <v>0</v>
      </c>
      <c r="M220" s="719">
        <v>0</v>
      </c>
      <c r="N220" s="719">
        <v>0</v>
      </c>
      <c r="W220" s="1765"/>
      <c r="X220" s="1643"/>
      <c r="Y220" s="1642"/>
    </row>
    <row r="221" spans="1:25" s="284" customFormat="1" ht="15.75" customHeight="1" outlineLevel="1">
      <c r="A221" s="1289" t="str">
        <f t="shared" si="16"/>
        <v>Astoria 2 (AE-II) Substation359Roads &amp; Trails</v>
      </c>
      <c r="B221" s="1410" t="s">
        <v>1467</v>
      </c>
      <c r="C221" s="1642" t="s">
        <v>34</v>
      </c>
      <c r="D221" s="1643" t="s">
        <v>448</v>
      </c>
      <c r="E221" s="1642">
        <v>359</v>
      </c>
      <c r="F221" s="1642" t="s">
        <v>75</v>
      </c>
      <c r="G221" s="1726">
        <v>0</v>
      </c>
      <c r="H221" s="1726">
        <v>0</v>
      </c>
      <c r="I221" s="1726">
        <v>0</v>
      </c>
      <c r="J221" s="1726">
        <v>0</v>
      </c>
      <c r="K221" s="719">
        <v>0</v>
      </c>
      <c r="L221" s="719">
        <v>0</v>
      </c>
      <c r="M221" s="719">
        <v>0</v>
      </c>
      <c r="N221" s="719">
        <v>0</v>
      </c>
      <c r="W221" s="1765"/>
      <c r="X221" s="1643"/>
      <c r="Y221" s="1642"/>
    </row>
    <row r="222" spans="1:25" s="284" customFormat="1" ht="15.75" customHeight="1" outlineLevel="1">
      <c r="A222" s="1289" t="str">
        <f t="shared" si="16"/>
        <v>BRENTWOOD  (Long Island)353Station Equip - Transmission</v>
      </c>
      <c r="B222" s="1410" t="s">
        <v>1468</v>
      </c>
      <c r="C222" s="1642" t="s">
        <v>34</v>
      </c>
      <c r="D222" s="1643" t="s">
        <v>159</v>
      </c>
      <c r="E222" s="1642">
        <v>353</v>
      </c>
      <c r="F222" s="1642" t="s">
        <v>1852</v>
      </c>
      <c r="G222" s="1726">
        <v>6883705.7699999996</v>
      </c>
      <c r="H222" s="1726">
        <v>5757282</v>
      </c>
      <c r="I222" s="1726">
        <v>1126423.7699999996</v>
      </c>
      <c r="J222" s="1726">
        <v>35874.269999999997</v>
      </c>
      <c r="K222" s="719">
        <v>6857937.5</v>
      </c>
      <c r="L222" s="719">
        <v>5721407.7300000004</v>
      </c>
      <c r="M222" s="719">
        <v>1136529.7699999996</v>
      </c>
      <c r="N222" s="719">
        <v>53071.67</v>
      </c>
      <c r="W222" s="1765"/>
      <c r="X222" s="1643"/>
      <c r="Y222" s="1642"/>
    </row>
    <row r="223" spans="1:25" s="284" customFormat="1" ht="15.75" customHeight="1" outlineLevel="1">
      <c r="A223" s="1289" t="str">
        <f t="shared" si="16"/>
        <v>Crescent353Station Equip - Transmission</v>
      </c>
      <c r="B223" s="1410" t="s">
        <v>1469</v>
      </c>
      <c r="C223" s="1642" t="s">
        <v>34</v>
      </c>
      <c r="D223" s="1643" t="s">
        <v>154</v>
      </c>
      <c r="E223" s="1642">
        <v>353</v>
      </c>
      <c r="F223" s="1642" t="s">
        <v>1852</v>
      </c>
      <c r="G223" s="1726">
        <v>2395536</v>
      </c>
      <c r="H223" s="1726">
        <v>1102823</v>
      </c>
      <c r="I223" s="1726">
        <v>1292713</v>
      </c>
      <c r="J223" s="1726">
        <v>39926</v>
      </c>
      <c r="K223" s="719">
        <v>2395536</v>
      </c>
      <c r="L223" s="719">
        <v>1062897</v>
      </c>
      <c r="M223" s="719">
        <v>1332639</v>
      </c>
      <c r="N223" s="719">
        <v>39926</v>
      </c>
      <c r="W223" s="1765"/>
      <c r="X223" s="1643"/>
      <c r="Y223" s="1642"/>
    </row>
    <row r="224" spans="1:25" s="284" customFormat="1" ht="15" customHeight="1" outlineLevel="1">
      <c r="A224" s="1289" t="str">
        <f t="shared" si="16"/>
        <v>FLYNN  (Holtsville)353Station Equip - Transmission</v>
      </c>
      <c r="B224" s="1410" t="s">
        <v>1470</v>
      </c>
      <c r="C224" s="1642" t="s">
        <v>34</v>
      </c>
      <c r="D224" s="1646" t="s">
        <v>155</v>
      </c>
      <c r="E224" s="1642">
        <v>353</v>
      </c>
      <c r="F224" s="1642" t="s">
        <v>1852</v>
      </c>
      <c r="G224" s="1726">
        <v>11956558.059999999</v>
      </c>
      <c r="H224" s="1726">
        <v>4774841.62</v>
      </c>
      <c r="I224" s="1726">
        <v>7181716.4399999985</v>
      </c>
      <c r="J224" s="1726">
        <v>315544</v>
      </c>
      <c r="K224" s="719">
        <v>11956558.059999999</v>
      </c>
      <c r="L224" s="719">
        <v>4459297.62</v>
      </c>
      <c r="M224" s="719">
        <v>7497260.4399999985</v>
      </c>
      <c r="N224" s="719">
        <v>315220.84999999998</v>
      </c>
      <c r="W224" s="1765"/>
      <c r="X224" s="1646"/>
      <c r="Y224" s="1642"/>
    </row>
    <row r="225" spans="1:28" s="284" customFormat="1" ht="15.75" customHeight="1" outlineLevel="1">
      <c r="A225" s="1289" t="str">
        <f t="shared" si="16"/>
        <v>GOWANUS  (Brooklyn)353Station Equip - Transmission</v>
      </c>
      <c r="B225" s="1410" t="s">
        <v>1471</v>
      </c>
      <c r="C225" s="1642" t="s">
        <v>34</v>
      </c>
      <c r="D225" s="1643" t="s">
        <v>156</v>
      </c>
      <c r="E225" s="1642">
        <v>353</v>
      </c>
      <c r="F225" s="1642" t="s">
        <v>1852</v>
      </c>
      <c r="G225" s="1726">
        <v>28715227.16</v>
      </c>
      <c r="H225" s="1726">
        <v>27580353.329999998</v>
      </c>
      <c r="I225" s="1726">
        <v>1134873.8300000019</v>
      </c>
      <c r="J225" s="1726">
        <v>0</v>
      </c>
      <c r="K225" s="719">
        <v>28715227.16</v>
      </c>
      <c r="L225" s="719">
        <v>27580353.329999998</v>
      </c>
      <c r="M225" s="719">
        <v>1134873.8300000019</v>
      </c>
      <c r="N225" s="719">
        <v>275493</v>
      </c>
      <c r="W225" s="1765"/>
      <c r="X225" s="1643"/>
      <c r="Y225" s="1642"/>
    </row>
    <row r="226" spans="1:28" s="284" customFormat="1" ht="15.75" customHeight="1" outlineLevel="1">
      <c r="A226" s="1289" t="str">
        <f t="shared" si="16"/>
        <v>HARLEM RIVER YARDS  (Bronx)353Station Equip - Transmission</v>
      </c>
      <c r="B226" s="1410" t="s">
        <v>1472</v>
      </c>
      <c r="C226" s="1642" t="s">
        <v>34</v>
      </c>
      <c r="D226" s="1643" t="s">
        <v>157</v>
      </c>
      <c r="E226" s="1642">
        <v>353</v>
      </c>
      <c r="F226" s="1642" t="s">
        <v>1852</v>
      </c>
      <c r="G226" s="1726">
        <v>25080072.09</v>
      </c>
      <c r="H226" s="1726">
        <v>19681688.09</v>
      </c>
      <c r="I226" s="1726">
        <v>5398384</v>
      </c>
      <c r="J226" s="1726">
        <v>486013.72</v>
      </c>
      <c r="K226" s="719">
        <v>25058084.370000001</v>
      </c>
      <c r="L226" s="719">
        <v>19195674.370000001</v>
      </c>
      <c r="M226" s="719">
        <v>5862410</v>
      </c>
      <c r="N226" s="719">
        <v>513095.09</v>
      </c>
      <c r="W226" s="1765"/>
      <c r="X226" s="1643"/>
      <c r="Y226" s="1642"/>
    </row>
    <row r="227" spans="1:28" s="284" customFormat="1" ht="15.75" customHeight="1" outlineLevel="1">
      <c r="A227" s="1289" t="str">
        <f t="shared" si="16"/>
        <v>HELLGATE  (Bronx)353Station Equip - Transmission</v>
      </c>
      <c r="B227" s="1410" t="s">
        <v>1473</v>
      </c>
      <c r="C227" s="1642" t="s">
        <v>34</v>
      </c>
      <c r="D227" s="1643" t="s">
        <v>158</v>
      </c>
      <c r="E227" s="1642">
        <v>353</v>
      </c>
      <c r="F227" s="1642" t="s">
        <v>1852</v>
      </c>
      <c r="G227" s="1726">
        <v>25061552.949999999</v>
      </c>
      <c r="H227" s="1726">
        <v>16999003.949999999</v>
      </c>
      <c r="I227" s="1726">
        <v>8062549</v>
      </c>
      <c r="J227" s="1726">
        <v>670814.69999999995</v>
      </c>
      <c r="K227" s="719">
        <v>24379512.25</v>
      </c>
      <c r="L227" s="719">
        <v>16328189.249999998</v>
      </c>
      <c r="M227" s="719">
        <v>8051323.0000000019</v>
      </c>
      <c r="N227" s="719">
        <v>757477.1</v>
      </c>
      <c r="W227" s="1765"/>
      <c r="X227" s="1643"/>
      <c r="Y227" s="1642"/>
    </row>
    <row r="228" spans="1:28" s="284" customFormat="1" ht="15.75" customHeight="1" outlineLevel="1">
      <c r="A228" s="1289" t="str">
        <f t="shared" si="16"/>
        <v>Jarvis353Station Equip - Transmission</v>
      </c>
      <c r="B228" s="1410" t="s">
        <v>1474</v>
      </c>
      <c r="C228" s="1642" t="s">
        <v>34</v>
      </c>
      <c r="D228" s="1643" t="s">
        <v>162</v>
      </c>
      <c r="E228" s="1642">
        <v>353</v>
      </c>
      <c r="F228" s="1642" t="s">
        <v>1852</v>
      </c>
      <c r="G228" s="1726">
        <v>4302254</v>
      </c>
      <c r="H228" s="1726">
        <v>1980613</v>
      </c>
      <c r="I228" s="1726">
        <v>2321641</v>
      </c>
      <c r="J228" s="1726">
        <v>71705</v>
      </c>
      <c r="K228" s="719">
        <v>4302254</v>
      </c>
      <c r="L228" s="719">
        <v>1908908</v>
      </c>
      <c r="M228" s="719">
        <v>2393346</v>
      </c>
      <c r="N228" s="719">
        <v>71705</v>
      </c>
      <c r="W228" s="1765"/>
      <c r="X228" s="1643"/>
      <c r="Y228" s="1642"/>
    </row>
    <row r="229" spans="1:28" s="284" customFormat="1" ht="15.75" customHeight="1" outlineLevel="1">
      <c r="A229" s="1289" t="str">
        <f t="shared" si="16"/>
        <v>KENT  (Brooklyn)353Station Equip - Transmission</v>
      </c>
      <c r="B229" s="1410" t="s">
        <v>1475</v>
      </c>
      <c r="C229" s="1642" t="s">
        <v>34</v>
      </c>
      <c r="D229" s="1643" t="s">
        <v>165</v>
      </c>
      <c r="E229" s="1642">
        <v>353</v>
      </c>
      <c r="F229" s="1642" t="s">
        <v>1852</v>
      </c>
      <c r="G229" s="1726">
        <v>10365797</v>
      </c>
      <c r="H229" s="1726">
        <v>9790103.2800000012</v>
      </c>
      <c r="I229" s="1726">
        <v>575693.71999999881</v>
      </c>
      <c r="J229" s="1726">
        <v>0</v>
      </c>
      <c r="K229" s="719">
        <v>10365797</v>
      </c>
      <c r="L229" s="719">
        <v>9790103.2800000012</v>
      </c>
      <c r="M229" s="719">
        <v>575693.71999999881</v>
      </c>
      <c r="N229" s="719">
        <v>270360</v>
      </c>
      <c r="W229" s="1765"/>
      <c r="X229" s="1643"/>
      <c r="Y229" s="1642"/>
    </row>
    <row r="230" spans="1:28" s="284" customFormat="1" ht="15.75" customHeight="1" outlineLevel="1">
      <c r="A230" s="1289" t="str">
        <f t="shared" si="16"/>
        <v>POLETTI  (Astoria)352Structures &amp; Improvements</v>
      </c>
      <c r="B230" s="1410" t="s">
        <v>1476</v>
      </c>
      <c r="C230" s="1642" t="s">
        <v>34</v>
      </c>
      <c r="D230" s="1643" t="s">
        <v>161</v>
      </c>
      <c r="E230" s="1642">
        <v>352</v>
      </c>
      <c r="F230" s="1642" t="s">
        <v>69</v>
      </c>
      <c r="G230" s="1726">
        <v>69748</v>
      </c>
      <c r="H230" s="1726">
        <v>59684.639999999999</v>
      </c>
      <c r="I230" s="1726">
        <v>10063.36</v>
      </c>
      <c r="J230" s="1726">
        <v>1182</v>
      </c>
      <c r="K230" s="719">
        <v>69748</v>
      </c>
      <c r="L230" s="719">
        <v>58502.64</v>
      </c>
      <c r="M230" s="719">
        <v>11245.36</v>
      </c>
      <c r="N230" s="719">
        <v>1304</v>
      </c>
      <c r="W230" s="1765"/>
      <c r="X230" s="1643"/>
      <c r="Y230" s="1642"/>
    </row>
    <row r="231" spans="1:28" s="284" customFormat="1" ht="15.75" customHeight="1" outlineLevel="1">
      <c r="A231" s="1289" t="str">
        <f t="shared" si="16"/>
        <v>POLETTI  (Astoria)353Station Equipment</v>
      </c>
      <c r="B231" s="1410" t="s">
        <v>1477</v>
      </c>
      <c r="C231" s="1642" t="s">
        <v>34</v>
      </c>
      <c r="D231" s="1643" t="s">
        <v>161</v>
      </c>
      <c r="E231" s="1642">
        <v>353</v>
      </c>
      <c r="F231" s="1642" t="s">
        <v>20</v>
      </c>
      <c r="G231" s="1726">
        <v>14716023</v>
      </c>
      <c r="H231" s="1726">
        <v>15359851.59</v>
      </c>
      <c r="I231" s="1726">
        <v>-643828.58999999985</v>
      </c>
      <c r="J231" s="1726">
        <v>367901</v>
      </c>
      <c r="K231" s="719">
        <v>14716023</v>
      </c>
      <c r="L231" s="719">
        <v>14991950.59</v>
      </c>
      <c r="M231" s="719">
        <v>-275927.58999999985</v>
      </c>
      <c r="N231" s="719">
        <v>275927</v>
      </c>
      <c r="W231" s="1765"/>
      <c r="X231" s="1643"/>
      <c r="Y231" s="1642"/>
    </row>
    <row r="232" spans="1:28" s="284" customFormat="1" ht="15.75" customHeight="1" outlineLevel="1">
      <c r="A232" s="1289" t="str">
        <f t="shared" si="16"/>
        <v>POLETTI  (Astoria)357Underground Conduit</v>
      </c>
      <c r="B232" s="1410" t="s">
        <v>1478</v>
      </c>
      <c r="C232" s="1642" t="s">
        <v>34</v>
      </c>
      <c r="D232" s="1643" t="s">
        <v>161</v>
      </c>
      <c r="E232" s="1642">
        <v>357</v>
      </c>
      <c r="F232" s="1642" t="s">
        <v>73</v>
      </c>
      <c r="G232" s="1726">
        <v>16192845</v>
      </c>
      <c r="H232" s="1726">
        <v>16524976.029999999</v>
      </c>
      <c r="I232" s="1726">
        <v>-332131.02999999933</v>
      </c>
      <c r="J232" s="1726">
        <v>28514</v>
      </c>
      <c r="K232" s="719">
        <v>16192845</v>
      </c>
      <c r="L232" s="719">
        <v>16496462.029999999</v>
      </c>
      <c r="M232" s="719">
        <v>-303617.02999999933</v>
      </c>
      <c r="N232" s="719">
        <v>303617</v>
      </c>
      <c r="W232" s="1765"/>
      <c r="X232" s="1643"/>
      <c r="Y232" s="1642"/>
    </row>
    <row r="233" spans="1:28" s="281" customFormat="1" ht="15.75" customHeight="1" outlineLevel="1">
      <c r="A233" s="1289" t="str">
        <f t="shared" si="16"/>
        <v>POLETTI  (Astoria)358Underground Conductors &amp; Devices</v>
      </c>
      <c r="B233" s="1410" t="s">
        <v>1479</v>
      </c>
      <c r="C233" s="1642" t="s">
        <v>34</v>
      </c>
      <c r="D233" s="1643" t="s">
        <v>161</v>
      </c>
      <c r="E233" s="1642">
        <v>358</v>
      </c>
      <c r="F233" s="1642" t="s">
        <v>74</v>
      </c>
      <c r="G233" s="1726">
        <v>14726135</v>
      </c>
      <c r="H233" s="1726">
        <v>14362871.74</v>
      </c>
      <c r="I233" s="1726">
        <v>363263.25999999978</v>
      </c>
      <c r="J233" s="1726">
        <v>52793</v>
      </c>
      <c r="K233" s="719">
        <v>14726135</v>
      </c>
      <c r="L233" s="719">
        <v>14310078.74</v>
      </c>
      <c r="M233" s="719">
        <v>416056.25999999978</v>
      </c>
      <c r="N233" s="719">
        <v>276115</v>
      </c>
      <c r="W233" s="1765"/>
      <c r="X233" s="1643"/>
      <c r="Y233" s="1642"/>
      <c r="Z233" s="284"/>
      <c r="AA233" s="284"/>
      <c r="AB233" s="284"/>
    </row>
    <row r="234" spans="1:28" s="281" customFormat="1" ht="15.75" customHeight="1" outlineLevel="1">
      <c r="A234" s="1289" t="str">
        <f t="shared" si="16"/>
        <v>POUCH TERMINAL  (Richmond)353Station Equip - Transmission</v>
      </c>
      <c r="B234" s="1410" t="s">
        <v>1480</v>
      </c>
      <c r="C234" s="1642" t="s">
        <v>34</v>
      </c>
      <c r="D234" s="1643" t="s">
        <v>166</v>
      </c>
      <c r="E234" s="1642">
        <v>353</v>
      </c>
      <c r="F234" s="1642" t="s">
        <v>1852</v>
      </c>
      <c r="G234" s="1726">
        <v>11520027</v>
      </c>
      <c r="H234" s="1726">
        <v>10468678.050000001</v>
      </c>
      <c r="I234" s="1726">
        <v>1051348.9499999993</v>
      </c>
      <c r="J234" s="1726">
        <v>0</v>
      </c>
      <c r="K234" s="719">
        <v>11520027</v>
      </c>
      <c r="L234" s="719">
        <v>10468678.050000001</v>
      </c>
      <c r="M234" s="719">
        <v>1051348.9499999993</v>
      </c>
      <c r="N234" s="719">
        <v>0</v>
      </c>
      <c r="W234" s="1765"/>
      <c r="X234" s="1643"/>
      <c r="Y234" s="1642"/>
      <c r="Z234" s="284"/>
      <c r="AA234" s="284"/>
      <c r="AB234" s="284"/>
    </row>
    <row r="235" spans="1:28" s="281" customFormat="1" ht="15.75" customHeight="1" outlineLevel="1">
      <c r="A235" s="1289" t="str">
        <f t="shared" si="16"/>
        <v>VERNON BOULEVARD  (Queens)353Station Equip - Transmission</v>
      </c>
      <c r="B235" s="1410" t="s">
        <v>1481</v>
      </c>
      <c r="C235" s="1642" t="s">
        <v>34</v>
      </c>
      <c r="D235" s="1643" t="s">
        <v>167</v>
      </c>
      <c r="E235" s="1642">
        <v>353</v>
      </c>
      <c r="F235" s="1642" t="s">
        <v>1852</v>
      </c>
      <c r="G235" s="1726">
        <v>16526683</v>
      </c>
      <c r="H235" s="1726">
        <v>6635442.8499999996</v>
      </c>
      <c r="I235" s="1726">
        <v>9891240.1500000004</v>
      </c>
      <c r="J235" s="1726">
        <v>0</v>
      </c>
      <c r="K235" s="719">
        <v>16526683</v>
      </c>
      <c r="L235" s="719">
        <v>6635442.8499999996</v>
      </c>
      <c r="M235" s="719">
        <v>9891240.1500000004</v>
      </c>
      <c r="N235" s="719">
        <v>0</v>
      </c>
      <c r="W235" s="1765"/>
      <c r="X235" s="1643"/>
      <c r="Y235" s="1642"/>
      <c r="Z235" s="284"/>
      <c r="AA235" s="284"/>
      <c r="AB235" s="284"/>
    </row>
    <row r="236" spans="1:28" s="281" customFormat="1" ht="15.75" customHeight="1" outlineLevel="1">
      <c r="A236" s="1289" t="str">
        <f t="shared" si="16"/>
        <v>Vischer Ferry353Station Equip - Transmission</v>
      </c>
      <c r="B236" s="1410" t="s">
        <v>1482</v>
      </c>
      <c r="C236" s="1642" t="s">
        <v>34</v>
      </c>
      <c r="D236" s="1643" t="s">
        <v>164</v>
      </c>
      <c r="E236" s="1642">
        <v>353</v>
      </c>
      <c r="F236" s="1642" t="s">
        <v>1852</v>
      </c>
      <c r="G236" s="1726">
        <v>663158</v>
      </c>
      <c r="H236" s="1726">
        <v>305301</v>
      </c>
      <c r="I236" s="1726">
        <v>357857</v>
      </c>
      <c r="J236" s="1726">
        <v>11053</v>
      </c>
      <c r="K236" s="719">
        <v>663158</v>
      </c>
      <c r="L236" s="719">
        <v>294248</v>
      </c>
      <c r="M236" s="719">
        <v>368910</v>
      </c>
      <c r="N236" s="719">
        <v>11053</v>
      </c>
      <c r="W236" s="1765"/>
      <c r="X236" s="1643"/>
      <c r="Y236" s="1642"/>
      <c r="Z236" s="284"/>
      <c r="AA236" s="284"/>
      <c r="AB236" s="284"/>
    </row>
    <row r="237" spans="1:28" s="281" customFormat="1" ht="15.75" customHeight="1" outlineLevel="1">
      <c r="A237" s="1289" t="str">
        <f t="shared" si="16"/>
        <v>Asset ImpairmentImpairment (Trans)</v>
      </c>
      <c r="B237" s="1410" t="s">
        <v>1483</v>
      </c>
      <c r="C237" s="1642" t="s">
        <v>34</v>
      </c>
      <c r="D237" s="658" t="s">
        <v>1952</v>
      </c>
      <c r="E237" s="1644"/>
      <c r="F237" s="659" t="s">
        <v>1953</v>
      </c>
      <c r="G237" s="1726">
        <v>-30000000</v>
      </c>
      <c r="H237" s="1726"/>
      <c r="I237" s="1726">
        <v>-30000000</v>
      </c>
      <c r="J237" s="1726"/>
      <c r="K237" s="719">
        <v>-30000000</v>
      </c>
      <c r="L237" s="719"/>
      <c r="M237" s="719">
        <v>-30000000</v>
      </c>
      <c r="N237" s="719"/>
      <c r="W237" s="1765"/>
      <c r="Z237" s="284"/>
      <c r="AA237" s="284"/>
      <c r="AB237" s="284"/>
    </row>
    <row r="238" spans="1:28" s="281" customFormat="1" ht="27.75" customHeight="1" outlineLevel="1">
      <c r="A238" s="1289" t="str">
        <f>CONCATENATE(D238,E238,F238)</f>
        <v>Reclassification to deferred liabilityCost of Removal Deprec to Reg Assets (Trans)</v>
      </c>
      <c r="B238" s="1410" t="s">
        <v>1484</v>
      </c>
      <c r="C238" s="1642" t="s">
        <v>34</v>
      </c>
      <c r="D238" s="658" t="s">
        <v>1954</v>
      </c>
      <c r="E238" s="1644"/>
      <c r="F238" s="661" t="s">
        <v>1955</v>
      </c>
      <c r="G238" s="1726"/>
      <c r="H238" s="1726">
        <v>-118768024.06</v>
      </c>
      <c r="I238" s="1726">
        <v>118768024.06</v>
      </c>
      <c r="J238" s="1726"/>
      <c r="K238" s="719"/>
      <c r="L238" s="719">
        <v>-110395189.00997718</v>
      </c>
      <c r="M238" s="719">
        <v>110395189.00997718</v>
      </c>
      <c r="N238" s="719"/>
      <c r="W238" s="1765"/>
    </row>
    <row r="239" spans="1:28" s="284" customFormat="1" ht="15.75" customHeight="1" outlineLevel="1">
      <c r="A239" s="1289" t="str">
        <f t="shared" ref="A239:A240" si="17">CONCATENATE(D239,E239,F239)</f>
        <v/>
      </c>
      <c r="B239" s="1410" t="s">
        <v>541</v>
      </c>
      <c r="C239" s="656"/>
      <c r="D239" s="656"/>
      <c r="E239" s="719"/>
      <c r="F239" s="656"/>
      <c r="G239" s="1726"/>
      <c r="H239" s="1726"/>
      <c r="I239" s="1726"/>
      <c r="J239" s="1726"/>
      <c r="K239" s="719"/>
      <c r="L239" s="719"/>
      <c r="M239" s="719"/>
      <c r="N239" s="719"/>
      <c r="W239" s="1765"/>
    </row>
    <row r="240" spans="1:28" s="284" customFormat="1" ht="15.75" customHeight="1" outlineLevel="1" thickBot="1">
      <c r="A240" s="1289" t="str">
        <f t="shared" si="17"/>
        <v/>
      </c>
      <c r="B240" s="1410" t="s">
        <v>541</v>
      </c>
      <c r="C240" s="656"/>
      <c r="D240" s="656"/>
      <c r="E240" s="719"/>
      <c r="F240" s="656"/>
      <c r="G240" s="1726"/>
      <c r="H240" s="1726"/>
      <c r="I240" s="1726"/>
      <c r="J240" s="1726"/>
      <c r="K240" s="719"/>
      <c r="L240" s="719"/>
      <c r="M240" s="719"/>
      <c r="N240" s="719"/>
      <c r="W240" s="1650"/>
    </row>
    <row r="241" spans="1:26" s="261" customFormat="1" ht="16.5" customHeight="1" thickBot="1">
      <c r="A241" s="1289" t="str">
        <f t="shared" ref="A241:A279" si="18">CONCATENATE(D241,E241,F241)</f>
        <v>Transmission Total</v>
      </c>
      <c r="B241" s="1366">
        <v>11</v>
      </c>
      <c r="C241" s="386"/>
      <c r="D241" s="386"/>
      <c r="E241" s="386"/>
      <c r="F241" s="388" t="s">
        <v>614</v>
      </c>
      <c r="G241" s="1727">
        <f t="shared" ref="G241:J241" si="19">SUBTOTAL(9,G169:G240)</f>
        <v>2228521008.9099998</v>
      </c>
      <c r="H241" s="1727">
        <f t="shared" si="19"/>
        <v>1302299196.3744397</v>
      </c>
      <c r="I241" s="1727">
        <f t="shared" si="19"/>
        <v>926221812.53555989</v>
      </c>
      <c r="J241" s="1727">
        <f t="shared" si="19"/>
        <v>45706621.080000006</v>
      </c>
      <c r="K241" s="389">
        <f t="shared" ref="K241:N241" si="20">SUBTOTAL(9,K169:K240)</f>
        <v>2192878913.7200003</v>
      </c>
      <c r="L241" s="389">
        <f t="shared" si="20"/>
        <v>1268059853.6300228</v>
      </c>
      <c r="M241" s="389">
        <f t="shared" si="20"/>
        <v>924819060.08997726</v>
      </c>
      <c r="N241" s="389">
        <f t="shared" si="20"/>
        <v>47442412.929999992</v>
      </c>
      <c r="W241" s="1762"/>
    </row>
    <row r="242" spans="1:26" s="284" customFormat="1" ht="15.75" customHeight="1" outlineLevel="1">
      <c r="A242" s="1289" t="str">
        <f t="shared" si="18"/>
        <v/>
      </c>
      <c r="B242" s="1365"/>
      <c r="C242" s="356"/>
      <c r="D242" s="356"/>
      <c r="E242" s="356"/>
      <c r="F242" s="355"/>
      <c r="G242" s="1732"/>
      <c r="H242" s="1728"/>
      <c r="I242" s="1728"/>
      <c r="J242" s="1728"/>
      <c r="K242" s="1481"/>
      <c r="L242" s="361"/>
      <c r="M242" s="361"/>
      <c r="N242" s="361"/>
      <c r="W242" s="1650"/>
    </row>
    <row r="243" spans="1:26" s="284" customFormat="1" ht="15.75" customHeight="1" outlineLevel="1">
      <c r="A243" s="1289" t="str">
        <f t="shared" si="18"/>
        <v/>
      </c>
      <c r="B243" s="1365"/>
      <c r="C243" s="356"/>
      <c r="D243" s="385"/>
      <c r="E243" s="356"/>
      <c r="F243" s="1482"/>
      <c r="G243" s="1728"/>
      <c r="H243" s="1728"/>
      <c r="I243" s="1728"/>
      <c r="J243" s="1728"/>
      <c r="K243" s="361"/>
      <c r="L243" s="361"/>
      <c r="M243" s="361"/>
      <c r="N243" s="361"/>
      <c r="W243" s="1650"/>
    </row>
    <row r="244" spans="1:26" s="263" customFormat="1" ht="16.5" customHeight="1" outlineLevel="1" thickBot="1">
      <c r="A244" s="1289" t="str">
        <f t="shared" si="18"/>
        <v>General</v>
      </c>
      <c r="B244" s="1367">
        <v>12</v>
      </c>
      <c r="C244" s="358"/>
      <c r="D244" s="383"/>
      <c r="E244" s="358"/>
      <c r="F244" s="384" t="s">
        <v>107</v>
      </c>
      <c r="G244" s="1729"/>
      <c r="H244" s="1729"/>
      <c r="I244" s="1729"/>
      <c r="J244" s="1729"/>
      <c r="K244" s="360"/>
      <c r="L244" s="360"/>
      <c r="M244" s="360"/>
      <c r="N244" s="360"/>
      <c r="W244" s="1763"/>
    </row>
    <row r="245" spans="1:26" s="284" customFormat="1" ht="15.75" customHeight="1" outlineLevel="1">
      <c r="A245" s="1289" t="str">
        <f t="shared" si="18"/>
        <v>BLENHEIM - GILBOA390Structures &amp; Improvements</v>
      </c>
      <c r="B245" s="1410" t="s">
        <v>1485</v>
      </c>
      <c r="C245" s="1642" t="s">
        <v>107</v>
      </c>
      <c r="D245" s="1643" t="s">
        <v>1929</v>
      </c>
      <c r="E245" s="1642">
        <v>390</v>
      </c>
      <c r="F245" s="1642" t="s">
        <v>69</v>
      </c>
      <c r="G245" s="1726">
        <v>36989972.189999998</v>
      </c>
      <c r="H245" s="1726">
        <v>8299744.8700000001</v>
      </c>
      <c r="I245" s="1726">
        <v>28690227.319999997</v>
      </c>
      <c r="J245" s="1726">
        <v>513060.83</v>
      </c>
      <c r="K245" s="719">
        <v>30153678.93</v>
      </c>
      <c r="L245" s="719">
        <v>7786496.54</v>
      </c>
      <c r="M245" s="719">
        <v>22367182.390000001</v>
      </c>
      <c r="N245" s="719">
        <v>509873.15</v>
      </c>
      <c r="W245" s="1766"/>
      <c r="X245" s="1642"/>
    </row>
    <row r="246" spans="1:26" s="284" customFormat="1" ht="15.75" customHeight="1" outlineLevel="1">
      <c r="A246" s="1289" t="str">
        <f t="shared" si="18"/>
        <v>BLENHEIM - GILBOA391Office Furniture &amp; Equipment</v>
      </c>
      <c r="B246" s="1410" t="s">
        <v>1486</v>
      </c>
      <c r="C246" s="1642" t="s">
        <v>107</v>
      </c>
      <c r="D246" s="1643" t="s">
        <v>1929</v>
      </c>
      <c r="E246" s="1642">
        <v>391</v>
      </c>
      <c r="F246" s="1642" t="s">
        <v>76</v>
      </c>
      <c r="G246" s="1726">
        <v>19007.920000000158</v>
      </c>
      <c r="H246" s="1726">
        <v>-9820.3199999998324</v>
      </c>
      <c r="I246" s="1726">
        <v>28828.239999999991</v>
      </c>
      <c r="J246" s="1726">
        <v>775</v>
      </c>
      <c r="K246" s="719">
        <v>38397.920000000158</v>
      </c>
      <c r="L246" s="719">
        <v>14804.680000000168</v>
      </c>
      <c r="M246" s="719">
        <v>23593.239999999991</v>
      </c>
      <c r="N246" s="719">
        <v>5155</v>
      </c>
      <c r="W246" s="1766"/>
      <c r="X246" s="1642"/>
    </row>
    <row r="247" spans="1:26" s="1650" customFormat="1" ht="15.75" customHeight="1" outlineLevel="1">
      <c r="A247" s="1649" t="str">
        <f t="shared" si="18"/>
        <v>BLENHEIM - GILBOA391.2Computer Equipment 5 yr</v>
      </c>
      <c r="B247" s="1410" t="s">
        <v>1487</v>
      </c>
      <c r="C247" s="1642" t="s">
        <v>107</v>
      </c>
      <c r="D247" s="1643" t="s">
        <v>1929</v>
      </c>
      <c r="E247" s="1642">
        <v>391.2</v>
      </c>
      <c r="F247" s="1642" t="s">
        <v>1827</v>
      </c>
      <c r="G247" s="1726">
        <v>133213.51</v>
      </c>
      <c r="H247" s="1726">
        <v>78711.509999999995</v>
      </c>
      <c r="I247" s="1726">
        <v>54502.000000000015</v>
      </c>
      <c r="J247" s="1726">
        <v>28947</v>
      </c>
      <c r="K247" s="719">
        <v>164776.76</v>
      </c>
      <c r="L247" s="719">
        <v>81327.759999999995</v>
      </c>
      <c r="M247" s="719">
        <v>83449.000000000015</v>
      </c>
      <c r="N247" s="719">
        <v>20686.3</v>
      </c>
      <c r="W247" s="1766"/>
      <c r="X247" s="1642"/>
      <c r="Y247" s="284"/>
      <c r="Z247" s="284"/>
    </row>
    <row r="248" spans="1:26" s="1650" customFormat="1" ht="15.75" customHeight="1" outlineLevel="1">
      <c r="A248" s="1649" t="str">
        <f t="shared" si="18"/>
        <v>BLENHEIM - GILBOA391.3Computer Equipment 10 yr</v>
      </c>
      <c r="B248" s="1410" t="s">
        <v>1488</v>
      </c>
      <c r="C248" s="1642" t="s">
        <v>107</v>
      </c>
      <c r="D248" s="1643" t="s">
        <v>1929</v>
      </c>
      <c r="E248" s="1642">
        <v>391.3</v>
      </c>
      <c r="F248" s="1642" t="s">
        <v>1828</v>
      </c>
      <c r="G248" s="1726">
        <v>0</v>
      </c>
      <c r="H248" s="1726">
        <v>0</v>
      </c>
      <c r="I248" s="1726">
        <v>0</v>
      </c>
      <c r="J248" s="1726">
        <v>0</v>
      </c>
      <c r="K248" s="719">
        <v>236189.53</v>
      </c>
      <c r="L248" s="719">
        <v>236189.53</v>
      </c>
      <c r="M248" s="719">
        <v>0</v>
      </c>
      <c r="N248" s="719">
        <v>0</v>
      </c>
      <c r="W248" s="1766"/>
      <c r="X248" s="1642"/>
      <c r="Y248" s="284"/>
      <c r="Z248" s="284"/>
    </row>
    <row r="249" spans="1:26" s="284" customFormat="1" ht="15.75" customHeight="1" outlineLevel="1">
      <c r="A249" s="1289" t="str">
        <f t="shared" si="18"/>
        <v>BLENHEIM - GILBOA392Transportation Equipment</v>
      </c>
      <c r="B249" s="1410" t="s">
        <v>1489</v>
      </c>
      <c r="C249" s="1642" t="s">
        <v>107</v>
      </c>
      <c r="D249" s="1643" t="s">
        <v>1929</v>
      </c>
      <c r="E249" s="1642">
        <v>392</v>
      </c>
      <c r="F249" s="1642" t="s">
        <v>77</v>
      </c>
      <c r="G249" s="1726">
        <v>5921529.2499999991</v>
      </c>
      <c r="H249" s="1726">
        <v>3965088.4299999992</v>
      </c>
      <c r="I249" s="1726">
        <v>1956440.8199999998</v>
      </c>
      <c r="J249" s="1726">
        <v>373367.35</v>
      </c>
      <c r="K249" s="719">
        <v>5695475.8399999989</v>
      </c>
      <c r="L249" s="719">
        <v>3947118.0199999996</v>
      </c>
      <c r="M249" s="719">
        <v>1748357.8199999994</v>
      </c>
      <c r="N249" s="719">
        <v>380328.61</v>
      </c>
      <c r="W249" s="1766"/>
      <c r="X249" s="1642"/>
    </row>
    <row r="250" spans="1:26" s="284" customFormat="1" ht="15.75" customHeight="1" outlineLevel="1">
      <c r="A250" s="1289" t="str">
        <f t="shared" si="18"/>
        <v>BLENHEIM - GILBOA393Stores Equipment</v>
      </c>
      <c r="B250" s="1410" t="s">
        <v>1490</v>
      </c>
      <c r="C250" s="1642" t="s">
        <v>107</v>
      </c>
      <c r="D250" s="1643" t="s">
        <v>1929</v>
      </c>
      <c r="E250" s="1642">
        <v>393</v>
      </c>
      <c r="F250" s="1642" t="s">
        <v>78</v>
      </c>
      <c r="G250" s="1726">
        <v>511332.30000000005</v>
      </c>
      <c r="H250" s="1726">
        <v>327201.46999999997</v>
      </c>
      <c r="I250" s="1726">
        <v>184130.83000000007</v>
      </c>
      <c r="J250" s="1726">
        <v>16350</v>
      </c>
      <c r="K250" s="719">
        <v>508702.30000000005</v>
      </c>
      <c r="L250" s="719">
        <v>310851.46999999997</v>
      </c>
      <c r="M250" s="719">
        <v>197850.83000000007</v>
      </c>
      <c r="N250" s="719">
        <v>19437</v>
      </c>
      <c r="W250" s="1766"/>
      <c r="X250" s="1642"/>
    </row>
    <row r="251" spans="1:26" s="284" customFormat="1" ht="15.75" customHeight="1" outlineLevel="1">
      <c r="A251" s="1289" t="str">
        <f t="shared" si="18"/>
        <v>BLENHEIM - GILBOA394Tools, Shop &amp; Garage Equipment</v>
      </c>
      <c r="B251" s="1410" t="s">
        <v>1491</v>
      </c>
      <c r="C251" s="1642" t="s">
        <v>107</v>
      </c>
      <c r="D251" s="1643" t="s">
        <v>1929</v>
      </c>
      <c r="E251" s="1642">
        <v>394</v>
      </c>
      <c r="F251" s="1642" t="s">
        <v>79</v>
      </c>
      <c r="G251" s="1726">
        <v>1574710.56</v>
      </c>
      <c r="H251" s="1726">
        <v>499079.32000000007</v>
      </c>
      <c r="I251" s="1726">
        <v>1075631.24</v>
      </c>
      <c r="J251" s="1726">
        <v>77641.460000000006</v>
      </c>
      <c r="K251" s="719">
        <v>1489393.1</v>
      </c>
      <c r="L251" s="719">
        <v>421437.86000000004</v>
      </c>
      <c r="M251" s="719">
        <v>1067955.24</v>
      </c>
      <c r="N251" s="719">
        <v>69851.87</v>
      </c>
      <c r="W251" s="1766"/>
      <c r="X251" s="1642"/>
    </row>
    <row r="252" spans="1:26" s="284" customFormat="1" ht="15.75" customHeight="1" outlineLevel="1">
      <c r="A252" s="1289" t="str">
        <f t="shared" si="18"/>
        <v>BLENHEIM - GILBOA395Laboratory Equipment</v>
      </c>
      <c r="B252" s="1410" t="s">
        <v>1492</v>
      </c>
      <c r="C252" s="1642" t="s">
        <v>107</v>
      </c>
      <c r="D252" s="1643" t="s">
        <v>1929</v>
      </c>
      <c r="E252" s="1642">
        <v>395</v>
      </c>
      <c r="F252" s="1642" t="s">
        <v>80</v>
      </c>
      <c r="G252" s="1726">
        <v>518470.51000000013</v>
      </c>
      <c r="H252" s="1726">
        <v>168716.28999999992</v>
      </c>
      <c r="I252" s="1726">
        <v>349754.2200000002</v>
      </c>
      <c r="J252" s="1726">
        <v>29467.25</v>
      </c>
      <c r="K252" s="719">
        <v>424594.26000000013</v>
      </c>
      <c r="L252" s="719">
        <v>139249.03999999992</v>
      </c>
      <c r="M252" s="719">
        <v>285345.2200000002</v>
      </c>
      <c r="N252" s="719">
        <v>21098.7</v>
      </c>
      <c r="W252" s="1766"/>
      <c r="X252" s="1642"/>
    </row>
    <row r="253" spans="1:26" s="284" customFormat="1" ht="15.75" customHeight="1" outlineLevel="1">
      <c r="A253" s="1289" t="str">
        <f t="shared" si="18"/>
        <v>BLENHEIM - GILBOA396Power Operated Equipment</v>
      </c>
      <c r="B253" s="1410" t="s">
        <v>1493</v>
      </c>
      <c r="C253" s="1642" t="s">
        <v>107</v>
      </c>
      <c r="D253" s="1643" t="s">
        <v>1929</v>
      </c>
      <c r="E253" s="1642">
        <v>396</v>
      </c>
      <c r="F253" s="1642" t="s">
        <v>81</v>
      </c>
      <c r="G253" s="1726">
        <v>2759759.6999999993</v>
      </c>
      <c r="H253" s="1726">
        <v>2235670.7000000002</v>
      </c>
      <c r="I253" s="1726">
        <v>524088.99999999907</v>
      </c>
      <c r="J253" s="1726">
        <v>241276.52</v>
      </c>
      <c r="K253" s="719">
        <v>2896895.1799999992</v>
      </c>
      <c r="L253" s="719">
        <v>2110394.1800000002</v>
      </c>
      <c r="M253" s="719">
        <v>786500.99999999907</v>
      </c>
      <c r="N253" s="719">
        <v>247558.6</v>
      </c>
      <c r="W253" s="1766"/>
      <c r="X253" s="1642"/>
    </row>
    <row r="254" spans="1:26" s="284" customFormat="1" ht="15.75" customHeight="1" outlineLevel="1">
      <c r="A254" s="1289" t="str">
        <f t="shared" si="18"/>
        <v>BLENHEIM - GILBOA397Communication Equipment</v>
      </c>
      <c r="B254" s="1410" t="s">
        <v>1494</v>
      </c>
      <c r="C254" s="1642" t="s">
        <v>107</v>
      </c>
      <c r="D254" s="1643" t="s">
        <v>1929</v>
      </c>
      <c r="E254" s="1642">
        <v>397</v>
      </c>
      <c r="F254" s="1642" t="s">
        <v>82</v>
      </c>
      <c r="G254" s="1726">
        <v>803422.14999999991</v>
      </c>
      <c r="H254" s="1726">
        <v>51541.579999999842</v>
      </c>
      <c r="I254" s="1726">
        <v>751880.57000000007</v>
      </c>
      <c r="J254" s="1726">
        <v>53563</v>
      </c>
      <c r="K254" s="719">
        <v>803422.14999999991</v>
      </c>
      <c r="L254" s="719">
        <v>-2021.4200000001583</v>
      </c>
      <c r="M254" s="719">
        <v>805443.57000000007</v>
      </c>
      <c r="N254" s="719">
        <v>8523.4500000000007</v>
      </c>
      <c r="W254" s="1766"/>
      <c r="X254" s="1642"/>
    </row>
    <row r="255" spans="1:26" s="284" customFormat="1" ht="15.75" customHeight="1" outlineLevel="1">
      <c r="A255" s="1289" t="str">
        <f t="shared" si="18"/>
        <v>BLENHEIM - GILBOA398Miscellaneous Equipment</v>
      </c>
      <c r="B255" s="1410" t="s">
        <v>1495</v>
      </c>
      <c r="C255" s="1642" t="s">
        <v>107</v>
      </c>
      <c r="D255" s="1643" t="s">
        <v>1929</v>
      </c>
      <c r="E255" s="1642">
        <v>398</v>
      </c>
      <c r="F255" s="1642" t="s">
        <v>83</v>
      </c>
      <c r="G255" s="1726">
        <v>10625571.560000001</v>
      </c>
      <c r="H255" s="1726">
        <v>1546295.9600000002</v>
      </c>
      <c r="I255" s="1726">
        <v>9079275.5999999996</v>
      </c>
      <c r="J255" s="1726">
        <v>363474.82</v>
      </c>
      <c r="K255" s="719">
        <v>10073406.74</v>
      </c>
      <c r="L255" s="719">
        <v>1182821.1400000001</v>
      </c>
      <c r="M255" s="719">
        <v>8890585.5999999996</v>
      </c>
      <c r="N255" s="719">
        <v>333247.99</v>
      </c>
      <c r="W255" s="1766"/>
      <c r="X255" s="1642"/>
    </row>
    <row r="256" spans="1:26" s="284" customFormat="1" ht="15.75" customHeight="1" outlineLevel="1">
      <c r="A256" s="1289" t="str">
        <f t="shared" si="18"/>
        <v>BLENHEIM - GILBOA399Other Tangible Property</v>
      </c>
      <c r="B256" s="1410" t="s">
        <v>1496</v>
      </c>
      <c r="C256" s="1642" t="s">
        <v>107</v>
      </c>
      <c r="D256" s="1643" t="s">
        <v>1929</v>
      </c>
      <c r="E256" s="1642">
        <v>399</v>
      </c>
      <c r="F256" s="1642" t="s">
        <v>84</v>
      </c>
      <c r="G256" s="1726">
        <v>0</v>
      </c>
      <c r="H256" s="1726">
        <v>0</v>
      </c>
      <c r="I256" s="1726">
        <v>0</v>
      </c>
      <c r="J256" s="1726">
        <v>0</v>
      </c>
      <c r="K256" s="719">
        <v>0</v>
      </c>
      <c r="L256" s="719">
        <v>0</v>
      </c>
      <c r="M256" s="719">
        <v>0</v>
      </c>
      <c r="N256" s="719">
        <v>0</v>
      </c>
      <c r="W256" s="1766"/>
      <c r="X256" s="1642"/>
    </row>
    <row r="257" spans="1:26" s="1650" customFormat="1" ht="15.75" customHeight="1" outlineLevel="1">
      <c r="A257" s="1649" t="str">
        <f t="shared" si="18"/>
        <v>HEADQUARTERS390Structures &amp; Improvements</v>
      </c>
      <c r="B257" s="1410" t="s">
        <v>1497</v>
      </c>
      <c r="C257" s="1642" t="s">
        <v>107</v>
      </c>
      <c r="D257" s="1643" t="s">
        <v>1936</v>
      </c>
      <c r="E257" s="1642">
        <v>390</v>
      </c>
      <c r="F257" s="1642" t="s">
        <v>69</v>
      </c>
      <c r="G257" s="1726">
        <v>88855061.659999996</v>
      </c>
      <c r="H257" s="1726">
        <v>44025507.659999996</v>
      </c>
      <c r="I257" s="1726">
        <v>44829554</v>
      </c>
      <c r="J257" s="1726">
        <v>1008067.05</v>
      </c>
      <c r="K257" s="719">
        <v>84506669.280000001</v>
      </c>
      <c r="L257" s="719">
        <v>44022799.280000001</v>
      </c>
      <c r="M257" s="719">
        <v>40483870</v>
      </c>
      <c r="N257" s="719">
        <v>1076838.77</v>
      </c>
      <c r="W257" s="1766"/>
      <c r="X257" s="1774"/>
    </row>
    <row r="258" spans="1:26" s="284" customFormat="1" ht="15.75" customHeight="1" outlineLevel="1">
      <c r="A258" s="1289" t="str">
        <f t="shared" si="18"/>
        <v>HEADQUARTERS391Office Furniture &amp; Equipment</v>
      </c>
      <c r="B258" s="1410" t="s">
        <v>1498</v>
      </c>
      <c r="C258" s="1642" t="s">
        <v>107</v>
      </c>
      <c r="D258" s="1643" t="s">
        <v>1936</v>
      </c>
      <c r="E258" s="1642">
        <v>391</v>
      </c>
      <c r="F258" s="1642" t="s">
        <v>76</v>
      </c>
      <c r="G258" s="1726">
        <v>11879874.559999961</v>
      </c>
      <c r="H258" s="1726">
        <v>7734619.1099999845</v>
      </c>
      <c r="I258" s="1726">
        <v>4145255.4499999769</v>
      </c>
      <c r="J258" s="1726">
        <v>660047</v>
      </c>
      <c r="K258" s="719">
        <v>11868625.509999961</v>
      </c>
      <c r="L258" s="719">
        <v>7078314.8599999845</v>
      </c>
      <c r="M258" s="719">
        <v>4790310.6499999762</v>
      </c>
      <c r="N258" s="719">
        <v>3575570.45</v>
      </c>
      <c r="W258" s="1766"/>
      <c r="X258" s="1642"/>
    </row>
    <row r="259" spans="1:26" s="1650" customFormat="1" ht="15.75" customHeight="1" outlineLevel="1">
      <c r="A259" s="1649" t="str">
        <f t="shared" si="18"/>
        <v>HEADQUARTERS391.2Computer Equipment 5 yr</v>
      </c>
      <c r="B259" s="1410" t="s">
        <v>1499</v>
      </c>
      <c r="C259" s="1642" t="s">
        <v>107</v>
      </c>
      <c r="D259" s="1643" t="s">
        <v>1936</v>
      </c>
      <c r="E259" s="1642">
        <v>391.2</v>
      </c>
      <c r="F259" s="1642" t="s">
        <v>1827</v>
      </c>
      <c r="G259" s="1726">
        <v>31833366.739999995</v>
      </c>
      <c r="H259" s="1726">
        <v>7160757.7299999986</v>
      </c>
      <c r="I259" s="1726">
        <v>24672609.009999998</v>
      </c>
      <c r="J259" s="1726">
        <v>2604149.2999999998</v>
      </c>
      <c r="K259" s="719">
        <v>16881671.289999995</v>
      </c>
      <c r="L259" s="719">
        <v>10515662.279999999</v>
      </c>
      <c r="M259" s="719">
        <v>6366009.0099999961</v>
      </c>
      <c r="N259" s="719">
        <v>1863840.1</v>
      </c>
      <c r="W259" s="1766"/>
      <c r="X259" s="1642"/>
      <c r="Y259" s="284"/>
      <c r="Z259" s="284"/>
    </row>
    <row r="260" spans="1:26" s="1650" customFormat="1" ht="15.75" customHeight="1" outlineLevel="1">
      <c r="A260" s="1649" t="str">
        <f t="shared" si="18"/>
        <v>HEADQUARTERS391.3Computer Equipment 10 yr</v>
      </c>
      <c r="B260" s="1410" t="s">
        <v>1500</v>
      </c>
      <c r="C260" s="1642" t="s">
        <v>107</v>
      </c>
      <c r="D260" s="1643" t="s">
        <v>1936</v>
      </c>
      <c r="E260" s="1642">
        <v>391.3</v>
      </c>
      <c r="F260" s="1642" t="s">
        <v>1828</v>
      </c>
      <c r="G260" s="1726">
        <v>85554865.569999993</v>
      </c>
      <c r="H260" s="1726">
        <v>20795340.730000004</v>
      </c>
      <c r="I260" s="1726">
        <v>64759524.839999989</v>
      </c>
      <c r="J260" s="1726">
        <v>5768972.9800000004</v>
      </c>
      <c r="K260" s="719">
        <v>89067229.399999991</v>
      </c>
      <c r="L260" s="719">
        <v>45540911.560000002</v>
      </c>
      <c r="M260" s="719">
        <v>43526317.839999989</v>
      </c>
      <c r="N260" s="719">
        <v>5417146.8899999997</v>
      </c>
      <c r="W260" s="1766"/>
      <c r="X260" s="1642"/>
      <c r="Y260" s="284"/>
      <c r="Z260" s="284"/>
    </row>
    <row r="261" spans="1:26" s="284" customFormat="1" ht="15.75" customHeight="1" outlineLevel="1">
      <c r="A261" s="1289" t="str">
        <f t="shared" si="18"/>
        <v>HEADQUARTERS392Transportation Equipment</v>
      </c>
      <c r="B261" s="1410" t="s">
        <v>1501</v>
      </c>
      <c r="C261" s="1642" t="s">
        <v>107</v>
      </c>
      <c r="D261" s="1643" t="s">
        <v>1936</v>
      </c>
      <c r="E261" s="1642">
        <v>392</v>
      </c>
      <c r="F261" s="1642" t="s">
        <v>77</v>
      </c>
      <c r="G261" s="1726">
        <v>12067665.699999996</v>
      </c>
      <c r="H261" s="1726">
        <v>12317555.93</v>
      </c>
      <c r="I261" s="1726">
        <v>-249890.23000000417</v>
      </c>
      <c r="J261" s="1726">
        <v>190958.4</v>
      </c>
      <c r="K261" s="719">
        <v>12178297.819999997</v>
      </c>
      <c r="L261" s="719">
        <v>12271049.359999998</v>
      </c>
      <c r="M261" s="719">
        <v>-92751.540000000678</v>
      </c>
      <c r="N261" s="719">
        <v>342820.11</v>
      </c>
      <c r="W261" s="1766"/>
      <c r="X261" s="1642"/>
    </row>
    <row r="262" spans="1:26" s="284" customFormat="1" ht="15.75" customHeight="1" outlineLevel="1">
      <c r="A262" s="1289" t="str">
        <f t="shared" si="18"/>
        <v>HEADQUARTERS394Tools, Shop &amp; Garage Equipment</v>
      </c>
      <c r="B262" s="1410" t="s">
        <v>1502</v>
      </c>
      <c r="C262" s="1642" t="s">
        <v>107</v>
      </c>
      <c r="D262" s="1643" t="s">
        <v>1936</v>
      </c>
      <c r="E262" s="1642">
        <v>394</v>
      </c>
      <c r="F262" s="1642" t="s">
        <v>79</v>
      </c>
      <c r="G262" s="1726">
        <v>448331.89</v>
      </c>
      <c r="H262" s="1726">
        <v>146029.53000000003</v>
      </c>
      <c r="I262" s="1726">
        <v>302302.36</v>
      </c>
      <c r="J262" s="1726">
        <v>21344</v>
      </c>
      <c r="K262" s="719">
        <v>448331.89</v>
      </c>
      <c r="L262" s="719">
        <v>124685.53000000003</v>
      </c>
      <c r="M262" s="719">
        <v>323646.36</v>
      </c>
      <c r="N262" s="719">
        <v>25189.62</v>
      </c>
      <c r="W262" s="1766"/>
      <c r="X262" s="1642"/>
    </row>
    <row r="263" spans="1:26" s="284" customFormat="1" ht="15.75" customHeight="1" outlineLevel="1">
      <c r="A263" s="1289" t="str">
        <f t="shared" si="18"/>
        <v>HEADQUARTERS395Laboratory Equipment</v>
      </c>
      <c r="B263" s="1410" t="s">
        <v>1503</v>
      </c>
      <c r="C263" s="1642" t="s">
        <v>107</v>
      </c>
      <c r="D263" s="1643" t="s">
        <v>1936</v>
      </c>
      <c r="E263" s="1642">
        <v>395</v>
      </c>
      <c r="F263" s="1642" t="s">
        <v>80</v>
      </c>
      <c r="G263" s="1726">
        <v>966703.66999999934</v>
      </c>
      <c r="H263" s="1726">
        <v>907651.67</v>
      </c>
      <c r="I263" s="1726">
        <v>59051.999999999302</v>
      </c>
      <c r="J263" s="1726">
        <v>35841</v>
      </c>
      <c r="K263" s="719">
        <v>966703.66999999934</v>
      </c>
      <c r="L263" s="719">
        <v>871810.67</v>
      </c>
      <c r="M263" s="719">
        <v>94892.999999999302</v>
      </c>
      <c r="N263" s="719">
        <v>36946.35</v>
      </c>
      <c r="W263" s="1766"/>
      <c r="X263" s="1642"/>
    </row>
    <row r="264" spans="1:26" s="284" customFormat="1" ht="15.75" customHeight="1" outlineLevel="1">
      <c r="A264" s="1289" t="str">
        <f t="shared" si="18"/>
        <v>HEADQUARTERS397Communication Equipment</v>
      </c>
      <c r="B264" s="1410" t="s">
        <v>1504</v>
      </c>
      <c r="C264" s="1642" t="s">
        <v>107</v>
      </c>
      <c r="D264" s="1643" t="s">
        <v>1936</v>
      </c>
      <c r="E264" s="1642">
        <v>397</v>
      </c>
      <c r="F264" s="1642" t="s">
        <v>82</v>
      </c>
      <c r="G264" s="1726">
        <v>7795215.9799999986</v>
      </c>
      <c r="H264" s="1726">
        <v>526552.9799999987</v>
      </c>
      <c r="I264" s="1726">
        <v>7268663</v>
      </c>
      <c r="J264" s="1726">
        <v>285107.68</v>
      </c>
      <c r="K264" s="719">
        <v>4001372.9699999988</v>
      </c>
      <c r="L264" s="719">
        <v>286300.96999999881</v>
      </c>
      <c r="M264" s="719">
        <v>3715072</v>
      </c>
      <c r="N264" s="719">
        <v>55888.07</v>
      </c>
      <c r="W264" s="1766"/>
      <c r="X264" s="1642"/>
    </row>
    <row r="265" spans="1:26" s="284" customFormat="1" ht="15.75" customHeight="1" outlineLevel="1">
      <c r="A265" s="1289" t="str">
        <f t="shared" si="18"/>
        <v>HEADQUARTERS398Miscellaneous Equipment</v>
      </c>
      <c r="B265" s="1410" t="s">
        <v>1505</v>
      </c>
      <c r="C265" s="1642" t="s">
        <v>107</v>
      </c>
      <c r="D265" s="1643" t="s">
        <v>1936</v>
      </c>
      <c r="E265" s="1642">
        <v>398</v>
      </c>
      <c r="F265" s="1642" t="s">
        <v>83</v>
      </c>
      <c r="G265" s="1726">
        <v>205872.83999999985</v>
      </c>
      <c r="H265" s="1726">
        <v>53209.100000002676</v>
      </c>
      <c r="I265" s="1726">
        <v>152663.73999999717</v>
      </c>
      <c r="J265" s="1726">
        <v>10241</v>
      </c>
      <c r="K265" s="719">
        <v>205872.83999999985</v>
      </c>
      <c r="L265" s="719">
        <v>41988.280000002676</v>
      </c>
      <c r="M265" s="719">
        <v>163884.55999999717</v>
      </c>
      <c r="N265" s="719">
        <v>1276.44</v>
      </c>
      <c r="W265" s="1766"/>
      <c r="X265" s="1642"/>
    </row>
    <row r="266" spans="1:26" s="284" customFormat="1" ht="15.75" customHeight="1" outlineLevel="1">
      <c r="A266" s="1289" t="str">
        <f t="shared" si="18"/>
        <v>LONG ISLAND SOUND CABLE397Communication Equipment</v>
      </c>
      <c r="B266" s="1410" t="s">
        <v>1506</v>
      </c>
      <c r="C266" s="1642" t="s">
        <v>107</v>
      </c>
      <c r="D266" s="1643" t="s">
        <v>1932</v>
      </c>
      <c r="E266" s="1642">
        <v>397</v>
      </c>
      <c r="F266" s="1642" t="s">
        <v>82</v>
      </c>
      <c r="G266" s="1726">
        <v>4414029</v>
      </c>
      <c r="H266" s="1726">
        <v>4414029</v>
      </c>
      <c r="I266" s="1726">
        <v>0</v>
      </c>
      <c r="J266" s="1726">
        <v>0</v>
      </c>
      <c r="K266" s="719">
        <v>4414029</v>
      </c>
      <c r="L266" s="719">
        <v>4414029</v>
      </c>
      <c r="M266" s="719">
        <v>0</v>
      </c>
      <c r="N266" s="719">
        <v>0</v>
      </c>
      <c r="W266" s="1766"/>
      <c r="X266" s="1642"/>
    </row>
    <row r="267" spans="1:26" s="284" customFormat="1" ht="15.75" customHeight="1" outlineLevel="1">
      <c r="A267" s="1289" t="str">
        <f t="shared" si="18"/>
        <v>MARCY-SOUTH390Structures &amp; Improvements</v>
      </c>
      <c r="B267" s="1410" t="s">
        <v>1507</v>
      </c>
      <c r="C267" s="1642" t="s">
        <v>107</v>
      </c>
      <c r="D267" s="1643" t="s">
        <v>1933</v>
      </c>
      <c r="E267" s="1642">
        <v>390</v>
      </c>
      <c r="F267" s="1642" t="s">
        <v>69</v>
      </c>
      <c r="G267" s="1726">
        <v>0</v>
      </c>
      <c r="H267" s="1726">
        <v>0</v>
      </c>
      <c r="I267" s="1726">
        <v>0</v>
      </c>
      <c r="J267" s="1726">
        <v>0</v>
      </c>
      <c r="K267" s="719">
        <v>0</v>
      </c>
      <c r="L267" s="719">
        <v>0</v>
      </c>
      <c r="M267" s="719">
        <v>0</v>
      </c>
      <c r="N267" s="719">
        <v>0</v>
      </c>
      <c r="W267" s="1766"/>
      <c r="X267" s="1642"/>
    </row>
    <row r="268" spans="1:26" s="284" customFormat="1" ht="15.75" customHeight="1" outlineLevel="1">
      <c r="A268" s="1289" t="str">
        <f t="shared" si="18"/>
        <v>MARCY-SOUTH396Power Operated Equipment</v>
      </c>
      <c r="B268" s="1410" t="s">
        <v>1508</v>
      </c>
      <c r="C268" s="1642" t="s">
        <v>107</v>
      </c>
      <c r="D268" s="1643" t="s">
        <v>1933</v>
      </c>
      <c r="E268" s="1642">
        <v>396</v>
      </c>
      <c r="F268" s="1642" t="s">
        <v>81</v>
      </c>
      <c r="G268" s="1726">
        <v>763</v>
      </c>
      <c r="H268" s="1726">
        <v>0</v>
      </c>
      <c r="I268" s="1726">
        <v>763</v>
      </c>
      <c r="J268" s="1726">
        <v>0</v>
      </c>
      <c r="K268" s="719">
        <v>763</v>
      </c>
      <c r="L268" s="719">
        <v>-278237</v>
      </c>
      <c r="M268" s="719">
        <v>279000</v>
      </c>
      <c r="N268" s="719">
        <v>0</v>
      </c>
      <c r="W268" s="1766"/>
      <c r="X268" s="1642"/>
    </row>
    <row r="269" spans="1:26" s="284" customFormat="1" ht="15.75" customHeight="1" outlineLevel="1">
      <c r="A269" s="1289" t="str">
        <f t="shared" si="18"/>
        <v>MARCY-SOUTH397Communication Equipment</v>
      </c>
      <c r="B269" s="1410" t="s">
        <v>1509</v>
      </c>
      <c r="C269" s="1642" t="s">
        <v>107</v>
      </c>
      <c r="D269" s="1643" t="s">
        <v>1933</v>
      </c>
      <c r="E269" s="1642">
        <v>397</v>
      </c>
      <c r="F269" s="1642" t="s">
        <v>82</v>
      </c>
      <c r="G269" s="1726">
        <v>0</v>
      </c>
      <c r="H269" s="1726">
        <v>0</v>
      </c>
      <c r="I269" s="1726">
        <v>0</v>
      </c>
      <c r="J269" s="1726">
        <v>0</v>
      </c>
      <c r="K269" s="719">
        <v>0</v>
      </c>
      <c r="L269" s="719">
        <v>0</v>
      </c>
      <c r="M269" s="719">
        <v>0</v>
      </c>
      <c r="N269" s="719">
        <v>0</v>
      </c>
      <c r="W269" s="1766"/>
      <c r="X269" s="1642"/>
    </row>
    <row r="270" spans="1:26" s="284" customFormat="1" ht="15.75" customHeight="1" outlineLevel="1">
      <c r="A270" s="1289" t="str">
        <f t="shared" si="18"/>
        <v>MASSENA - MARCY  (Clark)390Structures &amp; Improvements</v>
      </c>
      <c r="B270" s="1410" t="s">
        <v>1510</v>
      </c>
      <c r="C270" s="1642" t="s">
        <v>107</v>
      </c>
      <c r="D270" s="1643" t="s">
        <v>1934</v>
      </c>
      <c r="E270" s="1642">
        <v>390</v>
      </c>
      <c r="F270" s="1642" t="s">
        <v>69</v>
      </c>
      <c r="G270" s="1726">
        <v>18100973.689999998</v>
      </c>
      <c r="H270" s="1726">
        <v>950096.69</v>
      </c>
      <c r="I270" s="1726">
        <v>17150876.999999996</v>
      </c>
      <c r="J270" s="1726">
        <v>54259.77</v>
      </c>
      <c r="K270" s="719">
        <v>2674317.92</v>
      </c>
      <c r="L270" s="719">
        <v>895836.91999999993</v>
      </c>
      <c r="M270" s="719">
        <v>1778481</v>
      </c>
      <c r="N270" s="719">
        <v>62560.19</v>
      </c>
      <c r="W270" s="1766"/>
      <c r="X270" s="1642"/>
    </row>
    <row r="271" spans="1:26" s="284" customFormat="1" ht="15.75" customHeight="1" outlineLevel="1">
      <c r="A271" s="1289" t="str">
        <f t="shared" si="18"/>
        <v>MASSENA - MARCY  (Clark)391Office Furniture &amp; Equipment</v>
      </c>
      <c r="B271" s="1410" t="s">
        <v>1511</v>
      </c>
      <c r="C271" s="1642" t="s">
        <v>107</v>
      </c>
      <c r="D271" s="1643" t="s">
        <v>1934</v>
      </c>
      <c r="E271" s="1642">
        <v>391</v>
      </c>
      <c r="F271" s="1642" t="s">
        <v>76</v>
      </c>
      <c r="G271" s="1726">
        <v>-1723880.0200000009</v>
      </c>
      <c r="H271" s="1726">
        <v>900590.67000000027</v>
      </c>
      <c r="I271" s="1726">
        <v>-2624470.6900000013</v>
      </c>
      <c r="J271" s="1726">
        <v>2066</v>
      </c>
      <c r="K271" s="719">
        <v>-1714412.120000001</v>
      </c>
      <c r="L271" s="719">
        <v>914002.5700000003</v>
      </c>
      <c r="M271" s="719">
        <v>-2628414.6900000013</v>
      </c>
      <c r="N271" s="719">
        <v>354167</v>
      </c>
      <c r="W271" s="1766"/>
      <c r="X271" s="1642"/>
    </row>
    <row r="272" spans="1:26" s="1650" customFormat="1" ht="15.75" customHeight="1" outlineLevel="1">
      <c r="A272" s="1649" t="str">
        <f t="shared" si="18"/>
        <v>MASSENA - MARCY  (Clark)391.2Computer Equipment 5 yr</v>
      </c>
      <c r="B272" s="1410" t="s">
        <v>1512</v>
      </c>
      <c r="C272" s="1642" t="s">
        <v>107</v>
      </c>
      <c r="D272" s="1643" t="s">
        <v>1934</v>
      </c>
      <c r="E272" s="1642">
        <v>391.2</v>
      </c>
      <c r="F272" s="1642" t="s">
        <v>1827</v>
      </c>
      <c r="G272" s="1726">
        <v>-2018384.8800000004</v>
      </c>
      <c r="H272" s="1726">
        <v>118985.19000000006</v>
      </c>
      <c r="I272" s="1726">
        <v>-2137370.0700000003</v>
      </c>
      <c r="J272" s="1726">
        <v>70867</v>
      </c>
      <c r="K272" s="719">
        <v>-1764187.5400000005</v>
      </c>
      <c r="L272" s="719">
        <v>302315.53000000003</v>
      </c>
      <c r="M272" s="719">
        <v>-2066503.0700000005</v>
      </c>
      <c r="N272" s="719">
        <v>61627.9</v>
      </c>
      <c r="W272" s="1766"/>
      <c r="X272" s="1642"/>
      <c r="Y272" s="284"/>
      <c r="Z272" s="284"/>
    </row>
    <row r="273" spans="1:26" s="1650" customFormat="1" ht="15.75" customHeight="1" outlineLevel="1">
      <c r="A273" s="1649" t="str">
        <f t="shared" si="18"/>
        <v>MASSENA - MARCY  (Clark)391.3Computer Equipment 10 yr</v>
      </c>
      <c r="B273" s="1410" t="s">
        <v>1513</v>
      </c>
      <c r="C273" s="1642" t="s">
        <v>107</v>
      </c>
      <c r="D273" s="1643" t="s">
        <v>1934</v>
      </c>
      <c r="E273" s="1642">
        <v>391.3</v>
      </c>
      <c r="F273" s="1642" t="s">
        <v>1828</v>
      </c>
      <c r="G273" s="1726">
        <v>7944330.3400000008</v>
      </c>
      <c r="H273" s="1726">
        <v>2337378.3500000006</v>
      </c>
      <c r="I273" s="1726">
        <v>5606951.9900000002</v>
      </c>
      <c r="J273" s="1726">
        <v>932064</v>
      </c>
      <c r="K273" s="719">
        <v>8416127.0600000005</v>
      </c>
      <c r="L273" s="719">
        <v>1877111.07</v>
      </c>
      <c r="M273" s="719">
        <v>6539015.9900000002</v>
      </c>
      <c r="N273" s="719">
        <v>762051</v>
      </c>
      <c r="W273" s="1766"/>
      <c r="X273" s="1642"/>
      <c r="Y273" s="284"/>
      <c r="Z273" s="284"/>
    </row>
    <row r="274" spans="1:26" s="284" customFormat="1" ht="15.75" customHeight="1" outlineLevel="1">
      <c r="A274" s="1289" t="str">
        <f t="shared" si="18"/>
        <v>MASSENA - MARCY  (Clark)392Transportation Equipment</v>
      </c>
      <c r="B274" s="1410" t="s">
        <v>1514</v>
      </c>
      <c r="C274" s="1642" t="s">
        <v>107</v>
      </c>
      <c r="D274" s="1643" t="s">
        <v>1934</v>
      </c>
      <c r="E274" s="1642">
        <v>392</v>
      </c>
      <c r="F274" s="1642" t="s">
        <v>77</v>
      </c>
      <c r="G274" s="1726">
        <v>6671114.3100000005</v>
      </c>
      <c r="H274" s="1726">
        <v>5164100.04</v>
      </c>
      <c r="I274" s="1726">
        <v>1507014.2700000005</v>
      </c>
      <c r="J274" s="1726">
        <v>348841.64</v>
      </c>
      <c r="K274" s="719">
        <v>6573226.1500000022</v>
      </c>
      <c r="L274" s="719">
        <v>5747834.8800000008</v>
      </c>
      <c r="M274" s="719">
        <v>825391.27000000142</v>
      </c>
      <c r="N274" s="719">
        <v>352916.11</v>
      </c>
      <c r="W274" s="1766"/>
      <c r="X274" s="1642"/>
    </row>
    <row r="275" spans="1:26" s="284" customFormat="1" ht="15.75" customHeight="1" outlineLevel="1">
      <c r="A275" s="1289" t="str">
        <f t="shared" si="18"/>
        <v>MASSENA - MARCY  (Clark)393Stores Equipment</v>
      </c>
      <c r="B275" s="1410" t="s">
        <v>1515</v>
      </c>
      <c r="C275" s="1642" t="s">
        <v>107</v>
      </c>
      <c r="D275" s="1643" t="s">
        <v>1934</v>
      </c>
      <c r="E275" s="1642">
        <v>393</v>
      </c>
      <c r="F275" s="1642" t="s">
        <v>78</v>
      </c>
      <c r="G275" s="1726">
        <v>299434.21999999997</v>
      </c>
      <c r="H275" s="1726">
        <v>177493.69</v>
      </c>
      <c r="I275" s="1726">
        <v>121940.52999999997</v>
      </c>
      <c r="J275" s="1726">
        <v>9904</v>
      </c>
      <c r="K275" s="719">
        <v>299434.21999999997</v>
      </c>
      <c r="L275" s="719">
        <v>167589.69</v>
      </c>
      <c r="M275" s="719">
        <v>131844.52999999997</v>
      </c>
      <c r="N275" s="719">
        <v>11331</v>
      </c>
      <c r="W275" s="1766"/>
      <c r="X275" s="1642"/>
    </row>
    <row r="276" spans="1:26" s="284" customFormat="1" ht="15.75" customHeight="1" outlineLevel="1">
      <c r="A276" s="1289" t="str">
        <f t="shared" si="18"/>
        <v>MASSENA - MARCY  (Clark)394Tools, Shop &amp; Garage Equipment</v>
      </c>
      <c r="B276" s="1410" t="s">
        <v>1516</v>
      </c>
      <c r="C276" s="1642" t="s">
        <v>107</v>
      </c>
      <c r="D276" s="1643" t="s">
        <v>1934</v>
      </c>
      <c r="E276" s="1642">
        <v>394</v>
      </c>
      <c r="F276" s="1642" t="s">
        <v>79</v>
      </c>
      <c r="G276" s="1726">
        <v>531850.80000000005</v>
      </c>
      <c r="H276" s="1726">
        <v>247012.80999999988</v>
      </c>
      <c r="I276" s="1726">
        <v>284837.99000000017</v>
      </c>
      <c r="J276" s="1726">
        <v>18611.439999999999</v>
      </c>
      <c r="K276" s="719">
        <v>382817.36</v>
      </c>
      <c r="L276" s="719">
        <v>228401.36999999988</v>
      </c>
      <c r="M276" s="719">
        <v>154415.99000000011</v>
      </c>
      <c r="N276" s="719">
        <v>14427.83</v>
      </c>
      <c r="W276" s="1766"/>
      <c r="X276" s="1642"/>
    </row>
    <row r="277" spans="1:26" s="284" customFormat="1" ht="15.75" customHeight="1" outlineLevel="1">
      <c r="A277" s="1289" t="str">
        <f t="shared" si="18"/>
        <v>MASSENA - MARCY  (Clark)395Laboratory Equipment</v>
      </c>
      <c r="B277" s="1410" t="s">
        <v>1517</v>
      </c>
      <c r="C277" s="1642" t="s">
        <v>107</v>
      </c>
      <c r="D277" s="1643" t="s">
        <v>1934</v>
      </c>
      <c r="E277" s="1642">
        <v>395</v>
      </c>
      <c r="F277" s="1642" t="s">
        <v>80</v>
      </c>
      <c r="G277" s="1726">
        <v>498943.44000000018</v>
      </c>
      <c r="H277" s="1726">
        <v>184494.59000000011</v>
      </c>
      <c r="I277" s="1726">
        <v>314448.85000000009</v>
      </c>
      <c r="J277" s="1726">
        <v>18769.099999999999</v>
      </c>
      <c r="K277" s="719">
        <v>478961.3400000002</v>
      </c>
      <c r="L277" s="719">
        <v>165725.49000000011</v>
      </c>
      <c r="M277" s="719">
        <v>313235.85000000009</v>
      </c>
      <c r="N277" s="719">
        <v>17851.059999999998</v>
      </c>
      <c r="W277" s="1766"/>
      <c r="X277" s="1642"/>
    </row>
    <row r="278" spans="1:26" s="284" customFormat="1" ht="15.75" customHeight="1" outlineLevel="1">
      <c r="A278" s="1289" t="str">
        <f t="shared" si="18"/>
        <v>MASSENA - MARCY  (Clark)396Power Operated Equipment</v>
      </c>
      <c r="B278" s="1410" t="s">
        <v>1518</v>
      </c>
      <c r="C278" s="1642" t="s">
        <v>107</v>
      </c>
      <c r="D278" s="1643" t="s">
        <v>1934</v>
      </c>
      <c r="E278" s="1642">
        <v>396</v>
      </c>
      <c r="F278" s="1642" t="s">
        <v>81</v>
      </c>
      <c r="G278" s="1726">
        <v>2920494.0099999988</v>
      </c>
      <c r="H278" s="1726">
        <v>2374594.67</v>
      </c>
      <c r="I278" s="1726">
        <v>545899.33999999892</v>
      </c>
      <c r="J278" s="1726">
        <v>208585.08</v>
      </c>
      <c r="K278" s="719">
        <v>3639713.5899999989</v>
      </c>
      <c r="L278" s="719">
        <v>3052126.25</v>
      </c>
      <c r="M278" s="719">
        <v>587587.33999999892</v>
      </c>
      <c r="N278" s="719">
        <v>221462.16</v>
      </c>
      <c r="W278" s="1766"/>
      <c r="X278" s="1642"/>
    </row>
    <row r="279" spans="1:26" s="284" customFormat="1" ht="15.75" customHeight="1" outlineLevel="1">
      <c r="A279" s="1289" t="str">
        <f t="shared" si="18"/>
        <v>MASSENA - MARCY  (Clark)397Communication Equipment</v>
      </c>
      <c r="B279" s="1410" t="s">
        <v>1519</v>
      </c>
      <c r="C279" s="1642" t="s">
        <v>107</v>
      </c>
      <c r="D279" s="1643" t="s">
        <v>1934</v>
      </c>
      <c r="E279" s="1642">
        <v>397</v>
      </c>
      <c r="F279" s="1642" t="s">
        <v>82</v>
      </c>
      <c r="G279" s="1726">
        <v>64570.209999999963</v>
      </c>
      <c r="H279" s="1726">
        <v>25466.209999999963</v>
      </c>
      <c r="I279" s="1726">
        <v>39104</v>
      </c>
      <c r="J279" s="1726">
        <v>4305</v>
      </c>
      <c r="K279" s="719">
        <v>115079.70999999996</v>
      </c>
      <c r="L279" s="719">
        <v>71670.709999999963</v>
      </c>
      <c r="M279" s="719">
        <v>43409</v>
      </c>
      <c r="N279" s="719">
        <v>4739.21</v>
      </c>
      <c r="W279" s="1766"/>
      <c r="X279" s="1642"/>
    </row>
    <row r="280" spans="1:26" s="284" customFormat="1" ht="15.75" customHeight="1" outlineLevel="1">
      <c r="A280" s="1289" t="str">
        <f t="shared" ref="A280:A343" si="21">CONCATENATE(D280,E280,F280)</f>
        <v>MASSENA - MARCY  (Clark)398Miscellaneous Equipment</v>
      </c>
      <c r="B280" s="1410" t="s">
        <v>1520</v>
      </c>
      <c r="C280" s="1642" t="s">
        <v>107</v>
      </c>
      <c r="D280" s="1643" t="s">
        <v>1934</v>
      </c>
      <c r="E280" s="1642">
        <v>398</v>
      </c>
      <c r="F280" s="1642" t="s">
        <v>83</v>
      </c>
      <c r="G280" s="1726">
        <v>30777.380000000121</v>
      </c>
      <c r="H280" s="1726">
        <v>32087.49</v>
      </c>
      <c r="I280" s="1726">
        <v>-1310.1099999998805</v>
      </c>
      <c r="J280" s="1726">
        <v>1310</v>
      </c>
      <c r="K280" s="719">
        <v>16304.380000000121</v>
      </c>
      <c r="L280" s="719">
        <v>-78825.619999999879</v>
      </c>
      <c r="M280" s="719">
        <v>95130</v>
      </c>
      <c r="N280" s="719">
        <v>525.54</v>
      </c>
      <c r="W280" s="1766"/>
      <c r="X280" s="1642"/>
    </row>
    <row r="281" spans="1:26" s="284" customFormat="1" ht="15.75" customHeight="1" outlineLevel="1">
      <c r="A281" s="1289" t="str">
        <f t="shared" si="21"/>
        <v>NIAGARA390Structures &amp; Improvements</v>
      </c>
      <c r="B281" s="1410" t="s">
        <v>1521</v>
      </c>
      <c r="C281" s="1642" t="s">
        <v>107</v>
      </c>
      <c r="D281" s="1643" t="s">
        <v>30</v>
      </c>
      <c r="E281" s="1642">
        <v>390</v>
      </c>
      <c r="F281" s="1642" t="s">
        <v>69</v>
      </c>
      <c r="G281" s="1726">
        <v>45693010.719999999</v>
      </c>
      <c r="H281" s="1726">
        <v>21639017.669999998</v>
      </c>
      <c r="I281" s="1726">
        <v>24053993.050000001</v>
      </c>
      <c r="J281" s="1726">
        <v>616970.93000000005</v>
      </c>
      <c r="K281" s="719">
        <v>47959692.859999999</v>
      </c>
      <c r="L281" s="719">
        <v>21022046.739999998</v>
      </c>
      <c r="M281" s="719">
        <v>26937646.120000001</v>
      </c>
      <c r="N281" s="719">
        <v>782747.49</v>
      </c>
      <c r="W281" s="1766"/>
      <c r="X281" s="1642"/>
    </row>
    <row r="282" spans="1:26" s="284" customFormat="1" ht="15.75" customHeight="1" outlineLevel="1">
      <c r="A282" s="1289" t="str">
        <f t="shared" si="21"/>
        <v>NIAGARA391Office Furniture &amp; Equipment</v>
      </c>
      <c r="B282" s="1410" t="s">
        <v>1522</v>
      </c>
      <c r="C282" s="1642" t="s">
        <v>107</v>
      </c>
      <c r="D282" s="1643" t="s">
        <v>30</v>
      </c>
      <c r="E282" s="1642">
        <v>391</v>
      </c>
      <c r="F282" s="1642" t="s">
        <v>76</v>
      </c>
      <c r="G282" s="1726">
        <v>2104.6499999999069</v>
      </c>
      <c r="H282" s="1726">
        <v>5599.2799999995914</v>
      </c>
      <c r="I282" s="1726">
        <v>-3494.6299999996845</v>
      </c>
      <c r="J282" s="1726">
        <v>117</v>
      </c>
      <c r="K282" s="719">
        <v>14894.649999999907</v>
      </c>
      <c r="L282" s="719">
        <v>18272.279999999591</v>
      </c>
      <c r="M282" s="719">
        <v>-3377.6299999996845</v>
      </c>
      <c r="N282" s="719">
        <v>7301</v>
      </c>
      <c r="W282" s="1766"/>
      <c r="X282" s="1642"/>
    </row>
    <row r="283" spans="1:26" s="1650" customFormat="1" ht="15.75" customHeight="1" outlineLevel="1">
      <c r="A283" s="1649" t="str">
        <f t="shared" si="21"/>
        <v>NIAGARA391.2Computer Equipment 5 yr</v>
      </c>
      <c r="B283" s="1410" t="s">
        <v>1523</v>
      </c>
      <c r="C283" s="1642" t="s">
        <v>107</v>
      </c>
      <c r="D283" s="1643" t="s">
        <v>30</v>
      </c>
      <c r="E283" s="1642">
        <v>391.2</v>
      </c>
      <c r="F283" s="1642" t="s">
        <v>1827</v>
      </c>
      <c r="G283" s="1726">
        <v>239453.2</v>
      </c>
      <c r="H283" s="1726">
        <v>117063.40000000001</v>
      </c>
      <c r="I283" s="1726">
        <v>122389.8</v>
      </c>
      <c r="J283" s="1726">
        <v>49268</v>
      </c>
      <c r="K283" s="719">
        <v>286222.62</v>
      </c>
      <c r="L283" s="719">
        <v>114564.82</v>
      </c>
      <c r="M283" s="719">
        <v>171657.8</v>
      </c>
      <c r="N283" s="719">
        <v>37161.79</v>
      </c>
      <c r="W283" s="1766"/>
      <c r="X283" s="1642"/>
      <c r="Y283" s="284"/>
      <c r="Z283" s="284"/>
    </row>
    <row r="284" spans="1:26" s="1650" customFormat="1" ht="15.75" customHeight="1" outlineLevel="1">
      <c r="A284" s="1649" t="str">
        <f t="shared" si="21"/>
        <v>NIAGARA391.3Computer Equipment 10 yr</v>
      </c>
      <c r="B284" s="1410" t="s">
        <v>1524</v>
      </c>
      <c r="C284" s="1642" t="s">
        <v>107</v>
      </c>
      <c r="D284" s="1643" t="s">
        <v>30</v>
      </c>
      <c r="E284" s="1642">
        <v>391.3</v>
      </c>
      <c r="F284" s="1642" t="s">
        <v>1828</v>
      </c>
      <c r="G284" s="1726">
        <v>1619106.35</v>
      </c>
      <c r="H284" s="1726">
        <v>13495.35</v>
      </c>
      <c r="I284" s="1726">
        <v>1605611</v>
      </c>
      <c r="J284" s="1726">
        <v>13495.35</v>
      </c>
      <c r="K284" s="719">
        <v>0</v>
      </c>
      <c r="L284" s="719">
        <v>0</v>
      </c>
      <c r="M284" s="719">
        <v>0</v>
      </c>
      <c r="N284" s="719">
        <v>0</v>
      </c>
      <c r="W284" s="1766"/>
      <c r="X284" s="1642"/>
      <c r="Y284" s="284"/>
      <c r="Z284" s="284"/>
    </row>
    <row r="285" spans="1:26" s="284" customFormat="1" ht="15.75" customHeight="1" outlineLevel="1">
      <c r="A285" s="1289" t="str">
        <f t="shared" si="21"/>
        <v>NIAGARA392Transportation Equipment</v>
      </c>
      <c r="B285" s="1410" t="s">
        <v>1525</v>
      </c>
      <c r="C285" s="1642" t="s">
        <v>107</v>
      </c>
      <c r="D285" s="1643" t="s">
        <v>30</v>
      </c>
      <c r="E285" s="1642">
        <v>392</v>
      </c>
      <c r="F285" s="1642" t="s">
        <v>77</v>
      </c>
      <c r="G285" s="1726">
        <v>9375169.959999999</v>
      </c>
      <c r="H285" s="1726">
        <v>8338985.4100000011</v>
      </c>
      <c r="I285" s="1726">
        <v>1036184.549999998</v>
      </c>
      <c r="J285" s="1726">
        <v>296832.73</v>
      </c>
      <c r="K285" s="719">
        <v>8832846.5599999987</v>
      </c>
      <c r="L285" s="719">
        <v>8063209.6499999994</v>
      </c>
      <c r="M285" s="719">
        <v>769636.90999999922</v>
      </c>
      <c r="N285" s="719">
        <v>326506.38</v>
      </c>
      <c r="W285" s="1766"/>
      <c r="X285" s="1642"/>
    </row>
    <row r="286" spans="1:26" s="284" customFormat="1" ht="15.75" customHeight="1" outlineLevel="1">
      <c r="A286" s="1289" t="str">
        <f t="shared" si="21"/>
        <v>NIAGARA393Stores Equipment</v>
      </c>
      <c r="B286" s="1410" t="s">
        <v>1526</v>
      </c>
      <c r="C286" s="1642" t="s">
        <v>107</v>
      </c>
      <c r="D286" s="1643" t="s">
        <v>30</v>
      </c>
      <c r="E286" s="1642">
        <v>393</v>
      </c>
      <c r="F286" s="1642" t="s">
        <v>78</v>
      </c>
      <c r="G286" s="1726">
        <v>0</v>
      </c>
      <c r="H286" s="1726">
        <v>0</v>
      </c>
      <c r="I286" s="1726">
        <v>0</v>
      </c>
      <c r="J286" s="1726">
        <v>0</v>
      </c>
      <c r="K286" s="719">
        <v>0</v>
      </c>
      <c r="L286" s="719">
        <v>0</v>
      </c>
      <c r="M286" s="719">
        <v>0</v>
      </c>
      <c r="N286" s="719">
        <v>0</v>
      </c>
      <c r="W286" s="1766"/>
      <c r="X286" s="1642"/>
    </row>
    <row r="287" spans="1:26" s="284" customFormat="1" ht="15.75" customHeight="1" outlineLevel="1">
      <c r="A287" s="1289" t="str">
        <f t="shared" si="21"/>
        <v>NIAGARA394Tools, Shop &amp; Garage Equipment</v>
      </c>
      <c r="B287" s="1410" t="s">
        <v>1527</v>
      </c>
      <c r="C287" s="1642" t="s">
        <v>107</v>
      </c>
      <c r="D287" s="1643" t="s">
        <v>30</v>
      </c>
      <c r="E287" s="1642">
        <v>394</v>
      </c>
      <c r="F287" s="1642" t="s">
        <v>79</v>
      </c>
      <c r="G287" s="1726">
        <v>4450875.3999999994</v>
      </c>
      <c r="H287" s="1726">
        <v>3797842.8100000005</v>
      </c>
      <c r="I287" s="1726">
        <v>653032.58999999892</v>
      </c>
      <c r="J287" s="1726">
        <v>264240.53999999998</v>
      </c>
      <c r="K287" s="719">
        <v>4282144.4499999993</v>
      </c>
      <c r="L287" s="719">
        <v>3533602.2700000005</v>
      </c>
      <c r="M287" s="719">
        <v>748542.17999999877</v>
      </c>
      <c r="N287" s="719">
        <v>245858.06</v>
      </c>
      <c r="W287" s="1766"/>
      <c r="X287" s="1642"/>
    </row>
    <row r="288" spans="1:26" s="284" customFormat="1" ht="15.75" customHeight="1" outlineLevel="1">
      <c r="A288" s="1289" t="str">
        <f t="shared" si="21"/>
        <v>NIAGARA395Laboratory Equipment</v>
      </c>
      <c r="B288" s="1410" t="s">
        <v>1528</v>
      </c>
      <c r="C288" s="1642" t="s">
        <v>107</v>
      </c>
      <c r="D288" s="1643" t="s">
        <v>30</v>
      </c>
      <c r="E288" s="1642">
        <v>395</v>
      </c>
      <c r="F288" s="1642" t="s">
        <v>80</v>
      </c>
      <c r="G288" s="1726">
        <v>664644.33000000007</v>
      </c>
      <c r="H288" s="1726">
        <v>282044.37000000011</v>
      </c>
      <c r="I288" s="1726">
        <v>382599.95999999996</v>
      </c>
      <c r="J288" s="1726">
        <v>26322</v>
      </c>
      <c r="K288" s="719">
        <v>659719.33000000007</v>
      </c>
      <c r="L288" s="719">
        <v>255722.37000000011</v>
      </c>
      <c r="M288" s="719">
        <v>403996.95999999996</v>
      </c>
      <c r="N288" s="719">
        <v>30529</v>
      </c>
      <c r="W288" s="1766"/>
      <c r="X288" s="1642"/>
    </row>
    <row r="289" spans="1:26" s="284" customFormat="1" ht="15.75" customHeight="1" outlineLevel="1">
      <c r="A289" s="1289" t="str">
        <f t="shared" si="21"/>
        <v>NIAGARA396Power Operated Equipment</v>
      </c>
      <c r="B289" s="1410" t="s">
        <v>1529</v>
      </c>
      <c r="C289" s="1642" t="s">
        <v>107</v>
      </c>
      <c r="D289" s="1643" t="s">
        <v>30</v>
      </c>
      <c r="E289" s="1642">
        <v>396</v>
      </c>
      <c r="F289" s="1642" t="s">
        <v>81</v>
      </c>
      <c r="G289" s="1726">
        <v>4617157.5999999996</v>
      </c>
      <c r="H289" s="1726">
        <v>3155848.8200000003</v>
      </c>
      <c r="I289" s="1726">
        <v>1461308.7799999993</v>
      </c>
      <c r="J289" s="1726">
        <v>303410.58</v>
      </c>
      <c r="K289" s="719">
        <v>4513831.0199999996</v>
      </c>
      <c r="L289" s="719">
        <v>2874132.24</v>
      </c>
      <c r="M289" s="719">
        <v>1639698.7799999993</v>
      </c>
      <c r="N289" s="719">
        <v>331417.76</v>
      </c>
      <c r="W289" s="1766"/>
      <c r="X289" s="1642"/>
    </row>
    <row r="290" spans="1:26" s="284" customFormat="1" ht="15.75" customHeight="1" outlineLevel="1">
      <c r="A290" s="1289" t="str">
        <f t="shared" si="21"/>
        <v>NIAGARA397Communication Equipment</v>
      </c>
      <c r="B290" s="1410" t="s">
        <v>1530</v>
      </c>
      <c r="C290" s="1642" t="s">
        <v>107</v>
      </c>
      <c r="D290" s="1643" t="s">
        <v>30</v>
      </c>
      <c r="E290" s="1642">
        <v>397</v>
      </c>
      <c r="F290" s="1642" t="s">
        <v>82</v>
      </c>
      <c r="G290" s="1726">
        <v>3722685.7400000012</v>
      </c>
      <c r="H290" s="1726">
        <v>809053.73999999906</v>
      </c>
      <c r="I290" s="1726">
        <v>2913632.0000000019</v>
      </c>
      <c r="J290" s="1726">
        <v>247676.08</v>
      </c>
      <c r="K290" s="719">
        <v>3754993.540000001</v>
      </c>
      <c r="L290" s="719">
        <v>601948.53999999911</v>
      </c>
      <c r="M290" s="719">
        <v>3153045.0000000019</v>
      </c>
      <c r="N290" s="719">
        <v>244739.44</v>
      </c>
      <c r="W290" s="1766"/>
      <c r="X290" s="1642"/>
    </row>
    <row r="291" spans="1:26" s="284" customFormat="1" ht="15.75" customHeight="1" outlineLevel="1">
      <c r="A291" s="1289" t="str">
        <f t="shared" si="21"/>
        <v>NIAGARA398Miscellaneous Equipment</v>
      </c>
      <c r="B291" s="1410" t="s">
        <v>1531</v>
      </c>
      <c r="C291" s="1642" t="s">
        <v>107</v>
      </c>
      <c r="D291" s="1643" t="s">
        <v>30</v>
      </c>
      <c r="E291" s="1642">
        <v>398</v>
      </c>
      <c r="F291" s="1642" t="s">
        <v>83</v>
      </c>
      <c r="G291" s="1726">
        <v>478218339.67000002</v>
      </c>
      <c r="H291" s="1726">
        <v>118193093.24999999</v>
      </c>
      <c r="I291" s="1726">
        <v>360025246.42000002</v>
      </c>
      <c r="J291" s="1726">
        <v>10261460.65</v>
      </c>
      <c r="K291" s="719">
        <v>477145874.02000004</v>
      </c>
      <c r="L291" s="719">
        <v>107931632.59999998</v>
      </c>
      <c r="M291" s="719">
        <v>369214241.42000008</v>
      </c>
      <c r="N291" s="719">
        <v>10229614.18</v>
      </c>
      <c r="W291" s="1766"/>
      <c r="X291" s="1642"/>
    </row>
    <row r="292" spans="1:26" s="284" customFormat="1" ht="15.75" customHeight="1" outlineLevel="1">
      <c r="A292" s="1289" t="str">
        <f t="shared" si="21"/>
        <v>NIAGARA399Other Tangible Property</v>
      </c>
      <c r="B292" s="1410" t="s">
        <v>1532</v>
      </c>
      <c r="C292" s="1642" t="s">
        <v>107</v>
      </c>
      <c r="D292" s="1643" t="s">
        <v>30</v>
      </c>
      <c r="E292" s="1642">
        <v>399</v>
      </c>
      <c r="F292" s="1642" t="s">
        <v>84</v>
      </c>
      <c r="G292" s="1726">
        <v>3201209</v>
      </c>
      <c r="H292" s="1726">
        <v>1864465</v>
      </c>
      <c r="I292" s="1726">
        <v>1336744</v>
      </c>
      <c r="J292" s="1726">
        <v>42683</v>
      </c>
      <c r="K292" s="719">
        <v>3201209</v>
      </c>
      <c r="L292" s="719">
        <v>1821782</v>
      </c>
      <c r="M292" s="719">
        <v>1379427</v>
      </c>
      <c r="N292" s="719">
        <v>42683</v>
      </c>
      <c r="W292" s="1766"/>
      <c r="X292" s="1642"/>
    </row>
    <row r="293" spans="1:26" s="284" customFormat="1" ht="15.75" customHeight="1" outlineLevel="1">
      <c r="A293" s="1289" t="str">
        <f t="shared" si="21"/>
        <v>St.  LAWRENCE / FDR390Structures &amp; Improvements</v>
      </c>
      <c r="B293" s="1410" t="s">
        <v>1533</v>
      </c>
      <c r="C293" s="1642" t="s">
        <v>107</v>
      </c>
      <c r="D293" s="1643" t="s">
        <v>1935</v>
      </c>
      <c r="E293" s="1642">
        <v>390</v>
      </c>
      <c r="F293" s="1642" t="s">
        <v>69</v>
      </c>
      <c r="G293" s="1726">
        <v>32700066.930000003</v>
      </c>
      <c r="H293" s="1726">
        <v>7634518.6000000006</v>
      </c>
      <c r="I293" s="1726">
        <v>25065548.330000002</v>
      </c>
      <c r="J293" s="1726">
        <v>440093</v>
      </c>
      <c r="K293" s="719">
        <v>32698566.930000003</v>
      </c>
      <c r="L293" s="719">
        <v>7194425.6000000006</v>
      </c>
      <c r="M293" s="719">
        <v>25504141.330000002</v>
      </c>
      <c r="N293" s="719">
        <v>502386.22000000003</v>
      </c>
      <c r="W293" s="1766"/>
      <c r="X293" s="1642"/>
    </row>
    <row r="294" spans="1:26" s="284" customFormat="1" ht="15.75" customHeight="1" outlineLevel="1">
      <c r="A294" s="1289" t="str">
        <f t="shared" si="21"/>
        <v>St.  LAWRENCE / FDR391Office Furniture &amp; Equipment</v>
      </c>
      <c r="B294" s="1410" t="s">
        <v>1534</v>
      </c>
      <c r="C294" s="1642" t="s">
        <v>107</v>
      </c>
      <c r="D294" s="1643" t="s">
        <v>1935</v>
      </c>
      <c r="E294" s="1642">
        <v>391</v>
      </c>
      <c r="F294" s="1642" t="s">
        <v>76</v>
      </c>
      <c r="G294" s="1726">
        <v>54062.480000000913</v>
      </c>
      <c r="H294" s="1726">
        <v>34452</v>
      </c>
      <c r="I294" s="1726">
        <v>19610.480000000913</v>
      </c>
      <c r="J294" s="1726">
        <v>2766</v>
      </c>
      <c r="K294" s="719">
        <v>52846.480000000913</v>
      </c>
      <c r="L294" s="719">
        <v>-11372.790000000503</v>
      </c>
      <c r="M294" s="719">
        <v>64219.270000001416</v>
      </c>
      <c r="N294" s="719">
        <v>413291.93</v>
      </c>
      <c r="W294" s="1766"/>
      <c r="X294" s="1642"/>
    </row>
    <row r="295" spans="1:26" s="1650" customFormat="1" ht="15.75" customHeight="1" outlineLevel="1">
      <c r="A295" s="1649" t="str">
        <f t="shared" si="21"/>
        <v>St.  LAWRENCE / FDR391.2Computer Equipment 5 yr</v>
      </c>
      <c r="B295" s="1410" t="s">
        <v>1535</v>
      </c>
      <c r="C295" s="1642" t="s">
        <v>107</v>
      </c>
      <c r="D295" s="1643" t="s">
        <v>1935</v>
      </c>
      <c r="E295" s="1642">
        <v>391.2</v>
      </c>
      <c r="F295" s="1642" t="s">
        <v>1827</v>
      </c>
      <c r="G295" s="1726">
        <v>267887.71000000002</v>
      </c>
      <c r="H295" s="1726">
        <v>128562.23000000003</v>
      </c>
      <c r="I295" s="1726">
        <v>139325.47999999998</v>
      </c>
      <c r="J295" s="1726">
        <v>60748</v>
      </c>
      <c r="K295" s="719">
        <v>330309.86</v>
      </c>
      <c r="L295" s="719">
        <v>130236.38</v>
      </c>
      <c r="M295" s="719">
        <v>200073.47999999998</v>
      </c>
      <c r="N295" s="719">
        <v>49390.9</v>
      </c>
      <c r="W295" s="1766"/>
      <c r="X295" s="1642"/>
      <c r="Y295" s="284"/>
      <c r="Z295" s="284"/>
    </row>
    <row r="296" spans="1:26" s="1650" customFormat="1" ht="15.75" customHeight="1" outlineLevel="1">
      <c r="A296" s="1649" t="str">
        <f t="shared" si="21"/>
        <v>St.  LAWRENCE / FDR391.3Computer Equipment 10 yr</v>
      </c>
      <c r="B296" s="1410" t="s">
        <v>1536</v>
      </c>
      <c r="C296" s="1642" t="s">
        <v>107</v>
      </c>
      <c r="D296" s="1643" t="s">
        <v>1935</v>
      </c>
      <c r="E296" s="1642">
        <v>391.3</v>
      </c>
      <c r="F296" s="1642" t="s">
        <v>1828</v>
      </c>
      <c r="G296" s="1726">
        <v>8090226.9900000002</v>
      </c>
      <c r="H296" s="1726">
        <v>4798808.99</v>
      </c>
      <c r="I296" s="1726">
        <v>3291418</v>
      </c>
      <c r="J296" s="1726">
        <v>809023</v>
      </c>
      <c r="K296" s="719">
        <v>8090226.9900000002</v>
      </c>
      <c r="L296" s="719">
        <v>3989785.99</v>
      </c>
      <c r="M296" s="719">
        <v>4100441</v>
      </c>
      <c r="N296" s="719">
        <v>606768</v>
      </c>
      <c r="W296" s="1766"/>
      <c r="X296" s="1642"/>
      <c r="Y296" s="284"/>
      <c r="Z296" s="284"/>
    </row>
    <row r="297" spans="1:26" s="284" customFormat="1" ht="15.75" customHeight="1" outlineLevel="1">
      <c r="A297" s="1289" t="str">
        <f t="shared" si="21"/>
        <v>St.  LAWRENCE / FDR392Transportation Equipment</v>
      </c>
      <c r="B297" s="1410" t="s">
        <v>1537</v>
      </c>
      <c r="C297" s="1642" t="s">
        <v>107</v>
      </c>
      <c r="D297" s="1643" t="s">
        <v>1935</v>
      </c>
      <c r="E297" s="1642">
        <v>392</v>
      </c>
      <c r="F297" s="1642" t="s">
        <v>77</v>
      </c>
      <c r="G297" s="1726">
        <v>14148731.690000001</v>
      </c>
      <c r="H297" s="1726">
        <v>11407826.630000001</v>
      </c>
      <c r="I297" s="1726">
        <v>2740905.0600000005</v>
      </c>
      <c r="J297" s="1726">
        <v>795734.63</v>
      </c>
      <c r="K297" s="719">
        <v>13451935.23</v>
      </c>
      <c r="L297" s="719">
        <v>10935538.459999997</v>
      </c>
      <c r="M297" s="719">
        <v>2516396.7700000023</v>
      </c>
      <c r="N297" s="719">
        <v>787453.59</v>
      </c>
      <c r="W297" s="1766"/>
      <c r="X297" s="1642"/>
    </row>
    <row r="298" spans="1:26" s="284" customFormat="1" ht="15.75" customHeight="1" outlineLevel="1">
      <c r="A298" s="1289" t="str">
        <f t="shared" si="21"/>
        <v>St.  LAWRENCE / FDR393Stores Equipment</v>
      </c>
      <c r="B298" s="1410" t="s">
        <v>1538</v>
      </c>
      <c r="C298" s="1642" t="s">
        <v>107</v>
      </c>
      <c r="D298" s="1643" t="s">
        <v>1935</v>
      </c>
      <c r="E298" s="1642">
        <v>393</v>
      </c>
      <c r="F298" s="1642" t="s">
        <v>78</v>
      </c>
      <c r="G298" s="1726">
        <v>260677.87</v>
      </c>
      <c r="H298" s="1726">
        <v>163658.37</v>
      </c>
      <c r="I298" s="1726">
        <v>97019.5</v>
      </c>
      <c r="J298" s="1726">
        <v>9237</v>
      </c>
      <c r="K298" s="719">
        <v>260227.87</v>
      </c>
      <c r="L298" s="719">
        <v>154421.37</v>
      </c>
      <c r="M298" s="719">
        <v>105806.5</v>
      </c>
      <c r="N298" s="719">
        <v>8437</v>
      </c>
      <c r="W298" s="1766"/>
      <c r="X298" s="1642"/>
    </row>
    <row r="299" spans="1:26" s="284" customFormat="1" ht="15.75" customHeight="1" outlineLevel="1">
      <c r="A299" s="1289" t="str">
        <f t="shared" si="21"/>
        <v>St.  LAWRENCE / FDR394Tools, Shop &amp; Garage Equipment</v>
      </c>
      <c r="B299" s="1410" t="s">
        <v>1539</v>
      </c>
      <c r="C299" s="1642" t="s">
        <v>107</v>
      </c>
      <c r="D299" s="1643" t="s">
        <v>1935</v>
      </c>
      <c r="E299" s="1642">
        <v>394</v>
      </c>
      <c r="F299" s="1642" t="s">
        <v>79</v>
      </c>
      <c r="G299" s="1726">
        <v>6752779.5000000009</v>
      </c>
      <c r="H299" s="1726">
        <v>4222812.66</v>
      </c>
      <c r="I299" s="1726">
        <v>2529966.8400000008</v>
      </c>
      <c r="J299" s="1726">
        <v>447749.31</v>
      </c>
      <c r="K299" s="719">
        <v>6148294.6000000006</v>
      </c>
      <c r="L299" s="719">
        <v>3775063.35</v>
      </c>
      <c r="M299" s="719">
        <v>2373231.2500000005</v>
      </c>
      <c r="N299" s="719">
        <v>370554.37</v>
      </c>
      <c r="W299" s="1766"/>
      <c r="X299" s="1642"/>
    </row>
    <row r="300" spans="1:26" s="284" customFormat="1" ht="15.75" customHeight="1" outlineLevel="1">
      <c r="A300" s="1289" t="str">
        <f t="shared" si="21"/>
        <v>St.  LAWRENCE / FDR395Laboratory Equipment</v>
      </c>
      <c r="B300" s="1410" t="s">
        <v>1540</v>
      </c>
      <c r="C300" s="1642" t="s">
        <v>107</v>
      </c>
      <c r="D300" s="1643" t="s">
        <v>1935</v>
      </c>
      <c r="E300" s="1642">
        <v>395</v>
      </c>
      <c r="F300" s="1642" t="s">
        <v>80</v>
      </c>
      <c r="G300" s="1726">
        <v>2296719.23</v>
      </c>
      <c r="H300" s="1726">
        <v>1189321.08</v>
      </c>
      <c r="I300" s="1726">
        <v>1107398.1499999999</v>
      </c>
      <c r="J300" s="1726">
        <v>145759</v>
      </c>
      <c r="K300" s="719">
        <v>2289981.23</v>
      </c>
      <c r="L300" s="719">
        <v>1043562.0800000001</v>
      </c>
      <c r="M300" s="719">
        <v>1246419.1499999999</v>
      </c>
      <c r="N300" s="719">
        <v>133686</v>
      </c>
      <c r="W300" s="1766"/>
      <c r="X300" s="1642"/>
    </row>
    <row r="301" spans="1:26" s="284" customFormat="1" ht="15.75" customHeight="1" outlineLevel="1">
      <c r="A301" s="1289" t="str">
        <f t="shared" si="21"/>
        <v>St.  LAWRENCE / FDR396Power Operated Equipment</v>
      </c>
      <c r="B301" s="1410" t="s">
        <v>1541</v>
      </c>
      <c r="C301" s="1642" t="s">
        <v>107</v>
      </c>
      <c r="D301" s="1643" t="s">
        <v>1935</v>
      </c>
      <c r="E301" s="1642">
        <v>396</v>
      </c>
      <c r="F301" s="1642" t="s">
        <v>81</v>
      </c>
      <c r="G301" s="1726">
        <v>7532149.1000000006</v>
      </c>
      <c r="H301" s="1726">
        <v>4709310.2700000005</v>
      </c>
      <c r="I301" s="1726">
        <v>2822838.83</v>
      </c>
      <c r="J301" s="1726">
        <v>446072.11</v>
      </c>
      <c r="K301" s="719">
        <v>7454377.3700000001</v>
      </c>
      <c r="L301" s="719">
        <v>4367682.54</v>
      </c>
      <c r="M301" s="719">
        <v>3086694.83</v>
      </c>
      <c r="N301" s="719">
        <v>391041.12</v>
      </c>
      <c r="W301" s="1766"/>
      <c r="X301" s="1642"/>
    </row>
    <row r="302" spans="1:26" s="284" customFormat="1" ht="15.75" customHeight="1" outlineLevel="1">
      <c r="A302" s="1289" t="str">
        <f t="shared" si="21"/>
        <v>St.  LAWRENCE / FDR397Communication Equipment</v>
      </c>
      <c r="B302" s="1410" t="s">
        <v>1542</v>
      </c>
      <c r="C302" s="1642" t="s">
        <v>107</v>
      </c>
      <c r="D302" s="1643" t="s">
        <v>1935</v>
      </c>
      <c r="E302" s="1642">
        <v>397</v>
      </c>
      <c r="F302" s="1642" t="s">
        <v>82</v>
      </c>
      <c r="G302" s="1726">
        <v>5478491.040000001</v>
      </c>
      <c r="H302" s="1726">
        <v>3882006.92</v>
      </c>
      <c r="I302" s="1726">
        <v>1596484.120000001</v>
      </c>
      <c r="J302" s="1726">
        <v>365691</v>
      </c>
      <c r="K302" s="719">
        <v>5498798.040000001</v>
      </c>
      <c r="L302" s="719">
        <v>3536622.92</v>
      </c>
      <c r="M302" s="719">
        <v>1962175.120000001</v>
      </c>
      <c r="N302" s="719">
        <v>348862.37</v>
      </c>
      <c r="W302" s="1766"/>
      <c r="X302" s="1642"/>
    </row>
    <row r="303" spans="1:26" s="284" customFormat="1" ht="15.75" customHeight="1" outlineLevel="1">
      <c r="A303" s="1289" t="str">
        <f t="shared" si="21"/>
        <v>St.  LAWRENCE / FDR398Miscellaneous Equipment</v>
      </c>
      <c r="B303" s="1410" t="s">
        <v>1543</v>
      </c>
      <c r="C303" s="1642" t="s">
        <v>107</v>
      </c>
      <c r="D303" s="1643" t="s">
        <v>1935</v>
      </c>
      <c r="E303" s="1642">
        <v>398</v>
      </c>
      <c r="F303" s="1642" t="s">
        <v>83</v>
      </c>
      <c r="G303" s="1726">
        <v>211937454.69</v>
      </c>
      <c r="H303" s="1726">
        <v>78626822.310000002</v>
      </c>
      <c r="I303" s="1726">
        <v>133310632.38</v>
      </c>
      <c r="J303" s="1726">
        <v>7546564.4800000004</v>
      </c>
      <c r="K303" s="719">
        <v>211656825.88</v>
      </c>
      <c r="L303" s="719">
        <v>71102893.5</v>
      </c>
      <c r="M303" s="719">
        <v>140553932.38</v>
      </c>
      <c r="N303" s="719">
        <v>7251607.0800000001</v>
      </c>
      <c r="W303" s="1766"/>
      <c r="X303" s="1642"/>
    </row>
    <row r="304" spans="1:26" s="284" customFormat="1" ht="15.75" customHeight="1" outlineLevel="1">
      <c r="A304" s="1289" t="str">
        <f t="shared" si="21"/>
        <v>St.  LAWRENCE / FDR399Other Tangible Property</v>
      </c>
      <c r="B304" s="1410" t="s">
        <v>1544</v>
      </c>
      <c r="C304" s="1642" t="s">
        <v>107</v>
      </c>
      <c r="D304" s="1643" t="s">
        <v>1935</v>
      </c>
      <c r="E304" s="1642">
        <v>399</v>
      </c>
      <c r="F304" s="1642" t="s">
        <v>84</v>
      </c>
      <c r="G304" s="1726">
        <v>1126419</v>
      </c>
      <c r="H304" s="1726">
        <v>420194</v>
      </c>
      <c r="I304" s="1726">
        <v>706225</v>
      </c>
      <c r="J304" s="1726">
        <v>75095</v>
      </c>
      <c r="K304" s="719">
        <v>1126419</v>
      </c>
      <c r="L304" s="719">
        <v>345099</v>
      </c>
      <c r="M304" s="719">
        <v>781320</v>
      </c>
      <c r="N304" s="719">
        <v>65083</v>
      </c>
      <c r="W304" s="1766"/>
      <c r="X304" s="1642"/>
    </row>
    <row r="305" spans="1:26" s="284" customFormat="1" ht="15.75" customHeight="1" outlineLevel="1">
      <c r="A305" s="1289" t="str">
        <f t="shared" si="21"/>
        <v>500mW C - C at Astoria391Office Furniture &amp; Equipment</v>
      </c>
      <c r="B305" s="1410" t="s">
        <v>1545</v>
      </c>
      <c r="C305" s="1642" t="s">
        <v>107</v>
      </c>
      <c r="D305" s="1643" t="s">
        <v>153</v>
      </c>
      <c r="E305" s="1642">
        <v>391</v>
      </c>
      <c r="F305" s="1642" t="s">
        <v>76</v>
      </c>
      <c r="G305" s="1726">
        <v>155636.76999999996</v>
      </c>
      <c r="H305" s="1726">
        <v>88260.77</v>
      </c>
      <c r="I305" s="1726">
        <v>67375.999999999956</v>
      </c>
      <c r="J305" s="1726">
        <v>22820.080000000002</v>
      </c>
      <c r="K305" s="719">
        <v>155629.68999999997</v>
      </c>
      <c r="L305" s="719">
        <v>65440.69</v>
      </c>
      <c r="M305" s="719">
        <v>90188.999999999971</v>
      </c>
      <c r="N305" s="719">
        <v>22866.52</v>
      </c>
      <c r="W305" s="1766"/>
      <c r="X305" s="1642"/>
    </row>
    <row r="306" spans="1:26" s="1650" customFormat="1" ht="15.75" customHeight="1" outlineLevel="1">
      <c r="A306" s="1289" t="str">
        <f t="shared" si="21"/>
        <v>500mW C - C at Astoria391.2Computer Equipment 5 yr</v>
      </c>
      <c r="B306" s="1410" t="s">
        <v>1546</v>
      </c>
      <c r="C306" s="1642" t="s">
        <v>107</v>
      </c>
      <c r="D306" s="1643" t="s">
        <v>153</v>
      </c>
      <c r="E306" s="1642">
        <v>391.2</v>
      </c>
      <c r="F306" s="1642" t="s">
        <v>1827</v>
      </c>
      <c r="G306" s="1726">
        <v>33516.410000000003</v>
      </c>
      <c r="H306" s="1726">
        <v>9501.9</v>
      </c>
      <c r="I306" s="1726">
        <v>24014.510000000002</v>
      </c>
      <c r="J306" s="1726">
        <v>6705</v>
      </c>
      <c r="K306" s="719">
        <v>33516.9</v>
      </c>
      <c r="L306" s="719">
        <v>2796.9</v>
      </c>
      <c r="M306" s="719">
        <v>30720</v>
      </c>
      <c r="N306" s="719">
        <v>2796.9</v>
      </c>
      <c r="W306" s="1766"/>
      <c r="X306" s="1642"/>
      <c r="Y306" s="284"/>
      <c r="Z306" s="284"/>
    </row>
    <row r="307" spans="1:26" s="284" customFormat="1" ht="15.75" customHeight="1" outlineLevel="1">
      <c r="A307" s="1289" t="str">
        <f t="shared" si="21"/>
        <v>500mW C - C at Astoria392Transprt.Equip-500MW</v>
      </c>
      <c r="B307" s="1410" t="s">
        <v>1547</v>
      </c>
      <c r="C307" s="1642" t="s">
        <v>107</v>
      </c>
      <c r="D307" s="1643" t="s">
        <v>153</v>
      </c>
      <c r="E307" s="1642">
        <v>392</v>
      </c>
      <c r="F307" s="1642" t="s">
        <v>1956</v>
      </c>
      <c r="G307" s="1726">
        <v>576980.54</v>
      </c>
      <c r="H307" s="1726">
        <v>456078.54000000004</v>
      </c>
      <c r="I307" s="1726">
        <v>120902</v>
      </c>
      <c r="J307" s="1726">
        <v>42212.2</v>
      </c>
      <c r="K307" s="719">
        <v>492538.34</v>
      </c>
      <c r="L307" s="719">
        <v>413866.34</v>
      </c>
      <c r="M307" s="719">
        <v>78672</v>
      </c>
      <c r="N307" s="719">
        <v>67708</v>
      </c>
      <c r="W307" s="1766"/>
      <c r="X307" s="1642"/>
    </row>
    <row r="308" spans="1:26" s="284" customFormat="1" ht="15.75" customHeight="1" outlineLevel="1">
      <c r="A308" s="1289" t="str">
        <f t="shared" si="21"/>
        <v>500mW C - C at Astoria394Tools, Shop &amp; Garage Equipment</v>
      </c>
      <c r="B308" s="1410" t="s">
        <v>1548</v>
      </c>
      <c r="C308" s="1642" t="s">
        <v>107</v>
      </c>
      <c r="D308" s="1643" t="s">
        <v>153</v>
      </c>
      <c r="E308" s="1642">
        <v>394</v>
      </c>
      <c r="F308" s="1642" t="s">
        <v>79</v>
      </c>
      <c r="G308" s="1726">
        <v>68609.17</v>
      </c>
      <c r="H308" s="1726">
        <v>59199.17</v>
      </c>
      <c r="I308" s="1726">
        <v>9410</v>
      </c>
      <c r="J308" s="1726">
        <v>6420</v>
      </c>
      <c r="K308" s="719">
        <v>68609.17</v>
      </c>
      <c r="L308" s="719">
        <v>52779.17</v>
      </c>
      <c r="M308" s="719">
        <v>15830</v>
      </c>
      <c r="N308" s="719">
        <v>6501</v>
      </c>
      <c r="W308" s="1766"/>
      <c r="X308" s="1642"/>
    </row>
    <row r="309" spans="1:26" s="284" customFormat="1" ht="15.75" customHeight="1" outlineLevel="1">
      <c r="A309" s="1289" t="str">
        <f t="shared" si="21"/>
        <v>500mW C - C at Astoria395Laboratory Equipment</v>
      </c>
      <c r="B309" s="1410" t="s">
        <v>1549</v>
      </c>
      <c r="C309" s="1642" t="s">
        <v>107</v>
      </c>
      <c r="D309" s="1643" t="s">
        <v>153</v>
      </c>
      <c r="E309" s="1642">
        <v>395</v>
      </c>
      <c r="F309" s="1642" t="s">
        <v>80</v>
      </c>
      <c r="G309" s="1726">
        <v>2143542.84</v>
      </c>
      <c r="H309" s="1726">
        <v>538981.84</v>
      </c>
      <c r="I309" s="1726">
        <v>1604561</v>
      </c>
      <c r="J309" s="1726">
        <v>210772</v>
      </c>
      <c r="K309" s="719">
        <v>2143542.84</v>
      </c>
      <c r="L309" s="719">
        <v>328209.83999999997</v>
      </c>
      <c r="M309" s="719">
        <v>1815333</v>
      </c>
      <c r="N309" s="719">
        <v>211041</v>
      </c>
      <c r="W309" s="1766"/>
      <c r="X309" s="1642"/>
    </row>
    <row r="310" spans="1:26" s="284" customFormat="1" ht="15.75" customHeight="1" outlineLevel="1">
      <c r="A310" s="1289" t="str">
        <f t="shared" si="21"/>
        <v>500mW C - C at Astoria396Power Oper Eqp-500MW</v>
      </c>
      <c r="B310" s="1410" t="s">
        <v>1550</v>
      </c>
      <c r="C310" s="1642" t="s">
        <v>107</v>
      </c>
      <c r="D310" s="1643" t="s">
        <v>153</v>
      </c>
      <c r="E310" s="1642">
        <v>396</v>
      </c>
      <c r="F310" s="1642" t="s">
        <v>1957</v>
      </c>
      <c r="G310" s="1726">
        <v>659847.66999999993</v>
      </c>
      <c r="H310" s="1726">
        <v>400548.66</v>
      </c>
      <c r="I310" s="1726">
        <v>259299.00999999995</v>
      </c>
      <c r="J310" s="1726">
        <v>64578</v>
      </c>
      <c r="K310" s="719">
        <v>620264.66999999993</v>
      </c>
      <c r="L310" s="719">
        <v>335970.66</v>
      </c>
      <c r="M310" s="719">
        <v>284294.00999999995</v>
      </c>
      <c r="N310" s="719">
        <v>59464</v>
      </c>
      <c r="W310" s="1766"/>
      <c r="X310" s="1642"/>
    </row>
    <row r="311" spans="1:26" s="284" customFormat="1" ht="15.75" customHeight="1" outlineLevel="1">
      <c r="A311" s="1289" t="str">
        <f t="shared" si="21"/>
        <v>500mW C - C at Astoria398Miscellaneous Equipment</v>
      </c>
      <c r="B311" s="1410" t="s">
        <v>1551</v>
      </c>
      <c r="C311" s="1642" t="s">
        <v>107</v>
      </c>
      <c r="D311" s="1643" t="s">
        <v>153</v>
      </c>
      <c r="E311" s="1642">
        <v>398</v>
      </c>
      <c r="F311" s="1642" t="s">
        <v>83</v>
      </c>
      <c r="G311" s="1726">
        <v>686813.8</v>
      </c>
      <c r="H311" s="1726">
        <v>627267.29</v>
      </c>
      <c r="I311" s="1726">
        <v>59546.510000000009</v>
      </c>
      <c r="J311" s="1726">
        <v>104524</v>
      </c>
      <c r="K311" s="719">
        <v>686813.8</v>
      </c>
      <c r="L311" s="719">
        <v>522743.29000000004</v>
      </c>
      <c r="M311" s="719">
        <v>164070.51</v>
      </c>
      <c r="N311" s="719">
        <v>122860</v>
      </c>
      <c r="W311" s="1766"/>
      <c r="X311" s="1642"/>
    </row>
    <row r="312" spans="1:26" s="284" customFormat="1" ht="15.75" customHeight="1" outlineLevel="1">
      <c r="A312" s="1289" t="str">
        <f t="shared" si="21"/>
        <v>BRENTWOOD  (Long Island)398Miscellaneous Equipment</v>
      </c>
      <c r="B312" s="1410" t="s">
        <v>1552</v>
      </c>
      <c r="C312" s="1642" t="s">
        <v>107</v>
      </c>
      <c r="D312" s="1643" t="s">
        <v>159</v>
      </c>
      <c r="E312" s="1642">
        <v>398</v>
      </c>
      <c r="F312" s="1642" t="s">
        <v>83</v>
      </c>
      <c r="G312" s="1726">
        <v>181336.84</v>
      </c>
      <c r="H312" s="1726">
        <v>181337.84</v>
      </c>
      <c r="I312" s="1726">
        <v>-1</v>
      </c>
      <c r="J312" s="1726">
        <v>0</v>
      </c>
      <c r="K312" s="719">
        <v>181336.84</v>
      </c>
      <c r="L312" s="719">
        <v>181337.84</v>
      </c>
      <c r="M312" s="719">
        <v>-1</v>
      </c>
      <c r="N312" s="719">
        <v>0</v>
      </c>
      <c r="W312" s="1766"/>
      <c r="X312" s="1642"/>
    </row>
    <row r="313" spans="1:26" s="284" customFormat="1" ht="15.75" customHeight="1" outlineLevel="1">
      <c r="A313" s="1289" t="str">
        <f t="shared" si="21"/>
        <v>FLYNN  (Holtsville)391Office Furniture &amp; Equipment</v>
      </c>
      <c r="B313" s="1410" t="s">
        <v>1553</v>
      </c>
      <c r="C313" s="1642" t="s">
        <v>107</v>
      </c>
      <c r="D313" s="1643" t="s">
        <v>155</v>
      </c>
      <c r="E313" s="1642">
        <v>391</v>
      </c>
      <c r="F313" s="1642" t="s">
        <v>76</v>
      </c>
      <c r="G313" s="1726">
        <v>177276.41999999998</v>
      </c>
      <c r="H313" s="1726">
        <v>174970.41999999998</v>
      </c>
      <c r="I313" s="1726">
        <v>2306</v>
      </c>
      <c r="J313" s="1726">
        <v>1847</v>
      </c>
      <c r="K313" s="719">
        <v>177276.41999999998</v>
      </c>
      <c r="L313" s="719">
        <v>173123.41999999998</v>
      </c>
      <c r="M313" s="719">
        <v>4153</v>
      </c>
      <c r="N313" s="719">
        <v>3167</v>
      </c>
      <c r="W313" s="1766"/>
      <c r="X313" s="1642"/>
    </row>
    <row r="314" spans="1:26" s="284" customFormat="1" ht="15.75" customHeight="1" outlineLevel="1">
      <c r="A314" s="1289" t="str">
        <f t="shared" si="21"/>
        <v>FLYNN  (Holtsville)392Transportation Equipment</v>
      </c>
      <c r="B314" s="1410" t="s">
        <v>1554</v>
      </c>
      <c r="C314" s="1642" t="s">
        <v>107</v>
      </c>
      <c r="D314" s="1643" t="s">
        <v>155</v>
      </c>
      <c r="E314" s="1642">
        <v>392</v>
      </c>
      <c r="F314" s="1642" t="s">
        <v>77</v>
      </c>
      <c r="G314" s="1726">
        <v>122905.13</v>
      </c>
      <c r="H314" s="1726">
        <v>115068.02999999998</v>
      </c>
      <c r="I314" s="1726">
        <v>7837.1000000000204</v>
      </c>
      <c r="J314" s="1726">
        <v>8636.2000000000007</v>
      </c>
      <c r="K314" s="719">
        <v>85775.930000000008</v>
      </c>
      <c r="L314" s="719">
        <v>106431.82999999999</v>
      </c>
      <c r="M314" s="719">
        <v>-20655.89999999998</v>
      </c>
      <c r="N314" s="719">
        <v>8017</v>
      </c>
      <c r="W314" s="1766"/>
      <c r="X314" s="1642"/>
    </row>
    <row r="315" spans="1:26" s="284" customFormat="1" ht="15.75" customHeight="1" outlineLevel="1">
      <c r="A315" s="1289" t="str">
        <f t="shared" si="21"/>
        <v>FLYNN  (Holtsville)393Stores Equipment</v>
      </c>
      <c r="B315" s="1410" t="s">
        <v>1555</v>
      </c>
      <c r="C315" s="1642" t="s">
        <v>107</v>
      </c>
      <c r="D315" s="1643" t="s">
        <v>155</v>
      </c>
      <c r="E315" s="1642">
        <v>393</v>
      </c>
      <c r="F315" s="1642" t="s">
        <v>78</v>
      </c>
      <c r="G315" s="1726">
        <v>0</v>
      </c>
      <c r="H315" s="1726">
        <v>0</v>
      </c>
      <c r="I315" s="1726">
        <v>0</v>
      </c>
      <c r="J315" s="1726">
        <v>0</v>
      </c>
      <c r="K315" s="719">
        <v>0</v>
      </c>
      <c r="L315" s="719">
        <v>0</v>
      </c>
      <c r="M315" s="719">
        <v>0</v>
      </c>
      <c r="N315" s="719">
        <v>0</v>
      </c>
      <c r="W315" s="1766"/>
      <c r="X315" s="1642"/>
    </row>
    <row r="316" spans="1:26" s="284" customFormat="1" ht="15.75" customHeight="1" outlineLevel="1">
      <c r="A316" s="1289" t="str">
        <f t="shared" si="21"/>
        <v>FLYNN  (Holtsville)394Tools, Shop &amp; Garage Equipment</v>
      </c>
      <c r="B316" s="1410" t="s">
        <v>1556</v>
      </c>
      <c r="C316" s="1642" t="s">
        <v>107</v>
      </c>
      <c r="D316" s="1643" t="s">
        <v>155</v>
      </c>
      <c r="E316" s="1642">
        <v>394</v>
      </c>
      <c r="F316" s="1642" t="s">
        <v>79</v>
      </c>
      <c r="G316" s="1726">
        <v>147596</v>
      </c>
      <c r="H316" s="1726">
        <v>137777</v>
      </c>
      <c r="I316" s="1726">
        <v>9819</v>
      </c>
      <c r="J316" s="1726">
        <v>1056</v>
      </c>
      <c r="K316" s="719">
        <v>147596</v>
      </c>
      <c r="L316" s="719">
        <v>136721</v>
      </c>
      <c r="M316" s="719">
        <v>10875</v>
      </c>
      <c r="N316" s="719">
        <v>1022</v>
      </c>
      <c r="W316" s="1766"/>
      <c r="X316" s="1642"/>
    </row>
    <row r="317" spans="1:26" s="284" customFormat="1" ht="15.75" customHeight="1" outlineLevel="1">
      <c r="A317" s="1289" t="str">
        <f t="shared" si="21"/>
        <v>FLYNN  (Holtsville)395Laboratory Equipment</v>
      </c>
      <c r="B317" s="1410" t="s">
        <v>1557</v>
      </c>
      <c r="C317" s="1642" t="s">
        <v>107</v>
      </c>
      <c r="D317" s="1643" t="s">
        <v>155</v>
      </c>
      <c r="E317" s="1642">
        <v>395</v>
      </c>
      <c r="F317" s="1642" t="s">
        <v>80</v>
      </c>
      <c r="G317" s="1726">
        <v>49048.73</v>
      </c>
      <c r="H317" s="1726">
        <v>57676.729999999996</v>
      </c>
      <c r="I317" s="1726">
        <v>-8627.9999999999927</v>
      </c>
      <c r="J317" s="1726">
        <v>2145</v>
      </c>
      <c r="K317" s="719">
        <v>49048.73</v>
      </c>
      <c r="L317" s="719">
        <v>55531.729999999996</v>
      </c>
      <c r="M317" s="719">
        <v>-6482.9999999999927</v>
      </c>
      <c r="N317" s="719">
        <v>3218</v>
      </c>
      <c r="W317" s="1766"/>
      <c r="X317" s="1642"/>
    </row>
    <row r="318" spans="1:26" s="284" customFormat="1" ht="12.75" customHeight="1" outlineLevel="1">
      <c r="A318" s="1289" t="str">
        <f t="shared" si="21"/>
        <v>FLYNN  (Holtsville)396Power Operated Equipment</v>
      </c>
      <c r="B318" s="1410" t="s">
        <v>1558</v>
      </c>
      <c r="C318" s="1642" t="s">
        <v>107</v>
      </c>
      <c r="D318" s="1643" t="s">
        <v>155</v>
      </c>
      <c r="E318" s="1642">
        <v>396</v>
      </c>
      <c r="F318" s="1642" t="s">
        <v>81</v>
      </c>
      <c r="G318" s="1726">
        <v>286292.76</v>
      </c>
      <c r="H318" s="1726">
        <v>74920.75</v>
      </c>
      <c r="I318" s="1726">
        <v>211372.01</v>
      </c>
      <c r="J318" s="1726">
        <v>23069.75</v>
      </c>
      <c r="K318" s="719">
        <v>226537</v>
      </c>
      <c r="L318" s="719">
        <v>51851</v>
      </c>
      <c r="M318" s="719">
        <v>174686</v>
      </c>
      <c r="N318" s="719">
        <v>22655</v>
      </c>
      <c r="W318" s="1766"/>
      <c r="X318" s="1642"/>
    </row>
    <row r="319" spans="1:26" s="284" customFormat="1" ht="15.75" customHeight="1" outlineLevel="1">
      <c r="A319" s="1289" t="str">
        <f t="shared" si="21"/>
        <v>FLYNN  (Holtsville)397Communication Equipment</v>
      </c>
      <c r="B319" s="1410" t="s">
        <v>1559</v>
      </c>
      <c r="C319" s="1642" t="s">
        <v>107</v>
      </c>
      <c r="D319" s="1643" t="s">
        <v>155</v>
      </c>
      <c r="E319" s="1642">
        <v>397</v>
      </c>
      <c r="F319" s="1642" t="s">
        <v>82</v>
      </c>
      <c r="G319" s="1726">
        <v>349918</v>
      </c>
      <c r="H319" s="1726">
        <v>349917</v>
      </c>
      <c r="I319" s="1726">
        <v>1</v>
      </c>
      <c r="J319" s="1726">
        <v>0</v>
      </c>
      <c r="K319" s="719">
        <v>349918</v>
      </c>
      <c r="L319" s="719">
        <v>349917</v>
      </c>
      <c r="M319" s="719">
        <v>1</v>
      </c>
      <c r="N319" s="719">
        <v>0</v>
      </c>
      <c r="W319" s="1766"/>
      <c r="X319" s="1642"/>
    </row>
    <row r="320" spans="1:26" s="284" customFormat="1" ht="15.75" customHeight="1" outlineLevel="1">
      <c r="A320" s="1289" t="str">
        <f t="shared" si="21"/>
        <v>FLYNN  (Holtsville)398Miscellaneous Equipment</v>
      </c>
      <c r="B320" s="1410" t="s">
        <v>1560</v>
      </c>
      <c r="C320" s="1642" t="s">
        <v>107</v>
      </c>
      <c r="D320" s="1643" t="s">
        <v>155</v>
      </c>
      <c r="E320" s="1642">
        <v>398</v>
      </c>
      <c r="F320" s="1642" t="s">
        <v>83</v>
      </c>
      <c r="G320" s="1726">
        <v>501230.5</v>
      </c>
      <c r="H320" s="1726">
        <v>311934.08000000002</v>
      </c>
      <c r="I320" s="1726">
        <v>189296.41999999998</v>
      </c>
      <c r="J320" s="1726">
        <v>54471</v>
      </c>
      <c r="K320" s="719">
        <v>501230.5</v>
      </c>
      <c r="L320" s="719">
        <v>257463.08000000002</v>
      </c>
      <c r="M320" s="719">
        <v>243767.41999999998</v>
      </c>
      <c r="N320" s="719">
        <v>57238</v>
      </c>
      <c r="W320" s="1766"/>
      <c r="X320" s="1642"/>
    </row>
    <row r="321" spans="1:24" s="284" customFormat="1" ht="15.75" customHeight="1" outlineLevel="1">
      <c r="A321" s="1289" t="str">
        <f t="shared" si="21"/>
        <v>GOWANUS  (Brooklyn)396Power Operated Equipment</v>
      </c>
      <c r="B321" s="1410" t="s">
        <v>1561</v>
      </c>
      <c r="C321" s="1642" t="s">
        <v>107</v>
      </c>
      <c r="D321" s="1643" t="s">
        <v>156</v>
      </c>
      <c r="E321" s="1642">
        <v>396</v>
      </c>
      <c r="F321" s="1642" t="s">
        <v>81</v>
      </c>
      <c r="G321" s="1726">
        <v>28597</v>
      </c>
      <c r="H321" s="1726">
        <v>24178</v>
      </c>
      <c r="I321" s="1726">
        <v>4419</v>
      </c>
      <c r="J321" s="1726">
        <v>672</v>
      </c>
      <c r="K321" s="719">
        <v>28597</v>
      </c>
      <c r="L321" s="719">
        <v>23506</v>
      </c>
      <c r="M321" s="719">
        <v>5091</v>
      </c>
      <c r="N321" s="719">
        <v>672</v>
      </c>
      <c r="W321" s="1766"/>
      <c r="X321" s="1642"/>
    </row>
    <row r="322" spans="1:24" s="284" customFormat="1" ht="15.75" customHeight="1" outlineLevel="1">
      <c r="A322" s="1289" t="str">
        <f t="shared" si="21"/>
        <v>GOWANUS  (Brooklyn)398Miscellaneous Equipment</v>
      </c>
      <c r="B322" s="1410" t="s">
        <v>1562</v>
      </c>
      <c r="C322" s="1642" t="s">
        <v>107</v>
      </c>
      <c r="D322" s="1643" t="s">
        <v>156</v>
      </c>
      <c r="E322" s="1642">
        <v>398</v>
      </c>
      <c r="F322" s="1642" t="s">
        <v>83</v>
      </c>
      <c r="G322" s="1726">
        <v>427955.33999999997</v>
      </c>
      <c r="H322" s="1726">
        <v>427263.33999999997</v>
      </c>
      <c r="I322" s="1726">
        <v>692</v>
      </c>
      <c r="J322" s="1726">
        <v>1196</v>
      </c>
      <c r="K322" s="719">
        <v>427955.33999999997</v>
      </c>
      <c r="L322" s="719">
        <v>426067.33999999997</v>
      </c>
      <c r="M322" s="719">
        <v>1888</v>
      </c>
      <c r="N322" s="719">
        <v>1196</v>
      </c>
      <c r="W322" s="1766"/>
      <c r="X322" s="1642"/>
    </row>
    <row r="323" spans="1:24" s="284" customFormat="1" ht="15.75" customHeight="1" outlineLevel="1">
      <c r="A323" s="1289" t="str">
        <f t="shared" si="21"/>
        <v>HARLEM RIVER YARDS  (Bronx)396Power Operated Equipment</v>
      </c>
      <c r="B323" s="1410" t="s">
        <v>1563</v>
      </c>
      <c r="C323" s="1642" t="s">
        <v>107</v>
      </c>
      <c r="D323" s="1643" t="s">
        <v>157</v>
      </c>
      <c r="E323" s="1642">
        <v>396</v>
      </c>
      <c r="F323" s="1642" t="s">
        <v>81</v>
      </c>
      <c r="G323" s="1726">
        <v>21882</v>
      </c>
      <c r="H323" s="1726">
        <v>21882</v>
      </c>
      <c r="I323" s="1726">
        <v>0</v>
      </c>
      <c r="J323" s="1726">
        <v>0</v>
      </c>
      <c r="K323" s="719">
        <v>21882</v>
      </c>
      <c r="L323" s="719">
        <v>21882</v>
      </c>
      <c r="M323" s="719">
        <v>0</v>
      </c>
      <c r="N323" s="719">
        <v>0</v>
      </c>
      <c r="W323" s="1766"/>
      <c r="X323" s="1642"/>
    </row>
    <row r="324" spans="1:24" s="284" customFormat="1" ht="15.75" customHeight="1" outlineLevel="1">
      <c r="A324" s="1289" t="str">
        <f t="shared" si="21"/>
        <v>HARLEM RIVER YARDS  (Bronx)398Miscellaneous Equipment</v>
      </c>
      <c r="B324" s="1410" t="s">
        <v>1564</v>
      </c>
      <c r="C324" s="1642" t="s">
        <v>107</v>
      </c>
      <c r="D324" s="1643" t="s">
        <v>157</v>
      </c>
      <c r="E324" s="1642">
        <v>398</v>
      </c>
      <c r="F324" s="1642" t="s">
        <v>83</v>
      </c>
      <c r="G324" s="1726">
        <v>1166179.73</v>
      </c>
      <c r="H324" s="1726">
        <v>1165487.73</v>
      </c>
      <c r="I324" s="1726">
        <v>692</v>
      </c>
      <c r="J324" s="1726">
        <v>1196</v>
      </c>
      <c r="K324" s="719">
        <v>1166179.73</v>
      </c>
      <c r="L324" s="719">
        <v>1164291.73</v>
      </c>
      <c r="M324" s="719">
        <v>1888</v>
      </c>
      <c r="N324" s="719">
        <v>1196</v>
      </c>
      <c r="W324" s="1766"/>
      <c r="X324" s="1642"/>
    </row>
    <row r="325" spans="1:24" s="284" customFormat="1" ht="15.75" customHeight="1" outlineLevel="1">
      <c r="A325" s="1289" t="str">
        <f t="shared" si="21"/>
        <v>HELLGATE  (Bronx)396Power Operated Equipment</v>
      </c>
      <c r="B325" s="1410" t="s">
        <v>1565</v>
      </c>
      <c r="C325" s="1642" t="s">
        <v>107</v>
      </c>
      <c r="D325" s="1643" t="s">
        <v>158</v>
      </c>
      <c r="E325" s="1642">
        <v>396</v>
      </c>
      <c r="F325" s="1642" t="s">
        <v>81</v>
      </c>
      <c r="G325" s="1726">
        <v>22076</v>
      </c>
      <c r="H325" s="1726">
        <v>22076</v>
      </c>
      <c r="I325" s="1726">
        <v>0</v>
      </c>
      <c r="J325" s="1726">
        <v>0</v>
      </c>
      <c r="K325" s="719">
        <v>22076</v>
      </c>
      <c r="L325" s="719">
        <v>22076</v>
      </c>
      <c r="M325" s="719">
        <v>0</v>
      </c>
      <c r="N325" s="719">
        <v>0</v>
      </c>
      <c r="W325" s="1766"/>
      <c r="X325" s="1642"/>
    </row>
    <row r="326" spans="1:24" s="284" customFormat="1" ht="15.75" customHeight="1" outlineLevel="1">
      <c r="A326" s="1289" t="str">
        <f t="shared" si="21"/>
        <v>HELLGATE  (Bronx)398Miscellaneous Equipment</v>
      </c>
      <c r="B326" s="1410" t="s">
        <v>1566</v>
      </c>
      <c r="C326" s="1642" t="s">
        <v>107</v>
      </c>
      <c r="D326" s="1643" t="s">
        <v>158</v>
      </c>
      <c r="E326" s="1642">
        <v>398</v>
      </c>
      <c r="F326" s="1642" t="s">
        <v>83</v>
      </c>
      <c r="G326" s="1726">
        <v>1272183.1099999999</v>
      </c>
      <c r="H326" s="1726">
        <v>1262342.5899999999</v>
      </c>
      <c r="I326" s="1726">
        <v>9840.5200000000186</v>
      </c>
      <c r="J326" s="1726">
        <v>4934</v>
      </c>
      <c r="K326" s="719">
        <v>1272183.1099999999</v>
      </c>
      <c r="L326" s="719">
        <v>1257408.5899999999</v>
      </c>
      <c r="M326" s="719">
        <v>14774.520000000019</v>
      </c>
      <c r="N326" s="719">
        <v>4976</v>
      </c>
      <c r="W326" s="1766"/>
      <c r="X326" s="1642"/>
    </row>
    <row r="327" spans="1:24" s="284" customFormat="1" ht="15.75" customHeight="1" outlineLevel="1">
      <c r="A327" s="1289" t="str">
        <f t="shared" si="21"/>
        <v>Jarvis399Other Tangible Property</v>
      </c>
      <c r="B327" s="1410" t="s">
        <v>1567</v>
      </c>
      <c r="C327" s="1642" t="s">
        <v>107</v>
      </c>
      <c r="D327" s="1643" t="s">
        <v>162</v>
      </c>
      <c r="E327" s="1642">
        <v>399</v>
      </c>
      <c r="F327" s="1642" t="s">
        <v>84</v>
      </c>
      <c r="G327" s="1726">
        <v>427000</v>
      </c>
      <c r="H327" s="1726">
        <v>197913</v>
      </c>
      <c r="I327" s="1726">
        <v>229087</v>
      </c>
      <c r="J327" s="1726">
        <v>7117</v>
      </c>
      <c r="K327" s="719">
        <v>427000</v>
      </c>
      <c r="L327" s="719">
        <v>190796</v>
      </c>
      <c r="M327" s="719">
        <v>236204</v>
      </c>
      <c r="N327" s="719">
        <v>7117</v>
      </c>
      <c r="W327" s="1766"/>
      <c r="X327" s="1642"/>
    </row>
    <row r="328" spans="1:24" s="284" customFormat="1" ht="15.75" customHeight="1" outlineLevel="1">
      <c r="A328" s="1289" t="str">
        <f t="shared" si="21"/>
        <v>KENT  (Brooklyn)396Power Operated Equipment</v>
      </c>
      <c r="B328" s="1410" t="s">
        <v>1568</v>
      </c>
      <c r="C328" s="1642" t="s">
        <v>107</v>
      </c>
      <c r="D328" s="1643" t="s">
        <v>165</v>
      </c>
      <c r="E328" s="1642">
        <v>396</v>
      </c>
      <c r="F328" s="1642" t="s">
        <v>81</v>
      </c>
      <c r="G328" s="1726">
        <v>22076</v>
      </c>
      <c r="H328" s="1726">
        <v>22076</v>
      </c>
      <c r="I328" s="1726">
        <v>0</v>
      </c>
      <c r="J328" s="1726">
        <v>0</v>
      </c>
      <c r="K328" s="719">
        <v>22076</v>
      </c>
      <c r="L328" s="719">
        <v>22076</v>
      </c>
      <c r="M328" s="719">
        <v>0</v>
      </c>
      <c r="N328" s="719">
        <v>0</v>
      </c>
      <c r="W328" s="1766"/>
      <c r="X328" s="1642"/>
    </row>
    <row r="329" spans="1:24" s="284" customFormat="1" ht="15.75" customHeight="1" outlineLevel="1">
      <c r="A329" s="1289" t="str">
        <f t="shared" si="21"/>
        <v>KENT  (Brooklyn)398Miscellaneous Equipment</v>
      </c>
      <c r="B329" s="1410" t="s">
        <v>1569</v>
      </c>
      <c r="C329" s="1642" t="s">
        <v>107</v>
      </c>
      <c r="D329" s="1643" t="s">
        <v>165</v>
      </c>
      <c r="E329" s="1642">
        <v>398</v>
      </c>
      <c r="F329" s="1642" t="s">
        <v>83</v>
      </c>
      <c r="G329" s="1726">
        <v>228133.34</v>
      </c>
      <c r="H329" s="1726">
        <v>228133.34</v>
      </c>
      <c r="I329" s="1726">
        <v>0</v>
      </c>
      <c r="J329" s="1726">
        <v>0</v>
      </c>
      <c r="K329" s="719">
        <v>228133.34</v>
      </c>
      <c r="L329" s="719">
        <v>228133.34</v>
      </c>
      <c r="M329" s="719">
        <v>0</v>
      </c>
      <c r="N329" s="719">
        <v>0</v>
      </c>
      <c r="W329" s="1766"/>
      <c r="X329" s="1642"/>
    </row>
    <row r="330" spans="1:24" s="284" customFormat="1" ht="15.75" customHeight="1" outlineLevel="1">
      <c r="A330" s="1289" t="str">
        <f t="shared" si="21"/>
        <v>POLETTI  (Astoria)390Structures &amp; Improvements</v>
      </c>
      <c r="B330" s="1410" t="s">
        <v>1570</v>
      </c>
      <c r="C330" s="1642" t="s">
        <v>107</v>
      </c>
      <c r="D330" s="1643" t="s">
        <v>161</v>
      </c>
      <c r="E330" s="1642">
        <v>390</v>
      </c>
      <c r="F330" s="1642" t="s">
        <v>69</v>
      </c>
      <c r="G330" s="1726">
        <v>1576650.3900000001</v>
      </c>
      <c r="H330" s="1726">
        <v>1223970</v>
      </c>
      <c r="I330" s="1726">
        <v>352680.39000000013</v>
      </c>
      <c r="J330" s="1726">
        <v>31534</v>
      </c>
      <c r="K330" s="719">
        <v>1576650.3900000001</v>
      </c>
      <c r="L330" s="719">
        <v>1192436</v>
      </c>
      <c r="M330" s="719">
        <v>384214.39000000013</v>
      </c>
      <c r="N330" s="719">
        <v>26115</v>
      </c>
      <c r="W330" s="1766"/>
      <c r="X330" s="1642"/>
    </row>
    <row r="331" spans="1:24" s="284" customFormat="1" ht="15.75" customHeight="1" outlineLevel="1">
      <c r="A331" s="1289" t="str">
        <f t="shared" si="21"/>
        <v>POLETTI  (Astoria)391Office Furniture &amp; Equipment</v>
      </c>
      <c r="B331" s="1410" t="s">
        <v>1571</v>
      </c>
      <c r="C331" s="1642" t="s">
        <v>107</v>
      </c>
      <c r="D331" s="1643" t="s">
        <v>161</v>
      </c>
      <c r="E331" s="1642">
        <v>391</v>
      </c>
      <c r="F331" s="1642" t="s">
        <v>76</v>
      </c>
      <c r="G331" s="1726">
        <v>833108.47999999998</v>
      </c>
      <c r="H331" s="1726">
        <v>833108.47999999998</v>
      </c>
      <c r="I331" s="1726">
        <v>0</v>
      </c>
      <c r="J331" s="1726">
        <v>0</v>
      </c>
      <c r="K331" s="719">
        <v>833108.47999999998</v>
      </c>
      <c r="L331" s="719">
        <v>833108.47999999998</v>
      </c>
      <c r="M331" s="719">
        <v>0</v>
      </c>
      <c r="N331" s="719">
        <v>0</v>
      </c>
      <c r="W331" s="1766"/>
      <c r="X331" s="1642"/>
    </row>
    <row r="332" spans="1:24" s="284" customFormat="1" ht="15.75" customHeight="1" outlineLevel="1">
      <c r="A332" s="1289" t="str">
        <f t="shared" si="21"/>
        <v>POLETTI  (Astoria)392Transportation Equipment</v>
      </c>
      <c r="B332" s="1410" t="s">
        <v>1572</v>
      </c>
      <c r="C332" s="1642" t="s">
        <v>107</v>
      </c>
      <c r="D332" s="1643" t="s">
        <v>161</v>
      </c>
      <c r="E332" s="1642">
        <v>392</v>
      </c>
      <c r="F332" s="1642" t="s">
        <v>77</v>
      </c>
      <c r="G332" s="1726">
        <v>57156.34</v>
      </c>
      <c r="H332" s="1726">
        <v>57156.629999999976</v>
      </c>
      <c r="I332" s="1726">
        <v>-0.28999999997904524</v>
      </c>
      <c r="J332" s="1726">
        <v>0</v>
      </c>
      <c r="K332" s="719">
        <v>190358.34</v>
      </c>
      <c r="L332" s="719">
        <v>190358.62999999998</v>
      </c>
      <c r="M332" s="719">
        <v>-0.28999999997904524</v>
      </c>
      <c r="N332" s="719">
        <v>0</v>
      </c>
      <c r="W332" s="1766"/>
      <c r="X332" s="1642"/>
    </row>
    <row r="333" spans="1:24" s="284" customFormat="1" ht="15.75" customHeight="1" outlineLevel="1">
      <c r="A333" s="1289" t="str">
        <f t="shared" si="21"/>
        <v>POLETTI  (Astoria)393Stores Equipment</v>
      </c>
      <c r="B333" s="1410" t="s">
        <v>1573</v>
      </c>
      <c r="C333" s="1642" t="s">
        <v>107</v>
      </c>
      <c r="D333" s="1643" t="s">
        <v>161</v>
      </c>
      <c r="E333" s="1642">
        <v>393</v>
      </c>
      <c r="F333" s="1642" t="s">
        <v>78</v>
      </c>
      <c r="G333" s="1726">
        <v>108837.62</v>
      </c>
      <c r="H333" s="1726">
        <v>100899.62</v>
      </c>
      <c r="I333" s="1726">
        <v>7938</v>
      </c>
      <c r="J333" s="1726">
        <v>825</v>
      </c>
      <c r="K333" s="719">
        <v>108837.62</v>
      </c>
      <c r="L333" s="719">
        <v>100074.62</v>
      </c>
      <c r="M333" s="719">
        <v>8763</v>
      </c>
      <c r="N333" s="719">
        <v>825</v>
      </c>
      <c r="W333" s="1766"/>
      <c r="X333" s="1642"/>
    </row>
    <row r="334" spans="1:24" s="284" customFormat="1" ht="15.75" customHeight="1" outlineLevel="1">
      <c r="A334" s="1289" t="str">
        <f t="shared" si="21"/>
        <v>POLETTI  (Astoria)394Tools, Shop &amp; Garage Equipment</v>
      </c>
      <c r="B334" s="1410" t="s">
        <v>2008</v>
      </c>
      <c r="C334" s="1642" t="s">
        <v>107</v>
      </c>
      <c r="D334" s="1643" t="s">
        <v>161</v>
      </c>
      <c r="E334" s="1642">
        <v>394</v>
      </c>
      <c r="F334" s="1642" t="s">
        <v>79</v>
      </c>
      <c r="G334" s="1726">
        <v>354788.88999999996</v>
      </c>
      <c r="H334" s="1726">
        <v>104268.44999999998</v>
      </c>
      <c r="I334" s="1726">
        <v>250520.43999999997</v>
      </c>
      <c r="J334" s="1726">
        <v>17756</v>
      </c>
      <c r="K334" s="719">
        <v>349974.88999999996</v>
      </c>
      <c r="L334" s="719">
        <v>86512.449999999983</v>
      </c>
      <c r="M334" s="719">
        <v>263462.43999999994</v>
      </c>
      <c r="N334" s="719">
        <v>14510.68</v>
      </c>
      <c r="W334" s="1766"/>
      <c r="X334" s="1642"/>
    </row>
    <row r="335" spans="1:24" s="284" customFormat="1" ht="15.75" customHeight="1" outlineLevel="1">
      <c r="A335" s="1289" t="str">
        <f t="shared" si="21"/>
        <v>POLETTI  (Astoria)395Laboratory Equipment</v>
      </c>
      <c r="B335" s="1410" t="s">
        <v>2010</v>
      </c>
      <c r="C335" s="1642" t="s">
        <v>107</v>
      </c>
      <c r="D335" s="1643" t="s">
        <v>161</v>
      </c>
      <c r="E335" s="1642">
        <v>395</v>
      </c>
      <c r="F335" s="1642" t="s">
        <v>80</v>
      </c>
      <c r="G335" s="1726">
        <v>1622974.9100000001</v>
      </c>
      <c r="H335" s="1726">
        <v>1642566.9300000002</v>
      </c>
      <c r="I335" s="1726">
        <v>-19592.020000000019</v>
      </c>
      <c r="J335" s="1726">
        <v>19187</v>
      </c>
      <c r="K335" s="719">
        <v>1622974.9100000001</v>
      </c>
      <c r="L335" s="719">
        <v>1623379.9300000002</v>
      </c>
      <c r="M335" s="719">
        <v>-405.02000000001863</v>
      </c>
      <c r="N335" s="719">
        <v>42187</v>
      </c>
      <c r="W335" s="1766"/>
      <c r="X335" s="1642"/>
    </row>
    <row r="336" spans="1:24" s="284" customFormat="1" ht="15.75" customHeight="1" outlineLevel="1">
      <c r="A336" s="1289" t="str">
        <f t="shared" si="21"/>
        <v>POLETTI  (Astoria)396Power Operated Equipment</v>
      </c>
      <c r="B336" s="1410" t="s">
        <v>2009</v>
      </c>
      <c r="C336" s="1642" t="s">
        <v>107</v>
      </c>
      <c r="D336" s="1643" t="s">
        <v>161</v>
      </c>
      <c r="E336" s="1642">
        <v>396</v>
      </c>
      <c r="F336" s="1642" t="s">
        <v>81</v>
      </c>
      <c r="G336" s="1726">
        <v>163077.91999999998</v>
      </c>
      <c r="H336" s="1726">
        <v>151870.90999999997</v>
      </c>
      <c r="I336" s="1726">
        <v>11207.010000000009</v>
      </c>
      <c r="J336" s="1726">
        <v>2473</v>
      </c>
      <c r="K336" s="719">
        <v>163077.93</v>
      </c>
      <c r="L336" s="719">
        <v>148597.91999999998</v>
      </c>
      <c r="M336" s="719">
        <v>14480.010000000009</v>
      </c>
      <c r="N336" s="719">
        <v>1732</v>
      </c>
      <c r="W336" s="1766"/>
      <c r="X336" s="1642"/>
    </row>
    <row r="337" spans="1:26" s="284" customFormat="1" ht="15.75" customHeight="1" outlineLevel="1">
      <c r="A337" s="1289" t="str">
        <f t="shared" si="21"/>
        <v>POLETTI  (Astoria)397Communication Equipment</v>
      </c>
      <c r="B337" s="1410" t="s">
        <v>2011</v>
      </c>
      <c r="C337" s="1642" t="s">
        <v>107</v>
      </c>
      <c r="D337" s="1643" t="s">
        <v>161</v>
      </c>
      <c r="E337" s="1642">
        <v>397</v>
      </c>
      <c r="F337" s="1642" t="s">
        <v>82</v>
      </c>
      <c r="G337" s="1726">
        <v>443045</v>
      </c>
      <c r="H337" s="1726">
        <v>427385</v>
      </c>
      <c r="I337" s="1726">
        <v>15660</v>
      </c>
      <c r="J337" s="1726">
        <v>0</v>
      </c>
      <c r="K337" s="719">
        <v>443045</v>
      </c>
      <c r="L337" s="719">
        <v>427385</v>
      </c>
      <c r="M337" s="719">
        <v>15660</v>
      </c>
      <c r="N337" s="719">
        <v>0</v>
      </c>
      <c r="W337" s="1766"/>
      <c r="X337" s="1642"/>
    </row>
    <row r="338" spans="1:26" s="284" customFormat="1" ht="15.75" customHeight="1" outlineLevel="1">
      <c r="A338" s="1289" t="str">
        <f t="shared" si="21"/>
        <v>POLETTI  (Astoria)398Miscellaneous Equipment</v>
      </c>
      <c r="B338" s="1410" t="s">
        <v>2012</v>
      </c>
      <c r="C338" s="1642" t="s">
        <v>107</v>
      </c>
      <c r="D338" s="1643" t="s">
        <v>161</v>
      </c>
      <c r="E338" s="1642">
        <v>398</v>
      </c>
      <c r="F338" s="1642" t="s">
        <v>83</v>
      </c>
      <c r="G338" s="1726">
        <v>2960625.65</v>
      </c>
      <c r="H338" s="1726">
        <v>2963713.93</v>
      </c>
      <c r="I338" s="1726">
        <v>-3088.2800000002608</v>
      </c>
      <c r="J338" s="1726">
        <v>1113</v>
      </c>
      <c r="K338" s="719">
        <v>2960625.65</v>
      </c>
      <c r="L338" s="719">
        <v>2962600.93</v>
      </c>
      <c r="M338" s="719">
        <v>-1975.2800000002608</v>
      </c>
      <c r="N338" s="719">
        <v>1095</v>
      </c>
      <c r="W338" s="1766"/>
      <c r="X338" s="1642"/>
    </row>
    <row r="339" spans="1:26" s="284" customFormat="1" ht="15.75" customHeight="1" outlineLevel="1">
      <c r="A339" s="1289" t="str">
        <f t="shared" si="21"/>
        <v>POLETTI  (Astoria)399Other Tangible Property</v>
      </c>
      <c r="B339" s="1410" t="s">
        <v>2013</v>
      </c>
      <c r="C339" s="1642" t="s">
        <v>107</v>
      </c>
      <c r="D339" s="1643" t="s">
        <v>161</v>
      </c>
      <c r="E339" s="1642">
        <v>399</v>
      </c>
      <c r="F339" s="1642" t="s">
        <v>84</v>
      </c>
      <c r="G339" s="1726">
        <v>322930</v>
      </c>
      <c r="H339" s="1726">
        <v>322930</v>
      </c>
      <c r="I339" s="1726">
        <v>0</v>
      </c>
      <c r="J339" s="1726">
        <v>0</v>
      </c>
      <c r="K339" s="719">
        <v>322930</v>
      </c>
      <c r="L339" s="719">
        <v>322930</v>
      </c>
      <c r="M339" s="719">
        <v>0</v>
      </c>
      <c r="N339" s="719">
        <v>0</v>
      </c>
      <c r="W339" s="1766"/>
      <c r="X339" s="1642"/>
    </row>
    <row r="340" spans="1:26" s="284" customFormat="1" ht="15.75" customHeight="1" outlineLevel="1">
      <c r="A340" s="1289" t="str">
        <f t="shared" si="21"/>
        <v>POUCH TERMINAL  (Richmond)396Power Operated Equipment</v>
      </c>
      <c r="B340" s="1410" t="s">
        <v>2014</v>
      </c>
      <c r="C340" s="1642" t="s">
        <v>107</v>
      </c>
      <c r="D340" s="1643" t="s">
        <v>166</v>
      </c>
      <c r="E340" s="1642">
        <v>396</v>
      </c>
      <c r="F340" s="1642" t="s">
        <v>81</v>
      </c>
      <c r="G340" s="1726">
        <v>22076</v>
      </c>
      <c r="H340" s="1726">
        <v>22076</v>
      </c>
      <c r="I340" s="1726">
        <v>0</v>
      </c>
      <c r="J340" s="1726">
        <v>0</v>
      </c>
      <c r="K340" s="719">
        <v>22076</v>
      </c>
      <c r="L340" s="719">
        <v>22076</v>
      </c>
      <c r="M340" s="719">
        <v>0</v>
      </c>
      <c r="N340" s="719">
        <v>0</v>
      </c>
      <c r="W340" s="1766"/>
      <c r="X340" s="1642"/>
    </row>
    <row r="341" spans="1:26" s="284" customFormat="1" ht="15.75" customHeight="1" outlineLevel="1">
      <c r="A341" s="1289" t="str">
        <f t="shared" si="21"/>
        <v>POUCH TERMINAL  (Richmond)398Miscellaneous Equipment</v>
      </c>
      <c r="B341" s="1410" t="s">
        <v>2015</v>
      </c>
      <c r="C341" s="1642" t="s">
        <v>107</v>
      </c>
      <c r="D341" s="1643" t="s">
        <v>166</v>
      </c>
      <c r="E341" s="1642">
        <v>398</v>
      </c>
      <c r="F341" s="1642" t="s">
        <v>83</v>
      </c>
      <c r="G341" s="1726">
        <v>313431</v>
      </c>
      <c r="H341" s="1726">
        <v>171153</v>
      </c>
      <c r="I341" s="1726">
        <v>142278</v>
      </c>
      <c r="J341" s="1726">
        <v>0</v>
      </c>
      <c r="K341" s="719">
        <v>313431</v>
      </c>
      <c r="L341" s="719">
        <v>171153</v>
      </c>
      <c r="M341" s="719">
        <v>142278</v>
      </c>
      <c r="N341" s="719">
        <v>0</v>
      </c>
      <c r="W341" s="1766"/>
      <c r="X341" s="1642"/>
    </row>
    <row r="342" spans="1:26" s="284" customFormat="1" ht="15.75" customHeight="1" outlineLevel="1">
      <c r="A342" s="1289" t="str">
        <f t="shared" si="21"/>
        <v>VERNON BOULEVARD  (Queens)396Power Operated Equipment</v>
      </c>
      <c r="B342" s="1410" t="s">
        <v>2016</v>
      </c>
      <c r="C342" s="1642" t="s">
        <v>107</v>
      </c>
      <c r="D342" s="1643" t="s">
        <v>167</v>
      </c>
      <c r="E342" s="1642">
        <v>396</v>
      </c>
      <c r="F342" s="1642" t="s">
        <v>81</v>
      </c>
      <c r="G342" s="1726">
        <v>22076</v>
      </c>
      <c r="H342" s="1726">
        <v>11029</v>
      </c>
      <c r="I342" s="1726">
        <v>11047</v>
      </c>
      <c r="J342" s="1726">
        <v>0</v>
      </c>
      <c r="K342" s="719">
        <v>22076</v>
      </c>
      <c r="L342" s="719">
        <v>11029</v>
      </c>
      <c r="M342" s="719">
        <v>11047</v>
      </c>
      <c r="N342" s="719">
        <v>0</v>
      </c>
      <c r="W342" s="1766"/>
      <c r="X342" s="1642"/>
    </row>
    <row r="343" spans="1:26" s="284" customFormat="1" ht="15.75" customHeight="1" outlineLevel="1">
      <c r="A343" s="1289" t="str">
        <f t="shared" si="21"/>
        <v>VERNON BOULEVARD  (Queens)398Miscellaneous Equipment</v>
      </c>
      <c r="B343" s="1410" t="s">
        <v>2017</v>
      </c>
      <c r="C343" s="1642" t="s">
        <v>107</v>
      </c>
      <c r="D343" s="1643" t="s">
        <v>167</v>
      </c>
      <c r="E343" s="1642">
        <v>398</v>
      </c>
      <c r="F343" s="1642" t="s">
        <v>83</v>
      </c>
      <c r="G343" s="1726">
        <v>245850</v>
      </c>
      <c r="H343" s="1726">
        <v>100139</v>
      </c>
      <c r="I343" s="1726">
        <v>145711</v>
      </c>
      <c r="J343" s="1726">
        <v>1196</v>
      </c>
      <c r="K343" s="719">
        <v>245850</v>
      </c>
      <c r="L343" s="719">
        <v>98943</v>
      </c>
      <c r="M343" s="719">
        <v>146907</v>
      </c>
      <c r="N343" s="719">
        <v>1196</v>
      </c>
      <c r="W343" s="1766"/>
      <c r="X343" s="1642"/>
    </row>
    <row r="344" spans="1:26" s="656" customFormat="1" ht="15.75" customHeight="1" outlineLevel="1">
      <c r="A344" s="1289" t="str">
        <f t="shared" ref="A344" si="22">CONCATENATE(D344,E344,F344)</f>
        <v>AdjustmentsCost of Removal Deprec to Reg Assets (Gen)</v>
      </c>
      <c r="B344" s="1410" t="s">
        <v>2018</v>
      </c>
      <c r="C344" s="1642" t="s">
        <v>107</v>
      </c>
      <c r="D344" s="658" t="s">
        <v>183</v>
      </c>
      <c r="E344" s="1644"/>
      <c r="F344" s="659" t="s">
        <v>1958</v>
      </c>
      <c r="G344" s="1726"/>
      <c r="H344" s="1726">
        <v>-4017859</v>
      </c>
      <c r="I344" s="1726">
        <v>4017859</v>
      </c>
      <c r="J344" s="1726"/>
      <c r="K344" s="719"/>
      <c r="L344" s="719">
        <v>-4126483</v>
      </c>
      <c r="M344" s="719">
        <v>4126483</v>
      </c>
      <c r="N344" s="719"/>
      <c r="W344" s="1767"/>
      <c r="Y344" s="284"/>
      <c r="Z344" s="284"/>
    </row>
    <row r="345" spans="1:26" s="284" customFormat="1" ht="15.75" customHeight="1" outlineLevel="1">
      <c r="A345" s="1289" t="str">
        <f t="shared" ref="A345:A346" si="23">CONCATENATE(D345,E345,F345)</f>
        <v/>
      </c>
      <c r="B345" s="1410" t="s">
        <v>541</v>
      </c>
      <c r="C345" s="656"/>
      <c r="D345" s="656"/>
      <c r="E345" s="719"/>
      <c r="F345" s="656"/>
      <c r="G345" s="1726"/>
      <c r="H345" s="1726"/>
      <c r="I345" s="1726"/>
      <c r="J345" s="1726"/>
      <c r="K345" s="719"/>
      <c r="L345" s="719"/>
      <c r="M345" s="719"/>
      <c r="N345" s="719"/>
      <c r="W345" s="1650"/>
    </row>
    <row r="346" spans="1:26" s="284" customFormat="1" ht="15.75" customHeight="1" outlineLevel="1" thickBot="1">
      <c r="A346" s="1289" t="str">
        <f t="shared" si="23"/>
        <v/>
      </c>
      <c r="B346" s="1410" t="s">
        <v>541</v>
      </c>
      <c r="C346" s="656"/>
      <c r="D346" s="656"/>
      <c r="E346" s="719"/>
      <c r="F346" s="656"/>
      <c r="G346" s="1726"/>
      <c r="H346" s="1726"/>
      <c r="I346" s="1726"/>
      <c r="J346" s="1726"/>
      <c r="K346" s="719"/>
      <c r="L346" s="719"/>
      <c r="M346" s="719"/>
      <c r="N346" s="719"/>
      <c r="W346" s="1650"/>
    </row>
    <row r="347" spans="1:26" s="264" customFormat="1" ht="16.5" customHeight="1" thickBot="1">
      <c r="A347" s="1300"/>
      <c r="B347" s="1366">
        <v>13</v>
      </c>
      <c r="C347" s="386"/>
      <c r="D347" s="386"/>
      <c r="E347" s="386"/>
      <c r="F347" s="388" t="s">
        <v>618</v>
      </c>
      <c r="G347" s="1727">
        <f t="shared" ref="G347:N347" si="24">SUBTOTAL(9,G245:G346)</f>
        <v>1198451648.9100001</v>
      </c>
      <c r="H347" s="1727">
        <f t="shared" si="24"/>
        <v>414259786.78000003</v>
      </c>
      <c r="I347" s="1727">
        <f t="shared" si="24"/>
        <v>784191862.13000011</v>
      </c>
      <c r="J347" s="1727">
        <f t="shared" si="24"/>
        <v>37857699.290000007</v>
      </c>
      <c r="K347" s="389">
        <f t="shared" si="24"/>
        <v>1154562852.54</v>
      </c>
      <c r="L347" s="389">
        <f t="shared" si="24"/>
        <v>417717167.10999995</v>
      </c>
      <c r="M347" s="389">
        <f t="shared" si="24"/>
        <v>736845685.43000019</v>
      </c>
      <c r="N347" s="389">
        <f t="shared" si="24"/>
        <v>39773428.25</v>
      </c>
      <c r="W347" s="1768"/>
    </row>
    <row r="348" spans="1:26" s="284" customFormat="1" ht="16.5" customHeight="1" thickBot="1">
      <c r="A348" s="1289"/>
      <c r="B348" s="1365"/>
      <c r="C348" s="356"/>
      <c r="D348" s="385"/>
      <c r="E348" s="356"/>
      <c r="F348" s="355"/>
      <c r="G348" s="1728"/>
      <c r="H348" s="1728"/>
      <c r="I348" s="1728"/>
      <c r="J348" s="1728"/>
      <c r="K348" s="361"/>
      <c r="L348" s="361"/>
      <c r="M348" s="361"/>
      <c r="N348" s="361"/>
      <c r="W348" s="1650"/>
    </row>
    <row r="349" spans="1:26" s="262" customFormat="1" ht="16.5" customHeight="1" thickBot="1">
      <c r="A349" s="1301"/>
      <c r="B349" s="1368">
        <v>14</v>
      </c>
      <c r="C349" s="655"/>
      <c r="D349" s="387"/>
      <c r="E349" s="655" t="s">
        <v>624</v>
      </c>
      <c r="F349" s="388"/>
      <c r="G349" s="1730">
        <f t="shared" ref="G349:N349" si="25">G347+G241+G165+G104</f>
        <v>7927827829.9399996</v>
      </c>
      <c r="H349" s="1730">
        <f t="shared" si="25"/>
        <v>3840690300.4535604</v>
      </c>
      <c r="I349" s="1730">
        <f t="shared" si="25"/>
        <v>4087137529.4864388</v>
      </c>
      <c r="J349" s="1730">
        <f t="shared" si="25"/>
        <v>212286111.56999999</v>
      </c>
      <c r="K349" s="720">
        <f t="shared" si="25"/>
        <v>7827234976.4799995</v>
      </c>
      <c r="L349" s="720">
        <f t="shared" si="25"/>
        <v>3689744053.8391433</v>
      </c>
      <c r="M349" s="720">
        <f t="shared" si="25"/>
        <v>4137490922.6408563</v>
      </c>
      <c r="N349" s="720">
        <f t="shared" si="25"/>
        <v>218744941.33000001</v>
      </c>
      <c r="W349" s="1764"/>
    </row>
    <row r="350" spans="1:26" s="284" customFormat="1" ht="15.75" customHeight="1">
      <c r="A350" s="1289"/>
      <c r="B350" s="1365"/>
      <c r="C350" s="356"/>
      <c r="D350" s="385"/>
      <c r="E350" s="356"/>
      <c r="F350" s="355"/>
      <c r="G350" s="1728"/>
      <c r="H350" s="1728"/>
      <c r="I350" s="1728"/>
      <c r="J350" s="1728"/>
      <c r="K350" s="361"/>
      <c r="L350" s="361"/>
      <c r="M350" s="361"/>
      <c r="N350" s="361"/>
      <c r="W350" s="1650"/>
    </row>
    <row r="351" spans="1:26" s="284" customFormat="1" ht="16.5" customHeight="1" thickBot="1">
      <c r="A351" s="1289"/>
      <c r="B351" s="1365"/>
      <c r="C351" s="356"/>
      <c r="D351" s="385"/>
      <c r="E351" s="356"/>
      <c r="F351" s="355"/>
      <c r="G351" s="1728"/>
      <c r="H351" s="1728"/>
      <c r="I351" s="1728"/>
      <c r="J351" s="1728"/>
      <c r="K351" s="361"/>
      <c r="L351" s="361"/>
      <c r="M351" s="361"/>
      <c r="N351" s="361"/>
      <c r="W351" s="1650"/>
    </row>
    <row r="352" spans="1:26" s="265" customFormat="1" ht="17.25" customHeight="1" thickTop="1" thickBot="1">
      <c r="A352" s="1302"/>
      <c r="B352" s="1369">
        <v>15</v>
      </c>
      <c r="C352" s="364"/>
      <c r="D352" s="364"/>
      <c r="E352" s="364" t="s">
        <v>1574</v>
      </c>
      <c r="F352" s="362"/>
      <c r="G352" s="1733">
        <f t="shared" ref="G352:N352" si="26">G349+G62</f>
        <v>8695090580.9291</v>
      </c>
      <c r="H352" s="1733">
        <f t="shared" si="26"/>
        <v>3840690300.4535604</v>
      </c>
      <c r="I352" s="1733">
        <f t="shared" si="26"/>
        <v>4854400280.4755402</v>
      </c>
      <c r="J352" s="1733">
        <f t="shared" si="26"/>
        <v>212286111.56999999</v>
      </c>
      <c r="K352" s="363">
        <f t="shared" si="26"/>
        <v>8482896334.2691011</v>
      </c>
      <c r="L352" s="363">
        <f t="shared" si="26"/>
        <v>3689744053.8391433</v>
      </c>
      <c r="M352" s="363">
        <f t="shared" si="26"/>
        <v>4793152280.4299574</v>
      </c>
      <c r="N352" s="363">
        <f t="shared" si="26"/>
        <v>218744941.33000001</v>
      </c>
      <c r="W352" s="1769"/>
    </row>
    <row r="353" spans="1:23" s="281" customFormat="1" ht="16.5" customHeight="1" thickTop="1">
      <c r="A353" s="1303"/>
      <c r="B353" s="390"/>
      <c r="C353" s="367"/>
      <c r="D353" s="390"/>
      <c r="E353" s="367"/>
      <c r="F353" s="365"/>
      <c r="G353" s="1734"/>
      <c r="H353" s="1734"/>
      <c r="I353" s="1734"/>
      <c r="J353" s="1734"/>
      <c r="K353" s="366"/>
      <c r="L353" s="366"/>
      <c r="M353" s="366"/>
      <c r="N353" s="366"/>
      <c r="W353" s="1770"/>
    </row>
    <row r="354" spans="1:23" s="281" customFormat="1">
      <c r="A354" s="1303"/>
      <c r="B354" s="390"/>
      <c r="C354" s="367"/>
      <c r="D354" s="390"/>
      <c r="E354" s="367"/>
      <c r="F354" s="391"/>
      <c r="G354" s="1735"/>
      <c r="H354" s="1735"/>
      <c r="I354" s="1735"/>
      <c r="J354" s="1735"/>
      <c r="K354" s="205"/>
      <c r="L354" s="205"/>
      <c r="M354" s="205"/>
      <c r="N354" s="205"/>
      <c r="W354" s="1770"/>
    </row>
    <row r="355" spans="1:23" s="281" customFormat="1">
      <c r="A355" s="1303"/>
      <c r="B355" s="390"/>
      <c r="C355" s="367"/>
      <c r="D355" s="390"/>
      <c r="E355" s="367"/>
      <c r="F355" s="391"/>
      <c r="G355" s="1735"/>
      <c r="H355" s="1735"/>
      <c r="I355" s="1735"/>
      <c r="J355" s="1735"/>
      <c r="K355" s="205"/>
      <c r="L355" s="205"/>
      <c r="M355" s="205"/>
      <c r="N355" s="205"/>
      <c r="W355" s="1770"/>
    </row>
    <row r="356" spans="1:23" s="281" customFormat="1">
      <c r="A356" s="1303"/>
      <c r="B356" s="390"/>
      <c r="C356" s="367"/>
      <c r="D356" s="390"/>
      <c r="E356" s="367"/>
      <c r="F356" s="391"/>
      <c r="G356" s="1736"/>
      <c r="H356" s="1735"/>
      <c r="I356" s="1735"/>
      <c r="J356" s="1735"/>
      <c r="K356" s="205"/>
      <c r="L356" s="205"/>
      <c r="M356" s="205"/>
      <c r="N356" s="205"/>
      <c r="W356" s="1770"/>
    </row>
    <row r="357" spans="1:23">
      <c r="D357" s="367"/>
      <c r="F357" s="391"/>
      <c r="G357" s="1735"/>
      <c r="H357" s="1735"/>
      <c r="I357" s="1735"/>
      <c r="J357" s="1735"/>
      <c r="K357" s="205"/>
      <c r="L357" s="205"/>
      <c r="M357" s="205"/>
      <c r="N357" s="205"/>
    </row>
    <row r="358" spans="1:23">
      <c r="D358" s="367"/>
      <c r="F358" s="391"/>
      <c r="G358" s="1735"/>
      <c r="H358" s="1735"/>
      <c r="I358" s="1735"/>
      <c r="J358" s="1735"/>
      <c r="K358" s="205"/>
      <c r="L358" s="205"/>
      <c r="M358" s="205"/>
      <c r="N358" s="205"/>
    </row>
    <row r="359" spans="1:23">
      <c r="D359" s="367"/>
      <c r="F359" s="391"/>
      <c r="G359" s="1735"/>
      <c r="H359" s="1735"/>
      <c r="I359" s="1735"/>
      <c r="J359" s="1735"/>
      <c r="K359" s="205"/>
      <c r="L359" s="205"/>
      <c r="M359" s="205"/>
      <c r="N359" s="205"/>
    </row>
    <row r="360" spans="1:23">
      <c r="D360" s="367"/>
      <c r="G360" s="1737"/>
    </row>
  </sheetData>
  <customSheetViews>
    <customSheetView guid="{B321D76C-CDE5-48BB-9CDE-80FF97D58FCF}" scale="99" showPageBreaks="1" fitToPage="1" printArea="1" hiddenColumns="1" view="pageBreakPreview" topLeftCell="B73">
      <selection activeCell="D33" sqref="D33"/>
      <pageMargins left="0.5" right="0.5" top="0.5" bottom="0.75" header="0.3" footer="0.3"/>
      <printOptions horizontalCentered="1"/>
      <pageSetup paperSize="5" scale="63" fitToHeight="10" orientation="landscape" r:id="rId1"/>
    </customSheetView>
  </customSheetViews>
  <mergeCells count="7">
    <mergeCell ref="G10:J10"/>
    <mergeCell ref="K10:N10"/>
    <mergeCell ref="C3:M3"/>
    <mergeCell ref="C4:M4"/>
    <mergeCell ref="C5:M5"/>
    <mergeCell ref="C7:M7"/>
    <mergeCell ref="C8:M8"/>
  </mergeCells>
  <printOptions horizontalCentered="1"/>
  <pageMargins left="0.5" right="0.5" top="0.5" bottom="0.75" header="0.3" footer="0.3"/>
  <pageSetup paperSize="5" scale="59" fitToHeight="1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70C0"/>
    <pageSetUpPr fitToPage="1"/>
  </sheetPr>
  <dimension ref="A1:M72"/>
  <sheetViews>
    <sheetView tabSelected="1" view="pageBreakPreview" topLeftCell="A33" zoomScale="90" zoomScaleNormal="80" zoomScaleSheetLayoutView="90" workbookViewId="0">
      <selection activeCell="C30" sqref="C30"/>
    </sheetView>
  </sheetViews>
  <sheetFormatPr defaultColWidth="9" defaultRowHeight="15"/>
  <cols>
    <col min="1" max="1" width="9.5" style="69" customWidth="1"/>
    <col min="2" max="2" width="8" style="69" customWidth="1"/>
    <col min="3" max="3" width="1.5" style="69" customWidth="1"/>
    <col min="4" max="4" width="16.75" style="69" bestFit="1" customWidth="1"/>
    <col min="5" max="5" width="2.125" style="69" customWidth="1"/>
    <col min="6" max="6" width="19.125" style="69" customWidth="1"/>
    <col min="7" max="7" width="2.5" style="69" customWidth="1"/>
    <col min="8" max="8" width="18" style="69" customWidth="1"/>
    <col min="9" max="9" width="1.5" style="69" customWidth="1"/>
    <col min="10" max="10" width="17.375" style="69" customWidth="1"/>
    <col min="11" max="11" width="29.125" style="70" customWidth="1"/>
    <col min="12" max="12" width="4.5" style="70" customWidth="1"/>
    <col min="13" max="13" width="5" style="69" customWidth="1"/>
    <col min="14" max="16384" width="9" style="69"/>
  </cols>
  <sheetData>
    <row r="1" spans="1:13" s="17" customFormat="1" ht="15.75">
      <c r="A1" s="14" t="s">
        <v>967</v>
      </c>
      <c r="B1" s="20"/>
      <c r="C1" s="20"/>
      <c r="D1" s="66"/>
      <c r="E1" s="66"/>
      <c r="F1" s="20"/>
      <c r="G1" s="20"/>
      <c r="I1" s="67"/>
      <c r="J1" s="159"/>
      <c r="K1" s="22"/>
      <c r="L1" s="22"/>
    </row>
    <row r="2" spans="1:13" s="13" customFormat="1" ht="18">
      <c r="A2" s="12"/>
      <c r="B2" s="11"/>
      <c r="C2" s="11"/>
      <c r="D2" s="43"/>
      <c r="E2" s="43"/>
      <c r="F2" s="11"/>
      <c r="G2" s="11"/>
      <c r="H2" s="11"/>
      <c r="I2" s="11"/>
      <c r="J2" s="11"/>
      <c r="K2" s="11"/>
      <c r="L2" s="11"/>
      <c r="M2" s="59"/>
    </row>
    <row r="3" spans="1:13" s="13" customFormat="1" ht="18">
      <c r="A3" s="1788" t="s">
        <v>200</v>
      </c>
      <c r="B3" s="1788"/>
      <c r="C3" s="1788"/>
      <c r="D3" s="1788"/>
      <c r="E3" s="1788"/>
      <c r="F3" s="1788"/>
      <c r="G3" s="1788"/>
      <c r="H3" s="1788"/>
      <c r="I3" s="1788"/>
      <c r="J3" s="1788"/>
      <c r="K3" s="1788"/>
      <c r="L3" s="156"/>
      <c r="M3" s="71"/>
    </row>
    <row r="4" spans="1:13" s="13" customFormat="1" ht="18">
      <c r="A4" s="1788" t="s">
        <v>103</v>
      </c>
      <c r="B4" s="1788"/>
      <c r="C4" s="1788"/>
      <c r="D4" s="1788"/>
      <c r="E4" s="1788"/>
      <c r="F4" s="1788"/>
      <c r="G4" s="1788"/>
      <c r="H4" s="1788"/>
      <c r="I4" s="1788"/>
      <c r="J4" s="1788"/>
      <c r="K4" s="1788"/>
      <c r="L4" s="156"/>
      <c r="M4" s="71"/>
    </row>
    <row r="5" spans="1:13" s="13" customFormat="1" ht="18">
      <c r="A5" s="1789" t="str">
        <f>SUMMARY!A7</f>
        <v>YEAR ENDING DECEMBER 31, 2018</v>
      </c>
      <c r="B5" s="1789"/>
      <c r="C5" s="1789"/>
      <c r="D5" s="1789"/>
      <c r="E5" s="1789"/>
      <c r="F5" s="1789"/>
      <c r="G5" s="1789"/>
      <c r="H5" s="1789"/>
      <c r="I5" s="1789"/>
      <c r="J5" s="1789"/>
      <c r="K5" s="1789"/>
      <c r="L5" s="156"/>
      <c r="M5" s="71"/>
    </row>
    <row r="6" spans="1:13" s="13" customFormat="1" ht="12" customHeight="1">
      <c r="A6" s="11"/>
      <c r="B6" s="11"/>
      <c r="C6" s="11"/>
      <c r="D6" s="23"/>
      <c r="E6" s="23"/>
      <c r="F6" s="11"/>
      <c r="G6" s="11"/>
      <c r="H6" s="11"/>
      <c r="I6" s="11"/>
      <c r="J6" s="11"/>
      <c r="K6" s="11"/>
      <c r="L6" s="11"/>
      <c r="M6" s="11"/>
    </row>
    <row r="7" spans="1:13" s="13" customFormat="1" ht="18">
      <c r="A7" s="1790" t="s">
        <v>968</v>
      </c>
      <c r="B7" s="1790"/>
      <c r="C7" s="1790"/>
      <c r="D7" s="1790"/>
      <c r="E7" s="1790"/>
      <c r="F7" s="1790"/>
      <c r="G7" s="1790"/>
      <c r="H7" s="1790"/>
      <c r="I7" s="1790"/>
      <c r="J7" s="1790"/>
      <c r="K7" s="1790"/>
      <c r="L7" s="157"/>
      <c r="M7" s="29"/>
    </row>
    <row r="8" spans="1:13" ht="18">
      <c r="A8" s="1788" t="s">
        <v>292</v>
      </c>
      <c r="B8" s="1788"/>
      <c r="C8" s="1788"/>
      <c r="D8" s="1788"/>
      <c r="E8" s="1788"/>
      <c r="F8" s="1788"/>
      <c r="G8" s="1788"/>
      <c r="H8" s="1788"/>
      <c r="I8" s="1788"/>
      <c r="J8" s="1788"/>
      <c r="K8" s="1788"/>
      <c r="L8" s="156"/>
      <c r="M8" s="71"/>
    </row>
    <row r="9" spans="1:13" ht="18">
      <c r="A9" s="1788" t="s">
        <v>293</v>
      </c>
      <c r="B9" s="1788"/>
      <c r="C9" s="1788"/>
      <c r="D9" s="1788"/>
      <c r="E9" s="1788"/>
      <c r="F9" s="1788"/>
      <c r="G9" s="1788"/>
      <c r="H9" s="1788"/>
      <c r="I9" s="1788"/>
      <c r="J9" s="1788"/>
      <c r="K9" s="1788"/>
      <c r="L9" s="156"/>
      <c r="M9" s="71"/>
    </row>
    <row r="10" spans="1:13" ht="18">
      <c r="A10" s="153"/>
      <c r="B10" s="153"/>
      <c r="C10" s="156"/>
      <c r="D10" s="153"/>
      <c r="E10" s="156"/>
      <c r="F10" s="153"/>
      <c r="G10" s="156"/>
      <c r="H10" s="153"/>
      <c r="I10" s="156"/>
      <c r="J10" s="156"/>
      <c r="K10" s="153"/>
      <c r="L10" s="156"/>
      <c r="M10" s="153"/>
    </row>
    <row r="11" spans="1:13" s="496" customFormat="1">
      <c r="B11" s="497"/>
      <c r="C11" s="497"/>
      <c r="D11" s="498"/>
      <c r="E11" s="498"/>
      <c r="F11" s="498"/>
      <c r="G11" s="498"/>
      <c r="H11" s="498"/>
      <c r="I11" s="498"/>
      <c r="J11" s="498"/>
      <c r="K11" s="499"/>
      <c r="L11" s="499"/>
    </row>
    <row r="12" spans="1:13" s="500" customFormat="1" ht="15.75">
      <c r="B12" s="501"/>
      <c r="C12" s="501"/>
      <c r="D12" s="502" t="s">
        <v>185</v>
      </c>
      <c r="E12" s="502"/>
      <c r="F12" s="502"/>
      <c r="G12" s="502"/>
      <c r="J12" s="500" t="s">
        <v>1671</v>
      </c>
      <c r="K12" s="502"/>
      <c r="L12" s="502"/>
    </row>
    <row r="13" spans="1:13" s="500" customFormat="1" ht="15.75">
      <c r="B13" s="501"/>
      <c r="C13" s="501"/>
      <c r="D13" s="500" t="s">
        <v>186</v>
      </c>
      <c r="F13" s="502" t="s">
        <v>187</v>
      </c>
      <c r="G13" s="502"/>
      <c r="H13" s="502" t="s">
        <v>188</v>
      </c>
      <c r="I13" s="502"/>
      <c r="J13" s="502" t="s">
        <v>66</v>
      </c>
      <c r="L13" s="502"/>
    </row>
    <row r="14" spans="1:13" s="500" customFormat="1" ht="15.75">
      <c r="B14" s="501"/>
      <c r="C14" s="501"/>
      <c r="D14" s="500" t="s">
        <v>189</v>
      </c>
      <c r="F14" s="500" t="s">
        <v>186</v>
      </c>
      <c r="H14" s="502" t="s">
        <v>190</v>
      </c>
      <c r="I14" s="502"/>
      <c r="J14" s="502" t="s">
        <v>186</v>
      </c>
      <c r="L14" s="502"/>
    </row>
    <row r="15" spans="1:13" s="500" customFormat="1" ht="20.25">
      <c r="A15" s="503" t="s">
        <v>1</v>
      </c>
      <c r="B15" s="503" t="s">
        <v>191</v>
      </c>
      <c r="C15" s="503"/>
      <c r="D15" s="504" t="s">
        <v>787</v>
      </c>
      <c r="E15" s="504"/>
      <c r="F15" s="505" t="s">
        <v>788</v>
      </c>
      <c r="G15" s="505"/>
      <c r="H15" s="504" t="s">
        <v>789</v>
      </c>
      <c r="I15" s="504"/>
      <c r="J15" s="504" t="s">
        <v>87</v>
      </c>
      <c r="L15" s="504"/>
    </row>
    <row r="16" spans="1:13" s="496" customFormat="1">
      <c r="A16" s="517"/>
      <c r="B16" s="506" t="s">
        <v>192</v>
      </c>
      <c r="C16" s="506"/>
      <c r="D16" s="506" t="s">
        <v>193</v>
      </c>
      <c r="E16" s="506"/>
      <c r="F16" s="506" t="s">
        <v>194</v>
      </c>
      <c r="G16" s="506"/>
      <c r="H16" s="506" t="s">
        <v>195</v>
      </c>
      <c r="I16" s="506"/>
      <c r="J16" s="506" t="s">
        <v>196</v>
      </c>
      <c r="K16" s="507"/>
      <c r="L16" s="506"/>
    </row>
    <row r="17" spans="1:12" s="496" customFormat="1" ht="20.25">
      <c r="A17" s="1320"/>
      <c r="B17" s="508"/>
      <c r="C17" s="508"/>
      <c r="D17" s="509"/>
      <c r="E17" s="509"/>
      <c r="F17" s="509"/>
      <c r="G17" s="509"/>
      <c r="H17" s="509"/>
      <c r="I17" s="509"/>
      <c r="J17" s="499"/>
      <c r="K17" s="507"/>
      <c r="L17" s="499"/>
    </row>
    <row r="18" spans="1:12" s="496" customFormat="1" ht="15.75">
      <c r="A18" s="1320">
        <v>1</v>
      </c>
      <c r="B18" s="497">
        <v>1988</v>
      </c>
      <c r="C18" s="497"/>
      <c r="D18" s="1628">
        <v>108936778</v>
      </c>
      <c r="E18" s="1629"/>
      <c r="F18" s="1630">
        <f t="shared" ref="F18:F66" si="0">D18-H18</f>
        <v>106758042.44</v>
      </c>
      <c r="G18" s="1630"/>
      <c r="H18" s="1629">
        <f t="shared" ref="H18:H67" si="1">$D$18/50</f>
        <v>2178735.56</v>
      </c>
      <c r="I18" s="1557"/>
      <c r="J18" s="1558"/>
      <c r="K18" s="507"/>
      <c r="L18" s="499"/>
    </row>
    <row r="19" spans="1:12" s="496" customFormat="1" ht="15.75">
      <c r="A19" s="1320">
        <v>2</v>
      </c>
      <c r="B19" s="497">
        <f t="shared" ref="B19:B67" si="2">1+B18</f>
        <v>1989</v>
      </c>
      <c r="C19" s="497"/>
      <c r="D19" s="1631">
        <f t="shared" ref="D19:D67" si="3">D18-H18</f>
        <v>106758042.44</v>
      </c>
      <c r="E19" s="1629"/>
      <c r="F19" s="1630">
        <f t="shared" si="0"/>
        <v>104579306.88</v>
      </c>
      <c r="G19" s="1630"/>
      <c r="H19" s="1629">
        <f t="shared" si="1"/>
        <v>2178735.56</v>
      </c>
      <c r="I19" s="1557"/>
      <c r="J19" s="1558"/>
      <c r="K19" s="507"/>
      <c r="L19" s="499"/>
    </row>
    <row r="20" spans="1:12" s="496" customFormat="1" ht="15.75">
      <c r="A20" s="1320">
        <v>3</v>
      </c>
      <c r="B20" s="497">
        <f t="shared" si="2"/>
        <v>1990</v>
      </c>
      <c r="C20" s="497"/>
      <c r="D20" s="1631">
        <f t="shared" si="3"/>
        <v>104579306.88</v>
      </c>
      <c r="E20" s="1629"/>
      <c r="F20" s="1630">
        <f t="shared" si="0"/>
        <v>102400571.31999999</v>
      </c>
      <c r="G20" s="1630"/>
      <c r="H20" s="1629">
        <f t="shared" si="1"/>
        <v>2178735.56</v>
      </c>
      <c r="I20" s="1557"/>
      <c r="J20" s="1558"/>
      <c r="K20" s="507"/>
      <c r="L20" s="499"/>
    </row>
    <row r="21" spans="1:12" s="496" customFormat="1" ht="15.75">
      <c r="A21" s="1320">
        <v>4</v>
      </c>
      <c r="B21" s="497">
        <f t="shared" si="2"/>
        <v>1991</v>
      </c>
      <c r="C21" s="497"/>
      <c r="D21" s="1631">
        <f t="shared" si="3"/>
        <v>102400571.31999999</v>
      </c>
      <c r="E21" s="1629"/>
      <c r="F21" s="1630">
        <f t="shared" si="0"/>
        <v>100221835.75999999</v>
      </c>
      <c r="G21" s="1630"/>
      <c r="H21" s="1629">
        <f t="shared" si="1"/>
        <v>2178735.56</v>
      </c>
      <c r="I21" s="1557"/>
      <c r="J21" s="1558"/>
      <c r="K21" s="507"/>
      <c r="L21" s="499"/>
    </row>
    <row r="22" spans="1:12" s="496" customFormat="1" ht="15.75">
      <c r="A22" s="1320">
        <v>5</v>
      </c>
      <c r="B22" s="497">
        <f t="shared" si="2"/>
        <v>1992</v>
      </c>
      <c r="C22" s="497"/>
      <c r="D22" s="1631">
        <f t="shared" si="3"/>
        <v>100221835.75999999</v>
      </c>
      <c r="E22" s="1629"/>
      <c r="F22" s="1630">
        <f t="shared" si="0"/>
        <v>98043100.199999988</v>
      </c>
      <c r="G22" s="1630"/>
      <c r="H22" s="1629">
        <f t="shared" si="1"/>
        <v>2178735.56</v>
      </c>
      <c r="I22" s="1557"/>
      <c r="J22" s="1558"/>
      <c r="K22" s="507"/>
      <c r="L22" s="499"/>
    </row>
    <row r="23" spans="1:12" s="496" customFormat="1" ht="15.75">
      <c r="A23" s="1320">
        <v>6</v>
      </c>
      <c r="B23" s="497">
        <f t="shared" si="2"/>
        <v>1993</v>
      </c>
      <c r="C23" s="497"/>
      <c r="D23" s="1631">
        <f t="shared" si="3"/>
        <v>98043100.199999988</v>
      </c>
      <c r="E23" s="1629"/>
      <c r="F23" s="1630">
        <f t="shared" si="0"/>
        <v>95864364.639999986</v>
      </c>
      <c r="G23" s="1630"/>
      <c r="H23" s="1629">
        <f t="shared" si="1"/>
        <v>2178735.56</v>
      </c>
      <c r="I23" s="1557"/>
      <c r="J23" s="1558"/>
      <c r="K23" s="507"/>
      <c r="L23" s="499"/>
    </row>
    <row r="24" spans="1:12" s="496" customFormat="1" ht="15.75">
      <c r="A24" s="1320">
        <v>7</v>
      </c>
      <c r="B24" s="497">
        <f t="shared" si="2"/>
        <v>1994</v>
      </c>
      <c r="C24" s="497"/>
      <c r="D24" s="1631">
        <f t="shared" si="3"/>
        <v>95864364.639999986</v>
      </c>
      <c r="E24" s="1629"/>
      <c r="F24" s="1630">
        <f t="shared" si="0"/>
        <v>93685629.079999983</v>
      </c>
      <c r="G24" s="1630"/>
      <c r="H24" s="1629">
        <f t="shared" si="1"/>
        <v>2178735.56</v>
      </c>
      <c r="I24" s="1557"/>
      <c r="J24" s="1558"/>
      <c r="K24" s="507"/>
      <c r="L24" s="499"/>
    </row>
    <row r="25" spans="1:12" s="496" customFormat="1" ht="15.75">
      <c r="A25" s="1320">
        <v>8</v>
      </c>
      <c r="B25" s="497">
        <f t="shared" si="2"/>
        <v>1995</v>
      </c>
      <c r="C25" s="497"/>
      <c r="D25" s="1631">
        <f t="shared" si="3"/>
        <v>93685629.079999983</v>
      </c>
      <c r="E25" s="1629"/>
      <c r="F25" s="1630">
        <f t="shared" si="0"/>
        <v>91506893.519999981</v>
      </c>
      <c r="G25" s="1630"/>
      <c r="H25" s="1629">
        <f t="shared" si="1"/>
        <v>2178735.56</v>
      </c>
      <c r="I25" s="1557"/>
      <c r="J25" s="1558"/>
      <c r="K25" s="507"/>
      <c r="L25" s="499"/>
    </row>
    <row r="26" spans="1:12" s="496" customFormat="1" ht="15.75">
      <c r="A26" s="1320">
        <v>9</v>
      </c>
      <c r="B26" s="497">
        <f t="shared" si="2"/>
        <v>1996</v>
      </c>
      <c r="C26" s="497"/>
      <c r="D26" s="1631">
        <f t="shared" si="3"/>
        <v>91506893.519999981</v>
      </c>
      <c r="E26" s="1629"/>
      <c r="F26" s="1630">
        <f t="shared" si="0"/>
        <v>89328157.959999979</v>
      </c>
      <c r="G26" s="1630"/>
      <c r="H26" s="1629">
        <f t="shared" si="1"/>
        <v>2178735.56</v>
      </c>
      <c r="I26" s="1557"/>
      <c r="J26" s="1558"/>
      <c r="K26" s="507"/>
      <c r="L26" s="499"/>
    </row>
    <row r="27" spans="1:12" s="496" customFormat="1" ht="15.75">
      <c r="A27" s="1320">
        <v>10</v>
      </c>
      <c r="B27" s="497">
        <f t="shared" si="2"/>
        <v>1997</v>
      </c>
      <c r="C27" s="497"/>
      <c r="D27" s="1631">
        <f t="shared" si="3"/>
        <v>89328157.959999979</v>
      </c>
      <c r="E27" s="1629"/>
      <c r="F27" s="1630">
        <f t="shared" si="0"/>
        <v>87149422.399999976</v>
      </c>
      <c r="G27" s="1630"/>
      <c r="H27" s="1629">
        <f t="shared" si="1"/>
        <v>2178735.56</v>
      </c>
      <c r="I27" s="1557"/>
      <c r="J27" s="1559"/>
      <c r="K27" s="507"/>
      <c r="L27" s="510"/>
    </row>
    <row r="28" spans="1:12" s="496" customFormat="1" ht="15.75">
      <c r="A28" s="1320">
        <v>11</v>
      </c>
      <c r="B28" s="497">
        <f t="shared" si="2"/>
        <v>1998</v>
      </c>
      <c r="C28" s="497"/>
      <c r="D28" s="1631">
        <f t="shared" si="3"/>
        <v>87149422.399999976</v>
      </c>
      <c r="E28" s="1629"/>
      <c r="F28" s="1630">
        <f t="shared" si="0"/>
        <v>84970686.839999974</v>
      </c>
      <c r="G28" s="1630"/>
      <c r="H28" s="1629">
        <f t="shared" si="1"/>
        <v>2178735.56</v>
      </c>
      <c r="I28" s="1557"/>
      <c r="J28" s="1558"/>
      <c r="K28" s="507"/>
      <c r="L28" s="499"/>
    </row>
    <row r="29" spans="1:12" s="496" customFormat="1" ht="15.75">
      <c r="A29" s="1320">
        <v>12</v>
      </c>
      <c r="B29" s="497">
        <f t="shared" si="2"/>
        <v>1999</v>
      </c>
      <c r="C29" s="497"/>
      <c r="D29" s="1631">
        <f t="shared" si="3"/>
        <v>84970686.839999974</v>
      </c>
      <c r="E29" s="1629"/>
      <c r="F29" s="1630">
        <f t="shared" si="0"/>
        <v>82791951.279999971</v>
      </c>
      <c r="G29" s="1630"/>
      <c r="H29" s="1629">
        <f t="shared" si="1"/>
        <v>2178735.56</v>
      </c>
      <c r="I29" s="1557"/>
      <c r="J29" s="1558"/>
      <c r="K29" s="507"/>
      <c r="L29" s="499"/>
    </row>
    <row r="30" spans="1:12" s="496" customFormat="1" ht="15.75">
      <c r="A30" s="1320">
        <v>13</v>
      </c>
      <c r="B30" s="497">
        <f t="shared" si="2"/>
        <v>2000</v>
      </c>
      <c r="C30" s="497"/>
      <c r="D30" s="1631">
        <f t="shared" si="3"/>
        <v>82791951.279999971</v>
      </c>
      <c r="E30" s="1629"/>
      <c r="F30" s="1630">
        <f t="shared" si="0"/>
        <v>80613215.719999969</v>
      </c>
      <c r="G30" s="1630"/>
      <c r="H30" s="1629">
        <f t="shared" si="1"/>
        <v>2178735.56</v>
      </c>
      <c r="I30" s="1557"/>
      <c r="J30" s="1558"/>
      <c r="K30" s="507"/>
      <c r="L30" s="499"/>
    </row>
    <row r="31" spans="1:12" s="496" customFormat="1" ht="15.75">
      <c r="A31" s="1320">
        <v>14</v>
      </c>
      <c r="B31" s="497">
        <f t="shared" si="2"/>
        <v>2001</v>
      </c>
      <c r="C31" s="497"/>
      <c r="D31" s="1631">
        <f t="shared" si="3"/>
        <v>80613215.719999969</v>
      </c>
      <c r="E31" s="1629"/>
      <c r="F31" s="1630">
        <f t="shared" si="0"/>
        <v>78434480.159999967</v>
      </c>
      <c r="G31" s="1630"/>
      <c r="H31" s="1629">
        <f t="shared" si="1"/>
        <v>2178735.56</v>
      </c>
      <c r="I31" s="1557"/>
      <c r="J31" s="1558"/>
      <c r="K31" s="507"/>
      <c r="L31" s="499"/>
    </row>
    <row r="32" spans="1:12" s="496" customFormat="1" ht="15.75">
      <c r="A32" s="1320">
        <v>15</v>
      </c>
      <c r="B32" s="497">
        <f t="shared" si="2"/>
        <v>2002</v>
      </c>
      <c r="C32" s="497"/>
      <c r="D32" s="1631">
        <f t="shared" si="3"/>
        <v>78434480.159999967</v>
      </c>
      <c r="E32" s="1629"/>
      <c r="F32" s="1630">
        <f t="shared" si="0"/>
        <v>76255744.599999964</v>
      </c>
      <c r="G32" s="1630"/>
      <c r="H32" s="1629">
        <f t="shared" si="1"/>
        <v>2178735.56</v>
      </c>
      <c r="I32" s="1557"/>
      <c r="J32" s="1558"/>
      <c r="K32" s="507"/>
      <c r="L32" s="499"/>
    </row>
    <row r="33" spans="1:12" s="496" customFormat="1" ht="15.75">
      <c r="A33" s="1320">
        <v>16</v>
      </c>
      <c r="B33" s="497">
        <f t="shared" si="2"/>
        <v>2003</v>
      </c>
      <c r="C33" s="497"/>
      <c r="D33" s="1631">
        <f t="shared" si="3"/>
        <v>76255744.599999964</v>
      </c>
      <c r="E33" s="1629"/>
      <c r="F33" s="1630">
        <f t="shared" si="0"/>
        <v>74077009.039999962</v>
      </c>
      <c r="G33" s="1630"/>
      <c r="H33" s="1629">
        <f t="shared" si="1"/>
        <v>2178735.56</v>
      </c>
      <c r="I33" s="1557"/>
      <c r="J33" s="1558"/>
      <c r="K33" s="507"/>
      <c r="L33" s="499"/>
    </row>
    <row r="34" spans="1:12" s="496" customFormat="1" ht="15.75">
      <c r="A34" s="1320">
        <v>17</v>
      </c>
      <c r="B34" s="497">
        <f t="shared" si="2"/>
        <v>2004</v>
      </c>
      <c r="C34" s="497"/>
      <c r="D34" s="1631">
        <f t="shared" si="3"/>
        <v>74077009.039999962</v>
      </c>
      <c r="E34" s="1629"/>
      <c r="F34" s="1630">
        <f t="shared" si="0"/>
        <v>71898273.479999959</v>
      </c>
      <c r="G34" s="1630"/>
      <c r="H34" s="1629">
        <f t="shared" si="1"/>
        <v>2178735.56</v>
      </c>
      <c r="I34" s="1557"/>
      <c r="J34" s="1558"/>
      <c r="K34" s="507"/>
      <c r="L34" s="499"/>
    </row>
    <row r="35" spans="1:12" s="496" customFormat="1" ht="15.75">
      <c r="A35" s="1320">
        <v>18</v>
      </c>
      <c r="B35" s="497">
        <f t="shared" si="2"/>
        <v>2005</v>
      </c>
      <c r="C35" s="497"/>
      <c r="D35" s="1631">
        <f t="shared" si="3"/>
        <v>71898273.479999959</v>
      </c>
      <c r="E35" s="1629"/>
      <c r="F35" s="1630">
        <f t="shared" si="0"/>
        <v>69719537.919999957</v>
      </c>
      <c r="G35" s="1630"/>
      <c r="H35" s="1629">
        <f t="shared" si="1"/>
        <v>2178735.56</v>
      </c>
      <c r="I35" s="1557"/>
      <c r="J35" s="1558"/>
      <c r="K35" s="507"/>
      <c r="L35" s="499"/>
    </row>
    <row r="36" spans="1:12" s="496" customFormat="1" ht="15.75">
      <c r="A36" s="1320">
        <v>19</v>
      </c>
      <c r="B36" s="497">
        <f t="shared" si="2"/>
        <v>2006</v>
      </c>
      <c r="C36" s="497"/>
      <c r="D36" s="1631">
        <f t="shared" si="3"/>
        <v>69719537.919999957</v>
      </c>
      <c r="E36" s="1629"/>
      <c r="F36" s="1630">
        <f t="shared" si="0"/>
        <v>67540802.359999955</v>
      </c>
      <c r="G36" s="1630"/>
      <c r="H36" s="1629">
        <f t="shared" si="1"/>
        <v>2178735.56</v>
      </c>
      <c r="I36" s="1557"/>
      <c r="J36" s="1558"/>
      <c r="K36" s="507"/>
      <c r="L36" s="499"/>
    </row>
    <row r="37" spans="1:12" s="496" customFormat="1" ht="15.75">
      <c r="A37" s="1320">
        <v>20</v>
      </c>
      <c r="B37" s="497">
        <f t="shared" si="2"/>
        <v>2007</v>
      </c>
      <c r="C37" s="497"/>
      <c r="D37" s="1631">
        <f t="shared" si="3"/>
        <v>67540802.359999955</v>
      </c>
      <c r="E37" s="1629"/>
      <c r="F37" s="1630">
        <f t="shared" si="0"/>
        <v>65362066.799999952</v>
      </c>
      <c r="G37" s="1630"/>
      <c r="H37" s="1629">
        <f t="shared" si="1"/>
        <v>2178735.56</v>
      </c>
      <c r="I37" s="1557"/>
      <c r="J37" s="1558"/>
      <c r="K37" s="507"/>
      <c r="L37" s="499"/>
    </row>
    <row r="38" spans="1:12" s="496" customFormat="1" ht="15.75">
      <c r="A38" s="1320">
        <v>21</v>
      </c>
      <c r="B38" s="497">
        <f t="shared" si="2"/>
        <v>2008</v>
      </c>
      <c r="C38" s="497"/>
      <c r="D38" s="1631">
        <f t="shared" si="3"/>
        <v>65362066.799999952</v>
      </c>
      <c r="E38" s="1629"/>
      <c r="F38" s="1630">
        <f t="shared" si="0"/>
        <v>63183331.23999995</v>
      </c>
      <c r="G38" s="1630"/>
      <c r="H38" s="1629">
        <f t="shared" si="1"/>
        <v>2178735.56</v>
      </c>
      <c r="I38" s="1557"/>
      <c r="J38" s="1558"/>
      <c r="K38" s="507"/>
      <c r="L38" s="499"/>
    </row>
    <row r="39" spans="1:12" s="496" customFormat="1" ht="15.75">
      <c r="A39" s="1320">
        <v>22</v>
      </c>
      <c r="B39" s="497">
        <f t="shared" si="2"/>
        <v>2009</v>
      </c>
      <c r="C39" s="497"/>
      <c r="D39" s="1631">
        <f t="shared" si="3"/>
        <v>63183331.23999995</v>
      </c>
      <c r="E39" s="1629"/>
      <c r="F39" s="1630">
        <f t="shared" si="0"/>
        <v>61004595.679999948</v>
      </c>
      <c r="G39" s="1630"/>
      <c r="H39" s="1629">
        <f t="shared" si="1"/>
        <v>2178735.56</v>
      </c>
      <c r="I39" s="1557"/>
      <c r="J39" s="1558"/>
      <c r="K39" s="507"/>
      <c r="L39" s="499"/>
    </row>
    <row r="40" spans="1:12" s="496" customFormat="1" ht="15.75">
      <c r="A40" s="1320">
        <v>23</v>
      </c>
      <c r="B40" s="497">
        <f t="shared" si="2"/>
        <v>2010</v>
      </c>
      <c r="C40" s="497"/>
      <c r="D40" s="1631">
        <f t="shared" si="3"/>
        <v>61004595.679999948</v>
      </c>
      <c r="E40" s="1629"/>
      <c r="F40" s="1630">
        <f t="shared" si="0"/>
        <v>58825860.119999945</v>
      </c>
      <c r="G40" s="1630"/>
      <c r="H40" s="1629">
        <f t="shared" si="1"/>
        <v>2178735.56</v>
      </c>
      <c r="I40" s="1557"/>
      <c r="J40" s="1559"/>
      <c r="K40" s="507"/>
      <c r="L40" s="510"/>
    </row>
    <row r="41" spans="1:12" s="496" customFormat="1" ht="15.75">
      <c r="A41" s="1320">
        <v>24</v>
      </c>
      <c r="B41" s="497">
        <f t="shared" si="2"/>
        <v>2011</v>
      </c>
      <c r="C41" s="497"/>
      <c r="D41" s="1631">
        <f t="shared" si="3"/>
        <v>58825860.119999945</v>
      </c>
      <c r="E41" s="1629"/>
      <c r="F41" s="1630">
        <f t="shared" si="0"/>
        <v>56647124.559999943</v>
      </c>
      <c r="G41" s="1630"/>
      <c r="H41" s="1629">
        <f t="shared" si="1"/>
        <v>2178735.56</v>
      </c>
      <c r="I41" s="1557"/>
      <c r="J41" s="1559"/>
      <c r="K41" s="507"/>
      <c r="L41" s="510"/>
    </row>
    <row r="42" spans="1:12" s="496" customFormat="1" ht="15.75">
      <c r="A42" s="1320">
        <v>25</v>
      </c>
      <c r="B42" s="511">
        <f t="shared" si="2"/>
        <v>2012</v>
      </c>
      <c r="C42" s="511"/>
      <c r="D42" s="1632">
        <f t="shared" si="3"/>
        <v>56647124.559999943</v>
      </c>
      <c r="E42" s="1633"/>
      <c r="F42" s="1634">
        <f t="shared" si="0"/>
        <v>54468388.99999994</v>
      </c>
      <c r="G42" s="1634"/>
      <c r="H42" s="1633">
        <f t="shared" si="1"/>
        <v>2178735.56</v>
      </c>
      <c r="I42" s="1560"/>
      <c r="J42" s="1561"/>
      <c r="K42" s="507"/>
      <c r="L42" s="510"/>
    </row>
    <row r="43" spans="1:12" s="496" customFormat="1" ht="15.75">
      <c r="A43" s="1320">
        <v>26</v>
      </c>
      <c r="B43" s="497">
        <f t="shared" si="2"/>
        <v>2013</v>
      </c>
      <c r="C43" s="497"/>
      <c r="D43" s="1632">
        <f t="shared" si="3"/>
        <v>54468388.99999994</v>
      </c>
      <c r="E43" s="1633"/>
      <c r="F43" s="1634">
        <f t="shared" si="0"/>
        <v>52289653.439999938</v>
      </c>
      <c r="G43" s="1634"/>
      <c r="H43" s="1633">
        <f t="shared" si="1"/>
        <v>2178735.56</v>
      </c>
      <c r="I43" s="1560"/>
      <c r="J43" s="1562"/>
      <c r="K43" s="507"/>
      <c r="L43" s="510"/>
    </row>
    <row r="44" spans="1:12" s="496" customFormat="1" ht="15.75">
      <c r="A44" s="1320">
        <v>27</v>
      </c>
      <c r="B44" s="497">
        <f t="shared" si="2"/>
        <v>2014</v>
      </c>
      <c r="C44" s="497"/>
      <c r="D44" s="1632">
        <f t="shared" si="3"/>
        <v>52289653.439999938</v>
      </c>
      <c r="E44" s="1633"/>
      <c r="F44" s="1634">
        <f t="shared" si="0"/>
        <v>50110917.879999936</v>
      </c>
      <c r="G44" s="1634"/>
      <c r="H44" s="1633">
        <f t="shared" si="1"/>
        <v>2178735.56</v>
      </c>
      <c r="I44" s="1560"/>
      <c r="J44" s="1562"/>
      <c r="K44" s="507"/>
      <c r="L44" s="510"/>
    </row>
    <row r="45" spans="1:12" s="496" customFormat="1" ht="15.75">
      <c r="A45" s="1320">
        <v>28</v>
      </c>
      <c r="B45" s="497">
        <f t="shared" si="2"/>
        <v>2015</v>
      </c>
      <c r="C45" s="497"/>
      <c r="D45" s="1631">
        <f t="shared" si="3"/>
        <v>50110917.879999936</v>
      </c>
      <c r="E45" s="1629"/>
      <c r="F45" s="1630">
        <f t="shared" si="0"/>
        <v>47932182.319999933</v>
      </c>
      <c r="G45" s="1630"/>
      <c r="H45" s="1629">
        <f t="shared" si="1"/>
        <v>2178735.56</v>
      </c>
      <c r="I45" s="1560"/>
      <c r="J45" s="1562"/>
      <c r="K45" s="507"/>
      <c r="L45" s="499"/>
    </row>
    <row r="46" spans="1:12" s="496" customFormat="1" ht="15.75">
      <c r="A46" s="1320">
        <v>29</v>
      </c>
      <c r="B46" s="497">
        <f t="shared" si="2"/>
        <v>2016</v>
      </c>
      <c r="C46" s="497"/>
      <c r="D46" s="1631">
        <f t="shared" si="3"/>
        <v>47932182.319999933</v>
      </c>
      <c r="E46" s="1629"/>
      <c r="F46" s="1630">
        <f t="shared" si="0"/>
        <v>45753446.759999931</v>
      </c>
      <c r="G46" s="1630"/>
      <c r="H46" s="1629">
        <f t="shared" si="1"/>
        <v>2178735.56</v>
      </c>
      <c r="I46" s="1557"/>
      <c r="J46" s="1562"/>
      <c r="K46" s="507"/>
      <c r="L46" s="499"/>
    </row>
    <row r="47" spans="1:12" s="496" customFormat="1" ht="15.75">
      <c r="A47" s="1320">
        <v>30</v>
      </c>
      <c r="B47" s="497">
        <f t="shared" si="2"/>
        <v>2017</v>
      </c>
      <c r="C47" s="497"/>
      <c r="D47" s="1631">
        <f t="shared" si="3"/>
        <v>45753446.759999931</v>
      </c>
      <c r="E47" s="1629"/>
      <c r="F47" s="1630">
        <f t="shared" si="0"/>
        <v>43574711.199999928</v>
      </c>
      <c r="G47" s="1630"/>
      <c r="H47" s="1629">
        <f t="shared" si="1"/>
        <v>2178735.56</v>
      </c>
      <c r="I47" s="1557"/>
      <c r="K47" s="507"/>
      <c r="L47" s="499"/>
    </row>
    <row r="48" spans="1:12" s="496" customFormat="1" ht="15.75">
      <c r="A48" s="1320">
        <v>31</v>
      </c>
      <c r="B48" s="497">
        <f t="shared" si="2"/>
        <v>2018</v>
      </c>
      <c r="C48" s="497"/>
      <c r="D48" s="1635">
        <f t="shared" si="3"/>
        <v>43574711.199999928</v>
      </c>
      <c r="E48" s="1636"/>
      <c r="F48" s="1637">
        <f t="shared" si="0"/>
        <v>41395975.639999926</v>
      </c>
      <c r="G48" s="1637"/>
      <c r="H48" s="1636">
        <f t="shared" si="1"/>
        <v>2178735.56</v>
      </c>
      <c r="I48" s="1557"/>
      <c r="J48" s="1563">
        <f>+(F47+F48)/2</f>
        <v>42485343.419999927</v>
      </c>
      <c r="K48" s="507"/>
      <c r="L48" s="499"/>
    </row>
    <row r="49" spans="1:12" s="496" customFormat="1" ht="15.75">
      <c r="A49" s="1320">
        <v>32</v>
      </c>
      <c r="B49" s="497">
        <f t="shared" si="2"/>
        <v>2019</v>
      </c>
      <c r="C49" s="497"/>
      <c r="D49" s="1631">
        <f t="shared" si="3"/>
        <v>41395975.639999926</v>
      </c>
      <c r="E49" s="1629"/>
      <c r="F49" s="1630">
        <f t="shared" si="0"/>
        <v>39217240.079999924</v>
      </c>
      <c r="G49" s="1630"/>
      <c r="H49" s="1629">
        <f t="shared" si="1"/>
        <v>2178735.56</v>
      </c>
      <c r="I49" s="1557"/>
      <c r="J49" s="1564"/>
      <c r="K49" s="507"/>
      <c r="L49" s="499"/>
    </row>
    <row r="50" spans="1:12" s="496" customFormat="1" ht="15.75">
      <c r="A50" s="1320">
        <v>33</v>
      </c>
      <c r="B50" s="497">
        <f t="shared" si="2"/>
        <v>2020</v>
      </c>
      <c r="C50" s="497"/>
      <c r="D50" s="1631">
        <f t="shared" si="3"/>
        <v>39217240.079999924</v>
      </c>
      <c r="E50" s="1629"/>
      <c r="F50" s="1630">
        <f t="shared" si="0"/>
        <v>37038504.519999921</v>
      </c>
      <c r="G50" s="1630"/>
      <c r="H50" s="1629">
        <f t="shared" si="1"/>
        <v>2178735.56</v>
      </c>
      <c r="I50" s="1557"/>
      <c r="J50" s="1564"/>
      <c r="K50" s="507"/>
      <c r="L50" s="499"/>
    </row>
    <row r="51" spans="1:12" s="496" customFormat="1" ht="15.75">
      <c r="A51" s="1320">
        <v>34</v>
      </c>
      <c r="B51" s="497">
        <f t="shared" si="2"/>
        <v>2021</v>
      </c>
      <c r="C51" s="497"/>
      <c r="D51" s="1631">
        <f t="shared" si="3"/>
        <v>37038504.519999921</v>
      </c>
      <c r="E51" s="1629"/>
      <c r="F51" s="1630">
        <f t="shared" si="0"/>
        <v>34859768.959999919</v>
      </c>
      <c r="G51" s="1630"/>
      <c r="H51" s="1629">
        <f t="shared" si="1"/>
        <v>2178735.56</v>
      </c>
      <c r="I51" s="1557"/>
      <c r="J51" s="1564"/>
      <c r="K51" s="507"/>
      <c r="L51" s="499"/>
    </row>
    <row r="52" spans="1:12" s="496" customFormat="1" ht="15.75">
      <c r="A52" s="1320">
        <v>35</v>
      </c>
      <c r="B52" s="497">
        <f t="shared" si="2"/>
        <v>2022</v>
      </c>
      <c r="C52" s="497"/>
      <c r="D52" s="1631">
        <f t="shared" si="3"/>
        <v>34859768.959999919</v>
      </c>
      <c r="E52" s="1629"/>
      <c r="F52" s="1630">
        <f t="shared" si="0"/>
        <v>32681033.39999992</v>
      </c>
      <c r="G52" s="1630"/>
      <c r="H52" s="1629">
        <f t="shared" si="1"/>
        <v>2178735.56</v>
      </c>
      <c r="I52" s="1557"/>
      <c r="J52" s="1564"/>
      <c r="K52" s="507"/>
      <c r="L52" s="499"/>
    </row>
    <row r="53" spans="1:12" s="496" customFormat="1" ht="15.75">
      <c r="A53" s="1320">
        <v>36</v>
      </c>
      <c r="B53" s="497">
        <f t="shared" si="2"/>
        <v>2023</v>
      </c>
      <c r="C53" s="497"/>
      <c r="D53" s="1631">
        <f t="shared" si="3"/>
        <v>32681033.39999992</v>
      </c>
      <c r="E53" s="1629"/>
      <c r="F53" s="1630">
        <f t="shared" si="0"/>
        <v>30502297.839999922</v>
      </c>
      <c r="G53" s="1630"/>
      <c r="H53" s="1629">
        <f t="shared" si="1"/>
        <v>2178735.56</v>
      </c>
      <c r="I53" s="1557"/>
      <c r="J53" s="1564"/>
      <c r="K53" s="507"/>
      <c r="L53" s="499"/>
    </row>
    <row r="54" spans="1:12" s="496" customFormat="1" ht="15.75">
      <c r="A54" s="1320">
        <v>37</v>
      </c>
      <c r="B54" s="497">
        <f t="shared" si="2"/>
        <v>2024</v>
      </c>
      <c r="C54" s="497"/>
      <c r="D54" s="1631">
        <f t="shared" si="3"/>
        <v>30502297.839999922</v>
      </c>
      <c r="E54" s="1629"/>
      <c r="F54" s="1630">
        <f t="shared" si="0"/>
        <v>28323562.279999923</v>
      </c>
      <c r="G54" s="1630"/>
      <c r="H54" s="1629">
        <f t="shared" si="1"/>
        <v>2178735.56</v>
      </c>
      <c r="I54" s="1557"/>
      <c r="J54" s="1564"/>
      <c r="K54" s="507"/>
      <c r="L54" s="499"/>
    </row>
    <row r="55" spans="1:12" s="496" customFormat="1" ht="15.75">
      <c r="A55" s="1320">
        <v>38</v>
      </c>
      <c r="B55" s="497">
        <f t="shared" si="2"/>
        <v>2025</v>
      </c>
      <c r="C55" s="497"/>
      <c r="D55" s="1631">
        <f t="shared" si="3"/>
        <v>28323562.279999923</v>
      </c>
      <c r="E55" s="1629"/>
      <c r="F55" s="1630">
        <f t="shared" si="0"/>
        <v>26144826.719999924</v>
      </c>
      <c r="G55" s="1630"/>
      <c r="H55" s="1629">
        <f t="shared" si="1"/>
        <v>2178735.56</v>
      </c>
      <c r="I55" s="1557"/>
      <c r="J55" s="1564"/>
      <c r="K55" s="507"/>
      <c r="L55" s="499"/>
    </row>
    <row r="56" spans="1:12" s="496" customFormat="1" ht="15.75">
      <c r="A56" s="1320">
        <v>39</v>
      </c>
      <c r="B56" s="497">
        <f t="shared" si="2"/>
        <v>2026</v>
      </c>
      <c r="C56" s="497"/>
      <c r="D56" s="1631">
        <f t="shared" si="3"/>
        <v>26144826.719999924</v>
      </c>
      <c r="E56" s="1629"/>
      <c r="F56" s="1630">
        <f t="shared" si="0"/>
        <v>23966091.159999926</v>
      </c>
      <c r="G56" s="1630"/>
      <c r="H56" s="1629">
        <f t="shared" si="1"/>
        <v>2178735.56</v>
      </c>
      <c r="I56" s="1557"/>
      <c r="J56" s="1564"/>
      <c r="K56" s="507"/>
      <c r="L56" s="499"/>
    </row>
    <row r="57" spans="1:12" s="496" customFormat="1" ht="15.75">
      <c r="A57" s="1320">
        <v>40</v>
      </c>
      <c r="B57" s="497">
        <f t="shared" si="2"/>
        <v>2027</v>
      </c>
      <c r="C57" s="497"/>
      <c r="D57" s="1631">
        <f t="shared" si="3"/>
        <v>23966091.159999926</v>
      </c>
      <c r="E57" s="1629"/>
      <c r="F57" s="1630">
        <f t="shared" si="0"/>
        <v>21787355.599999927</v>
      </c>
      <c r="G57" s="1630"/>
      <c r="H57" s="1629">
        <f t="shared" si="1"/>
        <v>2178735.56</v>
      </c>
      <c r="I57" s="1557"/>
      <c r="J57" s="1564"/>
      <c r="K57" s="507"/>
      <c r="L57" s="499"/>
    </row>
    <row r="58" spans="1:12" s="496" customFormat="1" ht="15.75">
      <c r="A58" s="1320">
        <v>41</v>
      </c>
      <c r="B58" s="497">
        <f t="shared" si="2"/>
        <v>2028</v>
      </c>
      <c r="C58" s="497"/>
      <c r="D58" s="1631">
        <f t="shared" si="3"/>
        <v>21787355.599999927</v>
      </c>
      <c r="E58" s="1629"/>
      <c r="F58" s="1630">
        <f t="shared" si="0"/>
        <v>19608620.039999928</v>
      </c>
      <c r="G58" s="1630"/>
      <c r="H58" s="1629">
        <f t="shared" si="1"/>
        <v>2178735.56</v>
      </c>
      <c r="I58" s="1557"/>
      <c r="J58" s="1564"/>
      <c r="K58" s="507"/>
      <c r="L58" s="499"/>
    </row>
    <row r="59" spans="1:12" s="496" customFormat="1" ht="15.75">
      <c r="A59" s="1320">
        <v>42</v>
      </c>
      <c r="B59" s="497">
        <f t="shared" si="2"/>
        <v>2029</v>
      </c>
      <c r="C59" s="497"/>
      <c r="D59" s="1631">
        <f t="shared" si="3"/>
        <v>19608620.039999928</v>
      </c>
      <c r="E59" s="1629"/>
      <c r="F59" s="1630">
        <f t="shared" si="0"/>
        <v>17429884.47999993</v>
      </c>
      <c r="G59" s="1630"/>
      <c r="H59" s="1629">
        <f t="shared" si="1"/>
        <v>2178735.56</v>
      </c>
      <c r="I59" s="1557"/>
      <c r="J59" s="1564"/>
      <c r="K59" s="507"/>
      <c r="L59" s="499"/>
    </row>
    <row r="60" spans="1:12" s="496" customFormat="1" ht="15.75">
      <c r="A60" s="1320">
        <v>43</v>
      </c>
      <c r="B60" s="497">
        <f t="shared" si="2"/>
        <v>2030</v>
      </c>
      <c r="C60" s="497"/>
      <c r="D60" s="1631">
        <f t="shared" si="3"/>
        <v>17429884.47999993</v>
      </c>
      <c r="E60" s="1629"/>
      <c r="F60" s="1630">
        <f t="shared" si="0"/>
        <v>15251148.919999929</v>
      </c>
      <c r="G60" s="1630"/>
      <c r="H60" s="1629">
        <f t="shared" si="1"/>
        <v>2178735.56</v>
      </c>
      <c r="I60" s="1557"/>
      <c r="J60" s="1564"/>
      <c r="K60" s="507"/>
      <c r="L60" s="499"/>
    </row>
    <row r="61" spans="1:12" s="496" customFormat="1" ht="15.75">
      <c r="A61" s="1320">
        <v>44</v>
      </c>
      <c r="B61" s="497">
        <f t="shared" si="2"/>
        <v>2031</v>
      </c>
      <c r="C61" s="497"/>
      <c r="D61" s="1631">
        <f t="shared" si="3"/>
        <v>15251148.919999929</v>
      </c>
      <c r="E61" s="1629"/>
      <c r="F61" s="1630">
        <f t="shared" si="0"/>
        <v>13072413.359999929</v>
      </c>
      <c r="G61" s="1630"/>
      <c r="H61" s="1629">
        <f t="shared" si="1"/>
        <v>2178735.56</v>
      </c>
      <c r="I61" s="1557"/>
      <c r="J61" s="1564"/>
      <c r="K61" s="507"/>
      <c r="L61" s="499"/>
    </row>
    <row r="62" spans="1:12" s="496" customFormat="1" ht="15.75">
      <c r="A62" s="1320">
        <v>45</v>
      </c>
      <c r="B62" s="497">
        <f t="shared" si="2"/>
        <v>2032</v>
      </c>
      <c r="C62" s="497"/>
      <c r="D62" s="1631">
        <f t="shared" si="3"/>
        <v>13072413.359999929</v>
      </c>
      <c r="E62" s="1629"/>
      <c r="F62" s="1630">
        <f t="shared" si="0"/>
        <v>10893677.799999928</v>
      </c>
      <c r="G62" s="1630"/>
      <c r="H62" s="1629">
        <f t="shared" si="1"/>
        <v>2178735.56</v>
      </c>
      <c r="I62" s="1557"/>
      <c r="J62" s="1564"/>
      <c r="K62" s="507"/>
      <c r="L62" s="499"/>
    </row>
    <row r="63" spans="1:12" s="496" customFormat="1" ht="15.75">
      <c r="A63" s="1320">
        <v>46</v>
      </c>
      <c r="B63" s="497">
        <f t="shared" si="2"/>
        <v>2033</v>
      </c>
      <c r="C63" s="497"/>
      <c r="D63" s="1631">
        <f t="shared" si="3"/>
        <v>10893677.799999928</v>
      </c>
      <c r="E63" s="1629"/>
      <c r="F63" s="1630">
        <f t="shared" si="0"/>
        <v>8714942.2399999276</v>
      </c>
      <c r="G63" s="1630"/>
      <c r="H63" s="1629">
        <f t="shared" si="1"/>
        <v>2178735.56</v>
      </c>
      <c r="I63" s="1557"/>
      <c r="J63" s="1564"/>
      <c r="K63" s="507"/>
      <c r="L63" s="499"/>
    </row>
    <row r="64" spans="1:12" s="496" customFormat="1" ht="15.75">
      <c r="A64" s="1320">
        <v>47</v>
      </c>
      <c r="B64" s="497">
        <f t="shared" si="2"/>
        <v>2034</v>
      </c>
      <c r="C64" s="497"/>
      <c r="D64" s="1631">
        <f t="shared" si="3"/>
        <v>8714942.2399999276</v>
      </c>
      <c r="E64" s="1629"/>
      <c r="F64" s="1630">
        <f t="shared" si="0"/>
        <v>6536206.6799999271</v>
      </c>
      <c r="G64" s="1630"/>
      <c r="H64" s="1629">
        <f t="shared" si="1"/>
        <v>2178735.56</v>
      </c>
      <c r="I64" s="1557"/>
      <c r="J64" s="1564"/>
      <c r="K64" s="507"/>
      <c r="L64" s="499"/>
    </row>
    <row r="65" spans="1:12" s="496" customFormat="1" ht="15.75">
      <c r="A65" s="1320">
        <v>48</v>
      </c>
      <c r="B65" s="497">
        <f t="shared" si="2"/>
        <v>2035</v>
      </c>
      <c r="C65" s="497"/>
      <c r="D65" s="1631">
        <f t="shared" si="3"/>
        <v>6536206.6799999271</v>
      </c>
      <c r="E65" s="1629"/>
      <c r="F65" s="1630">
        <f t="shared" si="0"/>
        <v>4357471.1199999265</v>
      </c>
      <c r="G65" s="1630"/>
      <c r="H65" s="1629">
        <f t="shared" si="1"/>
        <v>2178735.56</v>
      </c>
      <c r="I65" s="1557"/>
      <c r="J65" s="1564"/>
      <c r="K65" s="507"/>
      <c r="L65" s="499"/>
    </row>
    <row r="66" spans="1:12" s="496" customFormat="1" ht="15.75">
      <c r="A66" s="1320">
        <v>49</v>
      </c>
      <c r="B66" s="497">
        <f t="shared" si="2"/>
        <v>2036</v>
      </c>
      <c r="C66" s="497"/>
      <c r="D66" s="1631">
        <f t="shared" si="3"/>
        <v>4357471.1199999265</v>
      </c>
      <c r="E66" s="1629"/>
      <c r="F66" s="1630">
        <f t="shared" si="0"/>
        <v>2178735.5599999265</v>
      </c>
      <c r="G66" s="1630"/>
      <c r="H66" s="1629">
        <f t="shared" si="1"/>
        <v>2178735.56</v>
      </c>
      <c r="I66" s="1557"/>
      <c r="J66" s="1564"/>
      <c r="K66" s="507"/>
      <c r="L66" s="499"/>
    </row>
    <row r="67" spans="1:12" s="496" customFormat="1" ht="15.75">
      <c r="A67" s="1320">
        <v>50</v>
      </c>
      <c r="B67" s="497">
        <f t="shared" si="2"/>
        <v>2037</v>
      </c>
      <c r="C67" s="497"/>
      <c r="D67" s="1635">
        <f t="shared" si="3"/>
        <v>2178735.5599999265</v>
      </c>
      <c r="E67" s="1629"/>
      <c r="F67" s="1637">
        <f>D67-H67</f>
        <v>-7.3574483394622803E-8</v>
      </c>
      <c r="G67" s="1630"/>
      <c r="H67" s="1636">
        <f t="shared" si="1"/>
        <v>2178735.56</v>
      </c>
      <c r="I67" s="1557"/>
      <c r="J67" s="1564"/>
      <c r="K67" s="507"/>
      <c r="L67" s="499"/>
    </row>
    <row r="68" spans="1:12" s="496" customFormat="1">
      <c r="B68" s="497"/>
      <c r="C68" s="497"/>
      <c r="D68" s="1310"/>
      <c r="E68" s="1557"/>
      <c r="F68" s="1310"/>
      <c r="G68" s="1310"/>
      <c r="H68" s="1310"/>
      <c r="I68" s="1310"/>
      <c r="J68" s="1310"/>
      <c r="K68" s="499"/>
      <c r="L68" s="499"/>
    </row>
    <row r="69" spans="1:12" s="496" customFormat="1" ht="16.5" thickBot="1">
      <c r="A69" s="1370">
        <v>51</v>
      </c>
      <c r="B69" s="512" t="s">
        <v>4</v>
      </c>
      <c r="C69" s="497"/>
      <c r="D69" s="1310"/>
      <c r="E69" s="1557"/>
      <c r="F69" s="1310"/>
      <c r="G69" s="1310"/>
      <c r="H69" s="1565">
        <f>SUM(H18:H67)</f>
        <v>108936778.00000007</v>
      </c>
      <c r="I69" s="1307"/>
      <c r="J69" s="1307"/>
      <c r="K69" s="499"/>
      <c r="L69" s="499"/>
    </row>
    <row r="70" spans="1:12" s="496" customFormat="1" ht="15.75" thickTop="1">
      <c r="C70" s="497"/>
      <c r="D70" s="1562"/>
      <c r="E70" s="1557"/>
      <c r="F70" s="1562"/>
      <c r="G70" s="1310"/>
      <c r="H70" s="1562"/>
      <c r="I70" s="1562"/>
      <c r="J70" s="1562"/>
      <c r="K70" s="499"/>
      <c r="L70" s="499"/>
    </row>
    <row r="71" spans="1:12" s="513" customFormat="1" ht="14.25">
      <c r="D71" s="1566"/>
      <c r="E71" s="1566"/>
      <c r="F71" s="1566"/>
      <c r="G71" s="1566"/>
      <c r="H71" s="1566"/>
      <c r="I71" s="1566"/>
      <c r="J71" s="1566"/>
      <c r="K71" s="514"/>
      <c r="L71" s="514"/>
    </row>
    <row r="72" spans="1:12" s="513" customFormat="1" ht="14.25">
      <c r="K72" s="514"/>
      <c r="L72" s="514"/>
    </row>
  </sheetData>
  <customSheetViews>
    <customSheetView guid="{B321D76C-CDE5-48BB-9CDE-80FF97D58FCF}" scale="90" showPageBreaks="1" fitToPage="1" printArea="1" view="pageBreakPreview" topLeftCell="A4">
      <selection activeCell="D33" sqref="D33"/>
      <rowBreaks count="1" manualBreakCount="1">
        <brk id="71" max="16383" man="1"/>
      </rowBreaks>
      <pageMargins left="0.2" right="0.2" top="0.33" bottom="0.28000000000000003" header="0.05" footer="0.05"/>
      <printOptions horizontalCentered="1"/>
      <pageSetup scale="65" orientation="portrait" r:id="rId1"/>
    </customSheetView>
  </customSheetViews>
  <mergeCells count="6">
    <mergeCell ref="A9:K9"/>
    <mergeCell ref="A7:K7"/>
    <mergeCell ref="A8:K8"/>
    <mergeCell ref="A3:K3"/>
    <mergeCell ref="A4:K4"/>
    <mergeCell ref="A5:K5"/>
  </mergeCells>
  <printOptions horizontalCentered="1"/>
  <pageMargins left="0.2" right="0.2" top="0.33" bottom="0.28000000000000003" header="0.05" footer="0.05"/>
  <pageSetup scale="64" orientation="portrait" r:id="rId2"/>
  <rowBreaks count="1" manualBreakCount="1">
    <brk id="71" max="16383"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pageSetUpPr fitToPage="1"/>
  </sheetPr>
  <dimension ref="A1:Q89"/>
  <sheetViews>
    <sheetView tabSelected="1" view="pageBreakPreview" zoomScale="70" zoomScaleNormal="80" zoomScaleSheetLayoutView="70" workbookViewId="0">
      <selection activeCell="C30" sqref="C30"/>
    </sheetView>
  </sheetViews>
  <sheetFormatPr defaultRowHeight="12.75"/>
  <cols>
    <col min="1" max="1" width="3.5" style="46" customWidth="1"/>
    <col min="2" max="2" width="12" style="46" hidden="1" customWidth="1"/>
    <col min="3" max="3" width="16.125" style="46" customWidth="1"/>
    <col min="4" max="4" width="1.5" style="46" customWidth="1"/>
    <col min="5" max="5" width="53.75" style="46" customWidth="1"/>
    <col min="6" max="6" width="13.75" style="46" bestFit="1" customWidth="1"/>
    <col min="7" max="7" width="19.125" style="108" customWidth="1"/>
    <col min="8" max="9" width="17.75" style="108" bestFit="1" customWidth="1"/>
    <col min="10" max="10" width="13.75" style="46" bestFit="1" customWidth="1"/>
    <col min="11" max="11" width="29.125" style="46" customWidth="1"/>
    <col min="12" max="13" width="17.75" style="46" bestFit="1" customWidth="1"/>
    <col min="14" max="254" width="9" style="46"/>
    <col min="255" max="255" width="12" style="46" customWidth="1"/>
    <col min="256" max="256" width="8.125" style="46" bestFit="1" customWidth="1"/>
    <col min="257" max="257" width="40.75" style="46" bestFit="1" customWidth="1"/>
    <col min="258" max="258" width="11.75" style="46" bestFit="1" customWidth="1"/>
    <col min="259" max="259" width="11.25" style="46" bestFit="1" customWidth="1"/>
    <col min="260" max="260" width="13" style="46" bestFit="1" customWidth="1"/>
    <col min="261" max="510" width="9" style="46"/>
    <col min="511" max="511" width="12" style="46" customWidth="1"/>
    <col min="512" max="512" width="8.125" style="46" bestFit="1" customWidth="1"/>
    <col min="513" max="513" width="40.75" style="46" bestFit="1" customWidth="1"/>
    <col min="514" max="514" width="11.75" style="46" bestFit="1" customWidth="1"/>
    <col min="515" max="515" width="11.25" style="46" bestFit="1" customWidth="1"/>
    <col min="516" max="516" width="13" style="46" bestFit="1" customWidth="1"/>
    <col min="517" max="766" width="9" style="46"/>
    <col min="767" max="767" width="12" style="46" customWidth="1"/>
    <col min="768" max="768" width="8.125" style="46" bestFit="1" customWidth="1"/>
    <col min="769" max="769" width="40.75" style="46" bestFit="1" customWidth="1"/>
    <col min="770" max="770" width="11.75" style="46" bestFit="1" customWidth="1"/>
    <col min="771" max="771" width="11.25" style="46" bestFit="1" customWidth="1"/>
    <col min="772" max="772" width="13" style="46" bestFit="1" customWidth="1"/>
    <col min="773" max="1022" width="9" style="46"/>
    <col min="1023" max="1023" width="12" style="46" customWidth="1"/>
    <col min="1024" max="1024" width="8.125" style="46" bestFit="1" customWidth="1"/>
    <col min="1025" max="1025" width="40.75" style="46" bestFit="1" customWidth="1"/>
    <col min="1026" max="1026" width="11.75" style="46" bestFit="1" customWidth="1"/>
    <col min="1027" max="1027" width="11.25" style="46" bestFit="1" customWidth="1"/>
    <col min="1028" max="1028" width="13" style="46" bestFit="1" customWidth="1"/>
    <col min="1029" max="1278" width="9" style="46"/>
    <col min="1279" max="1279" width="12" style="46" customWidth="1"/>
    <col min="1280" max="1280" width="8.125" style="46" bestFit="1" customWidth="1"/>
    <col min="1281" max="1281" width="40.75" style="46" bestFit="1" customWidth="1"/>
    <col min="1282" max="1282" width="11.75" style="46" bestFit="1" customWidth="1"/>
    <col min="1283" max="1283" width="11.25" style="46" bestFit="1" customWidth="1"/>
    <col min="1284" max="1284" width="13" style="46" bestFit="1" customWidth="1"/>
    <col min="1285" max="1534" width="9" style="46"/>
    <col min="1535" max="1535" width="12" style="46" customWidth="1"/>
    <col min="1536" max="1536" width="8.125" style="46" bestFit="1" customWidth="1"/>
    <col min="1537" max="1537" width="40.75" style="46" bestFit="1" customWidth="1"/>
    <col min="1538" max="1538" width="11.75" style="46" bestFit="1" customWidth="1"/>
    <col min="1539" max="1539" width="11.25" style="46" bestFit="1" customWidth="1"/>
    <col min="1540" max="1540" width="13" style="46" bestFit="1" customWidth="1"/>
    <col min="1541" max="1790" width="9" style="46"/>
    <col min="1791" max="1791" width="12" style="46" customWidth="1"/>
    <col min="1792" max="1792" width="8.125" style="46" bestFit="1" customWidth="1"/>
    <col min="1793" max="1793" width="40.75" style="46" bestFit="1" customWidth="1"/>
    <col min="1794" max="1794" width="11.75" style="46" bestFit="1" customWidth="1"/>
    <col min="1795" max="1795" width="11.25" style="46" bestFit="1" customWidth="1"/>
    <col min="1796" max="1796" width="13" style="46" bestFit="1" customWidth="1"/>
    <col min="1797" max="2046" width="9" style="46"/>
    <col min="2047" max="2047" width="12" style="46" customWidth="1"/>
    <col min="2048" max="2048" width="8.125" style="46" bestFit="1" customWidth="1"/>
    <col min="2049" max="2049" width="40.75" style="46" bestFit="1" customWidth="1"/>
    <col min="2050" max="2050" width="11.75" style="46" bestFit="1" customWidth="1"/>
    <col min="2051" max="2051" width="11.25" style="46" bestFit="1" customWidth="1"/>
    <col min="2052" max="2052" width="13" style="46" bestFit="1" customWidth="1"/>
    <col min="2053" max="2302" width="9" style="46"/>
    <col min="2303" max="2303" width="12" style="46" customWidth="1"/>
    <col min="2304" max="2304" width="8.125" style="46" bestFit="1" customWidth="1"/>
    <col min="2305" max="2305" width="40.75" style="46" bestFit="1" customWidth="1"/>
    <col min="2306" max="2306" width="11.75" style="46" bestFit="1" customWidth="1"/>
    <col min="2307" max="2307" width="11.25" style="46" bestFit="1" customWidth="1"/>
    <col min="2308" max="2308" width="13" style="46" bestFit="1" customWidth="1"/>
    <col min="2309" max="2558" width="9" style="46"/>
    <col min="2559" max="2559" width="12" style="46" customWidth="1"/>
    <col min="2560" max="2560" width="8.125" style="46" bestFit="1" customWidth="1"/>
    <col min="2561" max="2561" width="40.75" style="46" bestFit="1" customWidth="1"/>
    <col min="2562" max="2562" width="11.75" style="46" bestFit="1" customWidth="1"/>
    <col min="2563" max="2563" width="11.25" style="46" bestFit="1" customWidth="1"/>
    <col min="2564" max="2564" width="13" style="46" bestFit="1" customWidth="1"/>
    <col min="2565" max="2814" width="9" style="46"/>
    <col min="2815" max="2815" width="12" style="46" customWidth="1"/>
    <col min="2816" max="2816" width="8.125" style="46" bestFit="1" customWidth="1"/>
    <col min="2817" max="2817" width="40.75" style="46" bestFit="1" customWidth="1"/>
    <col min="2818" max="2818" width="11.75" style="46" bestFit="1" customWidth="1"/>
    <col min="2819" max="2819" width="11.25" style="46" bestFit="1" customWidth="1"/>
    <col min="2820" max="2820" width="13" style="46" bestFit="1" customWidth="1"/>
    <col min="2821" max="3070" width="9" style="46"/>
    <col min="3071" max="3071" width="12" style="46" customWidth="1"/>
    <col min="3072" max="3072" width="8.125" style="46" bestFit="1" customWidth="1"/>
    <col min="3073" max="3073" width="40.75" style="46" bestFit="1" customWidth="1"/>
    <col min="3074" max="3074" width="11.75" style="46" bestFit="1" customWidth="1"/>
    <col min="3075" max="3075" width="11.25" style="46" bestFit="1" customWidth="1"/>
    <col min="3076" max="3076" width="13" style="46" bestFit="1" customWidth="1"/>
    <col min="3077" max="3326" width="9" style="46"/>
    <col min="3327" max="3327" width="12" style="46" customWidth="1"/>
    <col min="3328" max="3328" width="8.125" style="46" bestFit="1" customWidth="1"/>
    <col min="3329" max="3329" width="40.75" style="46" bestFit="1" customWidth="1"/>
    <col min="3330" max="3330" width="11.75" style="46" bestFit="1" customWidth="1"/>
    <col min="3331" max="3331" width="11.25" style="46" bestFit="1" customWidth="1"/>
    <col min="3332" max="3332" width="13" style="46" bestFit="1" customWidth="1"/>
    <col min="3333" max="3582" width="9" style="46"/>
    <col min="3583" max="3583" width="12" style="46" customWidth="1"/>
    <col min="3584" max="3584" width="8.125" style="46" bestFit="1" customWidth="1"/>
    <col min="3585" max="3585" width="40.75" style="46" bestFit="1" customWidth="1"/>
    <col min="3586" max="3586" width="11.75" style="46" bestFit="1" customWidth="1"/>
    <col min="3587" max="3587" width="11.25" style="46" bestFit="1" customWidth="1"/>
    <col min="3588" max="3588" width="13" style="46" bestFit="1" customWidth="1"/>
    <col min="3589" max="3838" width="9" style="46"/>
    <col min="3839" max="3839" width="12" style="46" customWidth="1"/>
    <col min="3840" max="3840" width="8.125" style="46" bestFit="1" customWidth="1"/>
    <col min="3841" max="3841" width="40.75" style="46" bestFit="1" customWidth="1"/>
    <col min="3842" max="3842" width="11.75" style="46" bestFit="1" customWidth="1"/>
    <col min="3843" max="3843" width="11.25" style="46" bestFit="1" customWidth="1"/>
    <col min="3844" max="3844" width="13" style="46" bestFit="1" customWidth="1"/>
    <col min="3845" max="4094" width="9" style="46"/>
    <col min="4095" max="4095" width="12" style="46" customWidth="1"/>
    <col min="4096" max="4096" width="8.125" style="46" bestFit="1" customWidth="1"/>
    <col min="4097" max="4097" width="40.75" style="46" bestFit="1" customWidth="1"/>
    <col min="4098" max="4098" width="11.75" style="46" bestFit="1" customWidth="1"/>
    <col min="4099" max="4099" width="11.25" style="46" bestFit="1" customWidth="1"/>
    <col min="4100" max="4100" width="13" style="46" bestFit="1" customWidth="1"/>
    <col min="4101" max="4350" width="9" style="46"/>
    <col min="4351" max="4351" width="12" style="46" customWidth="1"/>
    <col min="4352" max="4352" width="8.125" style="46" bestFit="1" customWidth="1"/>
    <col min="4353" max="4353" width="40.75" style="46" bestFit="1" customWidth="1"/>
    <col min="4354" max="4354" width="11.75" style="46" bestFit="1" customWidth="1"/>
    <col min="4355" max="4355" width="11.25" style="46" bestFit="1" customWidth="1"/>
    <col min="4356" max="4356" width="13" style="46" bestFit="1" customWidth="1"/>
    <col min="4357" max="4606" width="9" style="46"/>
    <col min="4607" max="4607" width="12" style="46" customWidth="1"/>
    <col min="4608" max="4608" width="8.125" style="46" bestFit="1" customWidth="1"/>
    <col min="4609" max="4609" width="40.75" style="46" bestFit="1" customWidth="1"/>
    <col min="4610" max="4610" width="11.75" style="46" bestFit="1" customWidth="1"/>
    <col min="4611" max="4611" width="11.25" style="46" bestFit="1" customWidth="1"/>
    <col min="4612" max="4612" width="13" style="46" bestFit="1" customWidth="1"/>
    <col min="4613" max="4862" width="9" style="46"/>
    <col min="4863" max="4863" width="12" style="46" customWidth="1"/>
    <col min="4864" max="4864" width="8.125" style="46" bestFit="1" customWidth="1"/>
    <col min="4865" max="4865" width="40.75" style="46" bestFit="1" customWidth="1"/>
    <col min="4866" max="4866" width="11.75" style="46" bestFit="1" customWidth="1"/>
    <col min="4867" max="4867" width="11.25" style="46" bestFit="1" customWidth="1"/>
    <col min="4868" max="4868" width="13" style="46" bestFit="1" customWidth="1"/>
    <col min="4869" max="5118" width="9" style="46"/>
    <col min="5119" max="5119" width="12" style="46" customWidth="1"/>
    <col min="5120" max="5120" width="8.125" style="46" bestFit="1" customWidth="1"/>
    <col min="5121" max="5121" width="40.75" style="46" bestFit="1" customWidth="1"/>
    <col min="5122" max="5122" width="11.75" style="46" bestFit="1" customWidth="1"/>
    <col min="5123" max="5123" width="11.25" style="46" bestFit="1" customWidth="1"/>
    <col min="5124" max="5124" width="13" style="46" bestFit="1" customWidth="1"/>
    <col min="5125" max="5374" width="9" style="46"/>
    <col min="5375" max="5375" width="12" style="46" customWidth="1"/>
    <col min="5376" max="5376" width="8.125" style="46" bestFit="1" customWidth="1"/>
    <col min="5377" max="5377" width="40.75" style="46" bestFit="1" customWidth="1"/>
    <col min="5378" max="5378" width="11.75" style="46" bestFit="1" customWidth="1"/>
    <col min="5379" max="5379" width="11.25" style="46" bestFit="1" customWidth="1"/>
    <col min="5380" max="5380" width="13" style="46" bestFit="1" customWidth="1"/>
    <col min="5381" max="5630" width="9" style="46"/>
    <col min="5631" max="5631" width="12" style="46" customWidth="1"/>
    <col min="5632" max="5632" width="8.125" style="46" bestFit="1" customWidth="1"/>
    <col min="5633" max="5633" width="40.75" style="46" bestFit="1" customWidth="1"/>
    <col min="5634" max="5634" width="11.75" style="46" bestFit="1" customWidth="1"/>
    <col min="5635" max="5635" width="11.25" style="46" bestFit="1" customWidth="1"/>
    <col min="5636" max="5636" width="13" style="46" bestFit="1" customWidth="1"/>
    <col min="5637" max="5886" width="9" style="46"/>
    <col min="5887" max="5887" width="12" style="46" customWidth="1"/>
    <col min="5888" max="5888" width="8.125" style="46" bestFit="1" customWidth="1"/>
    <col min="5889" max="5889" width="40.75" style="46" bestFit="1" customWidth="1"/>
    <col min="5890" max="5890" width="11.75" style="46" bestFit="1" customWidth="1"/>
    <col min="5891" max="5891" width="11.25" style="46" bestFit="1" customWidth="1"/>
    <col min="5892" max="5892" width="13" style="46" bestFit="1" customWidth="1"/>
    <col min="5893" max="6142" width="9" style="46"/>
    <col min="6143" max="6143" width="12" style="46" customWidth="1"/>
    <col min="6144" max="6144" width="8.125" style="46" bestFit="1" customWidth="1"/>
    <col min="6145" max="6145" width="40.75" style="46" bestFit="1" customWidth="1"/>
    <col min="6146" max="6146" width="11.75" style="46" bestFit="1" customWidth="1"/>
    <col min="6147" max="6147" width="11.25" style="46" bestFit="1" customWidth="1"/>
    <col min="6148" max="6148" width="13" style="46" bestFit="1" customWidth="1"/>
    <col min="6149" max="6398" width="9" style="46"/>
    <col min="6399" max="6399" width="12" style="46" customWidth="1"/>
    <col min="6400" max="6400" width="8.125" style="46" bestFit="1" customWidth="1"/>
    <col min="6401" max="6401" width="40.75" style="46" bestFit="1" customWidth="1"/>
    <col min="6402" max="6402" width="11.75" style="46" bestFit="1" customWidth="1"/>
    <col min="6403" max="6403" width="11.25" style="46" bestFit="1" customWidth="1"/>
    <col min="6404" max="6404" width="13" style="46" bestFit="1" customWidth="1"/>
    <col min="6405" max="6654" width="9" style="46"/>
    <col min="6655" max="6655" width="12" style="46" customWidth="1"/>
    <col min="6656" max="6656" width="8.125" style="46" bestFit="1" customWidth="1"/>
    <col min="6657" max="6657" width="40.75" style="46" bestFit="1" customWidth="1"/>
    <col min="6658" max="6658" width="11.75" style="46" bestFit="1" customWidth="1"/>
    <col min="6659" max="6659" width="11.25" style="46" bestFit="1" customWidth="1"/>
    <col min="6660" max="6660" width="13" style="46" bestFit="1" customWidth="1"/>
    <col min="6661" max="6910" width="9" style="46"/>
    <col min="6911" max="6911" width="12" style="46" customWidth="1"/>
    <col min="6912" max="6912" width="8.125" style="46" bestFit="1" customWidth="1"/>
    <col min="6913" max="6913" width="40.75" style="46" bestFit="1" customWidth="1"/>
    <col min="6914" max="6914" width="11.75" style="46" bestFit="1" customWidth="1"/>
    <col min="6915" max="6915" width="11.25" style="46" bestFit="1" customWidth="1"/>
    <col min="6916" max="6916" width="13" style="46" bestFit="1" customWidth="1"/>
    <col min="6917" max="7166" width="9" style="46"/>
    <col min="7167" max="7167" width="12" style="46" customWidth="1"/>
    <col min="7168" max="7168" width="8.125" style="46" bestFit="1" customWidth="1"/>
    <col min="7169" max="7169" width="40.75" style="46" bestFit="1" customWidth="1"/>
    <col min="7170" max="7170" width="11.75" style="46" bestFit="1" customWidth="1"/>
    <col min="7171" max="7171" width="11.25" style="46" bestFit="1" customWidth="1"/>
    <col min="7172" max="7172" width="13" style="46" bestFit="1" customWidth="1"/>
    <col min="7173" max="7422" width="9" style="46"/>
    <col min="7423" max="7423" width="12" style="46" customWidth="1"/>
    <col min="7424" max="7424" width="8.125" style="46" bestFit="1" customWidth="1"/>
    <col min="7425" max="7425" width="40.75" style="46" bestFit="1" customWidth="1"/>
    <col min="7426" max="7426" width="11.75" style="46" bestFit="1" customWidth="1"/>
    <col min="7427" max="7427" width="11.25" style="46" bestFit="1" customWidth="1"/>
    <col min="7428" max="7428" width="13" style="46" bestFit="1" customWidth="1"/>
    <col min="7429" max="7678" width="9" style="46"/>
    <col min="7679" max="7679" width="12" style="46" customWidth="1"/>
    <col min="7680" max="7680" width="8.125" style="46" bestFit="1" customWidth="1"/>
    <col min="7681" max="7681" width="40.75" style="46" bestFit="1" customWidth="1"/>
    <col min="7682" max="7682" width="11.75" style="46" bestFit="1" customWidth="1"/>
    <col min="7683" max="7683" width="11.25" style="46" bestFit="1" customWidth="1"/>
    <col min="7684" max="7684" width="13" style="46" bestFit="1" customWidth="1"/>
    <col min="7685" max="7934" width="9" style="46"/>
    <col min="7935" max="7935" width="12" style="46" customWidth="1"/>
    <col min="7936" max="7936" width="8.125" style="46" bestFit="1" customWidth="1"/>
    <col min="7937" max="7937" width="40.75" style="46" bestFit="1" customWidth="1"/>
    <col min="7938" max="7938" width="11.75" style="46" bestFit="1" customWidth="1"/>
    <col min="7939" max="7939" width="11.25" style="46" bestFit="1" customWidth="1"/>
    <col min="7940" max="7940" width="13" style="46" bestFit="1" customWidth="1"/>
    <col min="7941" max="8190" width="9" style="46"/>
    <col min="8191" max="8191" width="12" style="46" customWidth="1"/>
    <col min="8192" max="8192" width="8.125" style="46" bestFit="1" customWidth="1"/>
    <col min="8193" max="8193" width="40.75" style="46" bestFit="1" customWidth="1"/>
    <col min="8194" max="8194" width="11.75" style="46" bestFit="1" customWidth="1"/>
    <col min="8195" max="8195" width="11.25" style="46" bestFit="1" customWidth="1"/>
    <col min="8196" max="8196" width="13" style="46" bestFit="1" customWidth="1"/>
    <col min="8197" max="8446" width="9" style="46"/>
    <col min="8447" max="8447" width="12" style="46" customWidth="1"/>
    <col min="8448" max="8448" width="8.125" style="46" bestFit="1" customWidth="1"/>
    <col min="8449" max="8449" width="40.75" style="46" bestFit="1" customWidth="1"/>
    <col min="8450" max="8450" width="11.75" style="46" bestFit="1" customWidth="1"/>
    <col min="8451" max="8451" width="11.25" style="46" bestFit="1" customWidth="1"/>
    <col min="8452" max="8452" width="13" style="46" bestFit="1" customWidth="1"/>
    <col min="8453" max="8702" width="9" style="46"/>
    <col min="8703" max="8703" width="12" style="46" customWidth="1"/>
    <col min="8704" max="8704" width="8.125" style="46" bestFit="1" customWidth="1"/>
    <col min="8705" max="8705" width="40.75" style="46" bestFit="1" customWidth="1"/>
    <col min="8706" max="8706" width="11.75" style="46" bestFit="1" customWidth="1"/>
    <col min="8707" max="8707" width="11.25" style="46" bestFit="1" customWidth="1"/>
    <col min="8708" max="8708" width="13" style="46" bestFit="1" customWidth="1"/>
    <col min="8709" max="8958" width="9" style="46"/>
    <col min="8959" max="8959" width="12" style="46" customWidth="1"/>
    <col min="8960" max="8960" width="8.125" style="46" bestFit="1" customWidth="1"/>
    <col min="8961" max="8961" width="40.75" style="46" bestFit="1" customWidth="1"/>
    <col min="8962" max="8962" width="11.75" style="46" bestFit="1" customWidth="1"/>
    <col min="8963" max="8963" width="11.25" style="46" bestFit="1" customWidth="1"/>
    <col min="8964" max="8964" width="13" style="46" bestFit="1" customWidth="1"/>
    <col min="8965" max="9214" width="9" style="46"/>
    <col min="9215" max="9215" width="12" style="46" customWidth="1"/>
    <col min="9216" max="9216" width="8.125" style="46" bestFit="1" customWidth="1"/>
    <col min="9217" max="9217" width="40.75" style="46" bestFit="1" customWidth="1"/>
    <col min="9218" max="9218" width="11.75" style="46" bestFit="1" customWidth="1"/>
    <col min="9219" max="9219" width="11.25" style="46" bestFit="1" customWidth="1"/>
    <col min="9220" max="9220" width="13" style="46" bestFit="1" customWidth="1"/>
    <col min="9221" max="9470" width="9" style="46"/>
    <col min="9471" max="9471" width="12" style="46" customWidth="1"/>
    <col min="9472" max="9472" width="8.125" style="46" bestFit="1" customWidth="1"/>
    <col min="9473" max="9473" width="40.75" style="46" bestFit="1" customWidth="1"/>
    <col min="9474" max="9474" width="11.75" style="46" bestFit="1" customWidth="1"/>
    <col min="9475" max="9475" width="11.25" style="46" bestFit="1" customWidth="1"/>
    <col min="9476" max="9476" width="13" style="46" bestFit="1" customWidth="1"/>
    <col min="9477" max="9726" width="9" style="46"/>
    <col min="9727" max="9727" width="12" style="46" customWidth="1"/>
    <col min="9728" max="9728" width="8.125" style="46" bestFit="1" customWidth="1"/>
    <col min="9729" max="9729" width="40.75" style="46" bestFit="1" customWidth="1"/>
    <col min="9730" max="9730" width="11.75" style="46" bestFit="1" customWidth="1"/>
    <col min="9731" max="9731" width="11.25" style="46" bestFit="1" customWidth="1"/>
    <col min="9732" max="9732" width="13" style="46" bestFit="1" customWidth="1"/>
    <col min="9733" max="9982" width="9" style="46"/>
    <col min="9983" max="9983" width="12" style="46" customWidth="1"/>
    <col min="9984" max="9984" width="8.125" style="46" bestFit="1" customWidth="1"/>
    <col min="9985" max="9985" width="40.75" style="46" bestFit="1" customWidth="1"/>
    <col min="9986" max="9986" width="11.75" style="46" bestFit="1" customWidth="1"/>
    <col min="9987" max="9987" width="11.25" style="46" bestFit="1" customWidth="1"/>
    <col min="9988" max="9988" width="13" style="46" bestFit="1" customWidth="1"/>
    <col min="9989" max="10238" width="9" style="46"/>
    <col min="10239" max="10239" width="12" style="46" customWidth="1"/>
    <col min="10240" max="10240" width="8.125" style="46" bestFit="1" customWidth="1"/>
    <col min="10241" max="10241" width="40.75" style="46" bestFit="1" customWidth="1"/>
    <col min="10242" max="10242" width="11.75" style="46" bestFit="1" customWidth="1"/>
    <col min="10243" max="10243" width="11.25" style="46" bestFit="1" customWidth="1"/>
    <col min="10244" max="10244" width="13" style="46" bestFit="1" customWidth="1"/>
    <col min="10245" max="10494" width="9" style="46"/>
    <col min="10495" max="10495" width="12" style="46" customWidth="1"/>
    <col min="10496" max="10496" width="8.125" style="46" bestFit="1" customWidth="1"/>
    <col min="10497" max="10497" width="40.75" style="46" bestFit="1" customWidth="1"/>
    <col min="10498" max="10498" width="11.75" style="46" bestFit="1" customWidth="1"/>
    <col min="10499" max="10499" width="11.25" style="46" bestFit="1" customWidth="1"/>
    <col min="10500" max="10500" width="13" style="46" bestFit="1" customWidth="1"/>
    <col min="10501" max="10750" width="9" style="46"/>
    <col min="10751" max="10751" width="12" style="46" customWidth="1"/>
    <col min="10752" max="10752" width="8.125" style="46" bestFit="1" customWidth="1"/>
    <col min="10753" max="10753" width="40.75" style="46" bestFit="1" customWidth="1"/>
    <col min="10754" max="10754" width="11.75" style="46" bestFit="1" customWidth="1"/>
    <col min="10755" max="10755" width="11.25" style="46" bestFit="1" customWidth="1"/>
    <col min="10756" max="10756" width="13" style="46" bestFit="1" customWidth="1"/>
    <col min="10757" max="11006" width="9" style="46"/>
    <col min="11007" max="11007" width="12" style="46" customWidth="1"/>
    <col min="11008" max="11008" width="8.125" style="46" bestFit="1" customWidth="1"/>
    <col min="11009" max="11009" width="40.75" style="46" bestFit="1" customWidth="1"/>
    <col min="11010" max="11010" width="11.75" style="46" bestFit="1" customWidth="1"/>
    <col min="11011" max="11011" width="11.25" style="46" bestFit="1" customWidth="1"/>
    <col min="11012" max="11012" width="13" style="46" bestFit="1" customWidth="1"/>
    <col min="11013" max="11262" width="9" style="46"/>
    <col min="11263" max="11263" width="12" style="46" customWidth="1"/>
    <col min="11264" max="11264" width="8.125" style="46" bestFit="1" customWidth="1"/>
    <col min="11265" max="11265" width="40.75" style="46" bestFit="1" customWidth="1"/>
    <col min="11266" max="11266" width="11.75" style="46" bestFit="1" customWidth="1"/>
    <col min="11267" max="11267" width="11.25" style="46" bestFit="1" customWidth="1"/>
    <col min="11268" max="11268" width="13" style="46" bestFit="1" customWidth="1"/>
    <col min="11269" max="11518" width="9" style="46"/>
    <col min="11519" max="11519" width="12" style="46" customWidth="1"/>
    <col min="11520" max="11520" width="8.125" style="46" bestFit="1" customWidth="1"/>
    <col min="11521" max="11521" width="40.75" style="46" bestFit="1" customWidth="1"/>
    <col min="11522" max="11522" width="11.75" style="46" bestFit="1" customWidth="1"/>
    <col min="11523" max="11523" width="11.25" style="46" bestFit="1" customWidth="1"/>
    <col min="11524" max="11524" width="13" style="46" bestFit="1" customWidth="1"/>
    <col min="11525" max="11774" width="9" style="46"/>
    <col min="11775" max="11775" width="12" style="46" customWidth="1"/>
    <col min="11776" max="11776" width="8.125" style="46" bestFit="1" customWidth="1"/>
    <col min="11777" max="11777" width="40.75" style="46" bestFit="1" customWidth="1"/>
    <col min="11778" max="11778" width="11.75" style="46" bestFit="1" customWidth="1"/>
    <col min="11779" max="11779" width="11.25" style="46" bestFit="1" customWidth="1"/>
    <col min="11780" max="11780" width="13" style="46" bestFit="1" customWidth="1"/>
    <col min="11781" max="12030" width="9" style="46"/>
    <col min="12031" max="12031" width="12" style="46" customWidth="1"/>
    <col min="12032" max="12032" width="8.125" style="46" bestFit="1" customWidth="1"/>
    <col min="12033" max="12033" width="40.75" style="46" bestFit="1" customWidth="1"/>
    <col min="12034" max="12034" width="11.75" style="46" bestFit="1" customWidth="1"/>
    <col min="12035" max="12035" width="11.25" style="46" bestFit="1" customWidth="1"/>
    <col min="12036" max="12036" width="13" style="46" bestFit="1" customWidth="1"/>
    <col min="12037" max="12286" width="9" style="46"/>
    <col min="12287" max="12287" width="12" style="46" customWidth="1"/>
    <col min="12288" max="12288" width="8.125" style="46" bestFit="1" customWidth="1"/>
    <col min="12289" max="12289" width="40.75" style="46" bestFit="1" customWidth="1"/>
    <col min="12290" max="12290" width="11.75" style="46" bestFit="1" customWidth="1"/>
    <col min="12291" max="12291" width="11.25" style="46" bestFit="1" customWidth="1"/>
    <col min="12292" max="12292" width="13" style="46" bestFit="1" customWidth="1"/>
    <col min="12293" max="12542" width="9" style="46"/>
    <col min="12543" max="12543" width="12" style="46" customWidth="1"/>
    <col min="12544" max="12544" width="8.125" style="46" bestFit="1" customWidth="1"/>
    <col min="12545" max="12545" width="40.75" style="46" bestFit="1" customWidth="1"/>
    <col min="12546" max="12546" width="11.75" style="46" bestFit="1" customWidth="1"/>
    <col min="12547" max="12547" width="11.25" style="46" bestFit="1" customWidth="1"/>
    <col min="12548" max="12548" width="13" style="46" bestFit="1" customWidth="1"/>
    <col min="12549" max="12798" width="9" style="46"/>
    <col min="12799" max="12799" width="12" style="46" customWidth="1"/>
    <col min="12800" max="12800" width="8.125" style="46" bestFit="1" customWidth="1"/>
    <col min="12801" max="12801" width="40.75" style="46" bestFit="1" customWidth="1"/>
    <col min="12802" max="12802" width="11.75" style="46" bestFit="1" customWidth="1"/>
    <col min="12803" max="12803" width="11.25" style="46" bestFit="1" customWidth="1"/>
    <col min="12804" max="12804" width="13" style="46" bestFit="1" customWidth="1"/>
    <col min="12805" max="13054" width="9" style="46"/>
    <col min="13055" max="13055" width="12" style="46" customWidth="1"/>
    <col min="13056" max="13056" width="8.125" style="46" bestFit="1" customWidth="1"/>
    <col min="13057" max="13057" width="40.75" style="46" bestFit="1" customWidth="1"/>
    <col min="13058" max="13058" width="11.75" style="46" bestFit="1" customWidth="1"/>
    <col min="13059" max="13059" width="11.25" style="46" bestFit="1" customWidth="1"/>
    <col min="13060" max="13060" width="13" style="46" bestFit="1" customWidth="1"/>
    <col min="13061" max="13310" width="9" style="46"/>
    <col min="13311" max="13311" width="12" style="46" customWidth="1"/>
    <col min="13312" max="13312" width="8.125" style="46" bestFit="1" customWidth="1"/>
    <col min="13313" max="13313" width="40.75" style="46" bestFit="1" customWidth="1"/>
    <col min="13314" max="13314" width="11.75" style="46" bestFit="1" customWidth="1"/>
    <col min="13315" max="13315" width="11.25" style="46" bestFit="1" customWidth="1"/>
    <col min="13316" max="13316" width="13" style="46" bestFit="1" customWidth="1"/>
    <col min="13317" max="13566" width="9" style="46"/>
    <col min="13567" max="13567" width="12" style="46" customWidth="1"/>
    <col min="13568" max="13568" width="8.125" style="46" bestFit="1" customWidth="1"/>
    <col min="13569" max="13569" width="40.75" style="46" bestFit="1" customWidth="1"/>
    <col min="13570" max="13570" width="11.75" style="46" bestFit="1" customWidth="1"/>
    <col min="13571" max="13571" width="11.25" style="46" bestFit="1" customWidth="1"/>
    <col min="13572" max="13572" width="13" style="46" bestFit="1" customWidth="1"/>
    <col min="13573" max="13822" width="9" style="46"/>
    <col min="13823" max="13823" width="12" style="46" customWidth="1"/>
    <col min="13824" max="13824" width="8.125" style="46" bestFit="1" customWidth="1"/>
    <col min="13825" max="13825" width="40.75" style="46" bestFit="1" customWidth="1"/>
    <col min="13826" max="13826" width="11.75" style="46" bestFit="1" customWidth="1"/>
    <col min="13827" max="13827" width="11.25" style="46" bestFit="1" customWidth="1"/>
    <col min="13828" max="13828" width="13" style="46" bestFit="1" customWidth="1"/>
    <col min="13829" max="14078" width="9" style="46"/>
    <col min="14079" max="14079" width="12" style="46" customWidth="1"/>
    <col min="14080" max="14080" width="8.125" style="46" bestFit="1" customWidth="1"/>
    <col min="14081" max="14081" width="40.75" style="46" bestFit="1" customWidth="1"/>
    <col min="14082" max="14082" width="11.75" style="46" bestFit="1" customWidth="1"/>
    <col min="14083" max="14083" width="11.25" style="46" bestFit="1" customWidth="1"/>
    <col min="14084" max="14084" width="13" style="46" bestFit="1" customWidth="1"/>
    <col min="14085" max="14334" width="9" style="46"/>
    <col min="14335" max="14335" width="12" style="46" customWidth="1"/>
    <col min="14336" max="14336" width="8.125" style="46" bestFit="1" customWidth="1"/>
    <col min="14337" max="14337" width="40.75" style="46" bestFit="1" customWidth="1"/>
    <col min="14338" max="14338" width="11.75" style="46" bestFit="1" customWidth="1"/>
    <col min="14339" max="14339" width="11.25" style="46" bestFit="1" customWidth="1"/>
    <col min="14340" max="14340" width="13" style="46" bestFit="1" customWidth="1"/>
    <col min="14341" max="14590" width="9" style="46"/>
    <col min="14591" max="14591" width="12" style="46" customWidth="1"/>
    <col min="14592" max="14592" width="8.125" style="46" bestFit="1" customWidth="1"/>
    <col min="14593" max="14593" width="40.75" style="46" bestFit="1" customWidth="1"/>
    <col min="14594" max="14594" width="11.75" style="46" bestFit="1" customWidth="1"/>
    <col min="14595" max="14595" width="11.25" style="46" bestFit="1" customWidth="1"/>
    <col min="14596" max="14596" width="13" style="46" bestFit="1" customWidth="1"/>
    <col min="14597" max="14846" width="9" style="46"/>
    <col min="14847" max="14847" width="12" style="46" customWidth="1"/>
    <col min="14848" max="14848" width="8.125" style="46" bestFit="1" customWidth="1"/>
    <col min="14849" max="14849" width="40.75" style="46" bestFit="1" customWidth="1"/>
    <col min="14850" max="14850" width="11.75" style="46" bestFit="1" customWidth="1"/>
    <col min="14851" max="14851" width="11.25" style="46" bestFit="1" customWidth="1"/>
    <col min="14852" max="14852" width="13" style="46" bestFit="1" customWidth="1"/>
    <col min="14853" max="15102" width="9" style="46"/>
    <col min="15103" max="15103" width="12" style="46" customWidth="1"/>
    <col min="15104" max="15104" width="8.125" style="46" bestFit="1" customWidth="1"/>
    <col min="15105" max="15105" width="40.75" style="46" bestFit="1" customWidth="1"/>
    <col min="15106" max="15106" width="11.75" style="46" bestFit="1" customWidth="1"/>
    <col min="15107" max="15107" width="11.25" style="46" bestFit="1" customWidth="1"/>
    <col min="15108" max="15108" width="13" style="46" bestFit="1" customWidth="1"/>
    <col min="15109" max="15358" width="9" style="46"/>
    <col min="15359" max="15359" width="12" style="46" customWidth="1"/>
    <col min="15360" max="15360" width="8.125" style="46" bestFit="1" customWidth="1"/>
    <col min="15361" max="15361" width="40.75" style="46" bestFit="1" customWidth="1"/>
    <col min="15362" max="15362" width="11.75" style="46" bestFit="1" customWidth="1"/>
    <col min="15363" max="15363" width="11.25" style="46" bestFit="1" customWidth="1"/>
    <col min="15364" max="15364" width="13" style="46" bestFit="1" customWidth="1"/>
    <col min="15365" max="15614" width="9" style="46"/>
    <col min="15615" max="15615" width="12" style="46" customWidth="1"/>
    <col min="15616" max="15616" width="8.125" style="46" bestFit="1" customWidth="1"/>
    <col min="15617" max="15617" width="40.75" style="46" bestFit="1" customWidth="1"/>
    <col min="15618" max="15618" width="11.75" style="46" bestFit="1" customWidth="1"/>
    <col min="15619" max="15619" width="11.25" style="46" bestFit="1" customWidth="1"/>
    <col min="15620" max="15620" width="13" style="46" bestFit="1" customWidth="1"/>
    <col min="15621" max="15870" width="9" style="46"/>
    <col min="15871" max="15871" width="12" style="46" customWidth="1"/>
    <col min="15872" max="15872" width="8.125" style="46" bestFit="1" customWidth="1"/>
    <col min="15873" max="15873" width="40.75" style="46" bestFit="1" customWidth="1"/>
    <col min="15874" max="15874" width="11.75" style="46" bestFit="1" customWidth="1"/>
    <col min="15875" max="15875" width="11.25" style="46" bestFit="1" customWidth="1"/>
    <col min="15876" max="15876" width="13" style="46" bestFit="1" customWidth="1"/>
    <col min="15877" max="16126" width="9" style="46"/>
    <col min="16127" max="16127" width="12" style="46" customWidth="1"/>
    <col min="16128" max="16128" width="8.125" style="46" bestFit="1" customWidth="1"/>
    <col min="16129" max="16129" width="40.75" style="46" bestFit="1" customWidth="1"/>
    <col min="16130" max="16130" width="11.75" style="46" bestFit="1" customWidth="1"/>
    <col min="16131" max="16131" width="11.25" style="46" bestFit="1" customWidth="1"/>
    <col min="16132" max="16132" width="13" style="46" bestFit="1" customWidth="1"/>
    <col min="16133" max="16383" width="9" style="46"/>
    <col min="16384" max="16384" width="9" style="46" customWidth="1"/>
  </cols>
  <sheetData>
    <row r="1" spans="1:17" s="17" customFormat="1" ht="15.75">
      <c r="A1" s="815" t="s">
        <v>912</v>
      </c>
      <c r="C1" s="100"/>
      <c r="D1" s="14"/>
      <c r="E1" s="66"/>
      <c r="G1" s="107"/>
      <c r="H1" s="107"/>
      <c r="I1" s="107"/>
      <c r="J1" s="99"/>
      <c r="K1" s="99"/>
    </row>
    <row r="2" spans="1:17" s="13" customFormat="1" ht="15">
      <c r="B2" s="20"/>
      <c r="C2" s="20"/>
      <c r="D2" s="20"/>
      <c r="F2" s="20"/>
      <c r="G2" s="108"/>
      <c r="H2" s="108"/>
      <c r="I2" s="108"/>
      <c r="J2" s="46"/>
      <c r="K2" s="46"/>
      <c r="L2" s="20"/>
      <c r="M2" s="20"/>
    </row>
    <row r="3" spans="1:17" s="13" customFormat="1">
      <c r="G3" s="108"/>
      <c r="H3" s="108"/>
      <c r="I3" s="108"/>
      <c r="J3" s="46"/>
      <c r="K3" s="46"/>
    </row>
    <row r="4" spans="1:17" s="13" customFormat="1" ht="18">
      <c r="A4" s="762"/>
      <c r="B4" s="11"/>
      <c r="C4" s="11"/>
      <c r="D4" s="11"/>
      <c r="E4" s="11"/>
      <c r="F4" s="11"/>
      <c r="G4" s="763"/>
      <c r="H4" s="763"/>
      <c r="I4" s="763"/>
      <c r="J4" s="764"/>
      <c r="K4" s="764"/>
      <c r="L4" s="11"/>
      <c r="M4" s="20"/>
    </row>
    <row r="5" spans="1:17" s="13" customFormat="1" ht="18">
      <c r="A5" s="1788" t="s">
        <v>199</v>
      </c>
      <c r="B5" s="1788"/>
      <c r="C5" s="1788"/>
      <c r="D5" s="1788"/>
      <c r="E5" s="1788"/>
      <c r="F5" s="1788"/>
      <c r="G5" s="1788"/>
      <c r="H5" s="1788"/>
      <c r="I5" s="1788"/>
      <c r="J5" s="1788"/>
      <c r="K5" s="1788"/>
      <c r="L5" s="1788"/>
      <c r="M5" s="1788"/>
      <c r="N5" s="45"/>
    </row>
    <row r="6" spans="1:17" s="13" customFormat="1" ht="18">
      <c r="A6" s="1788" t="s">
        <v>103</v>
      </c>
      <c r="B6" s="1788"/>
      <c r="C6" s="1788"/>
      <c r="D6" s="1788"/>
      <c r="E6" s="1788"/>
      <c r="F6" s="1788"/>
      <c r="G6" s="1788"/>
      <c r="H6" s="1788"/>
      <c r="I6" s="1788"/>
      <c r="J6" s="1788"/>
      <c r="K6" s="1788"/>
      <c r="L6" s="1788"/>
      <c r="M6" s="1788"/>
      <c r="N6" s="71"/>
    </row>
    <row r="7" spans="1:17" s="13" customFormat="1" ht="18">
      <c r="A7" s="1789" t="str">
        <f>SUMMARY!A7</f>
        <v>YEAR ENDING DECEMBER 31, 2018</v>
      </c>
      <c r="B7" s="1789"/>
      <c r="C7" s="1789"/>
      <c r="D7" s="1789"/>
      <c r="E7" s="1789"/>
      <c r="F7" s="1789"/>
      <c r="G7" s="1789"/>
      <c r="H7" s="1789"/>
      <c r="I7" s="1789"/>
      <c r="J7" s="1789"/>
      <c r="K7" s="1789"/>
      <c r="L7" s="1789"/>
      <c r="M7" s="1789"/>
      <c r="N7" s="45"/>
    </row>
    <row r="8" spans="1:17" s="13" customFormat="1" ht="18">
      <c r="A8" s="762"/>
      <c r="B8" s="762"/>
      <c r="C8" s="762"/>
      <c r="D8" s="762"/>
      <c r="E8" s="762"/>
      <c r="F8" s="765"/>
      <c r="G8" s="763"/>
      <c r="H8" s="763"/>
      <c r="I8" s="763"/>
      <c r="J8" s="764"/>
      <c r="K8" s="764"/>
      <c r="L8" s="762"/>
    </row>
    <row r="9" spans="1:17" s="13" customFormat="1" ht="15.75">
      <c r="A9" s="1800" t="s">
        <v>1118</v>
      </c>
      <c r="B9" s="1800"/>
      <c r="C9" s="1800"/>
      <c r="D9" s="1800"/>
      <c r="E9" s="1800"/>
      <c r="F9" s="1800"/>
      <c r="G9" s="1800"/>
      <c r="H9" s="1800"/>
      <c r="I9" s="1800"/>
      <c r="J9" s="1800"/>
      <c r="K9" s="1800"/>
      <c r="L9" s="1800"/>
      <c r="M9" s="1800"/>
    </row>
    <row r="10" spans="1:17" s="13" customFormat="1" ht="15.75">
      <c r="A10" s="1799" t="s">
        <v>1119</v>
      </c>
      <c r="B10" s="1799"/>
      <c r="C10" s="1799"/>
      <c r="D10" s="1799"/>
      <c r="E10" s="1799"/>
      <c r="F10" s="1799"/>
      <c r="G10" s="1799"/>
      <c r="H10" s="1799"/>
      <c r="I10" s="1799"/>
      <c r="J10" s="1799"/>
      <c r="K10" s="1799"/>
      <c r="L10" s="1799"/>
      <c r="M10" s="1799"/>
    </row>
    <row r="11" spans="1:17" s="13" customFormat="1" ht="15" customHeight="1">
      <c r="A11" s="63"/>
      <c r="B11" s="134"/>
      <c r="C11" s="134"/>
      <c r="D11" s="134"/>
      <c r="E11" s="150"/>
      <c r="F11" s="63"/>
      <c r="G11" s="63"/>
      <c r="H11" s="63"/>
      <c r="I11" s="63"/>
      <c r="J11" s="151"/>
      <c r="K11" s="151"/>
      <c r="L11" s="151"/>
      <c r="M11" s="151"/>
      <c r="N11" s="151"/>
      <c r="O11" s="46"/>
      <c r="P11" s="20"/>
      <c r="Q11" s="20"/>
    </row>
    <row r="12" spans="1:17" s="100" customFormat="1" ht="15" customHeight="1">
      <c r="B12" s="20"/>
      <c r="C12" s="20"/>
      <c r="D12" s="20"/>
      <c r="E12" s="466"/>
      <c r="F12" s="1852">
        <v>2018</v>
      </c>
      <c r="G12" s="1853"/>
      <c r="H12" s="1853"/>
      <c r="I12" s="1251"/>
      <c r="J12" s="1852">
        <v>2017</v>
      </c>
      <c r="K12" s="1853"/>
      <c r="L12" s="1853"/>
      <c r="M12" s="1252"/>
      <c r="N12" s="107"/>
      <c r="O12" s="99"/>
      <c r="P12" s="20"/>
      <c r="Q12" s="20"/>
    </row>
    <row r="13" spans="1:17" s="100" customFormat="1" ht="15.75">
      <c r="F13" s="748" t="s">
        <v>192</v>
      </c>
      <c r="G13" s="748" t="s">
        <v>193</v>
      </c>
      <c r="H13" s="748" t="s">
        <v>194</v>
      </c>
      <c r="I13" s="748" t="s">
        <v>195</v>
      </c>
      <c r="J13" s="748" t="s">
        <v>196</v>
      </c>
      <c r="K13" s="748" t="s">
        <v>371</v>
      </c>
      <c r="L13" s="748" t="s">
        <v>372</v>
      </c>
      <c r="M13" s="748" t="s">
        <v>901</v>
      </c>
      <c r="N13" s="107"/>
      <c r="O13" s="99"/>
    </row>
    <row r="14" spans="1:17" s="100" customFormat="1" ht="15.75">
      <c r="F14" s="467" t="s">
        <v>105</v>
      </c>
      <c r="H14" s="467" t="s">
        <v>105</v>
      </c>
      <c r="I14" s="467"/>
      <c r="J14" s="467" t="s">
        <v>105</v>
      </c>
      <c r="L14" s="467" t="s">
        <v>105</v>
      </c>
      <c r="M14" s="467"/>
      <c r="N14" s="107"/>
      <c r="O14" s="99"/>
    </row>
    <row r="15" spans="1:17" s="99" customFormat="1" ht="15.75">
      <c r="F15" s="467" t="s">
        <v>234</v>
      </c>
      <c r="G15" s="467" t="s">
        <v>150</v>
      </c>
      <c r="H15" s="467" t="s">
        <v>234</v>
      </c>
      <c r="I15" s="467" t="s">
        <v>68</v>
      </c>
      <c r="J15" s="467" t="s">
        <v>234</v>
      </c>
      <c r="K15" s="467" t="s">
        <v>150</v>
      </c>
      <c r="L15" s="467" t="s">
        <v>234</v>
      </c>
      <c r="M15" s="467" t="s">
        <v>68</v>
      </c>
      <c r="N15" s="107"/>
      <c r="O15" s="100"/>
    </row>
    <row r="16" spans="1:17" s="99" customFormat="1" ht="16.5" thickBot="1">
      <c r="A16" s="468" t="s">
        <v>465</v>
      </c>
      <c r="B16" s="447" t="s">
        <v>215</v>
      </c>
      <c r="C16" s="447" t="s">
        <v>255</v>
      </c>
      <c r="D16" s="447"/>
      <c r="E16" s="447" t="s">
        <v>247</v>
      </c>
      <c r="F16" s="447" t="s">
        <v>792</v>
      </c>
      <c r="G16" s="447" t="s">
        <v>280</v>
      </c>
      <c r="H16" s="447" t="s">
        <v>793</v>
      </c>
      <c r="I16" s="447" t="s">
        <v>794</v>
      </c>
      <c r="J16" s="447" t="s">
        <v>792</v>
      </c>
      <c r="K16" s="447" t="s">
        <v>280</v>
      </c>
      <c r="L16" s="447" t="s">
        <v>793</v>
      </c>
      <c r="M16" s="447" t="s">
        <v>794</v>
      </c>
      <c r="N16" s="469"/>
      <c r="O16" s="20"/>
    </row>
    <row r="17" spans="2:15" s="99" customFormat="1" ht="15">
      <c r="B17" s="470"/>
      <c r="C17" s="1626">
        <v>37072</v>
      </c>
      <c r="D17" s="1626"/>
      <c r="E17" s="1627" t="s">
        <v>1902</v>
      </c>
      <c r="F17" s="749">
        <v>8374457.5199999996</v>
      </c>
      <c r="G17" s="749">
        <v>-2851690.52</v>
      </c>
      <c r="H17" s="749">
        <v>5522767</v>
      </c>
      <c r="I17" s="749">
        <v>-183075</v>
      </c>
      <c r="J17" s="749">
        <v>8374457.5199999996</v>
      </c>
      <c r="K17" s="749">
        <v>-2668615.52</v>
      </c>
      <c r="L17" s="749">
        <v>5705842</v>
      </c>
      <c r="M17" s="749">
        <v>-180433.31999999983</v>
      </c>
      <c r="N17" s="107"/>
      <c r="O17" s="20"/>
    </row>
    <row r="18" spans="2:15" s="99" customFormat="1" ht="15">
      <c r="B18" s="470"/>
      <c r="C18" s="1626">
        <v>37072</v>
      </c>
      <c r="D18" s="1626"/>
      <c r="E18" s="1627" t="s">
        <v>1903</v>
      </c>
      <c r="F18" s="749">
        <v>2686912.39</v>
      </c>
      <c r="G18" s="749">
        <v>-949063.39</v>
      </c>
      <c r="H18" s="749">
        <v>1737849</v>
      </c>
      <c r="I18" s="749">
        <v>-57608</v>
      </c>
      <c r="J18" s="749">
        <v>2686912.39</v>
      </c>
      <c r="K18" s="749">
        <v>-891455.39</v>
      </c>
      <c r="L18" s="749">
        <v>1795457</v>
      </c>
      <c r="M18" s="749">
        <v>-57203</v>
      </c>
      <c r="N18" s="107"/>
      <c r="O18" s="100"/>
    </row>
    <row r="19" spans="2:15" s="99" customFormat="1" ht="15">
      <c r="B19" s="470"/>
      <c r="C19" s="1626">
        <v>37072</v>
      </c>
      <c r="D19" s="1626"/>
      <c r="E19" s="1627" t="s">
        <v>1904</v>
      </c>
      <c r="F19" s="749">
        <v>3403806.2</v>
      </c>
      <c r="G19" s="749">
        <v>-1186003.2</v>
      </c>
      <c r="H19" s="749">
        <v>2217803</v>
      </c>
      <c r="I19" s="749">
        <v>-73518</v>
      </c>
      <c r="J19" s="749">
        <v>3403806.2</v>
      </c>
      <c r="K19" s="749">
        <v>-1112485.2</v>
      </c>
      <c r="L19" s="749">
        <v>2291321</v>
      </c>
      <c r="M19" s="749">
        <v>-72916</v>
      </c>
      <c r="N19" s="107"/>
      <c r="O19" s="20"/>
    </row>
    <row r="20" spans="2:15" s="99" customFormat="1" ht="15.75">
      <c r="B20" s="470"/>
      <c r="C20" s="1626">
        <v>37072</v>
      </c>
      <c r="D20" s="1626"/>
      <c r="E20" s="1627" t="s">
        <v>1905</v>
      </c>
      <c r="F20" s="749">
        <v>413814.61</v>
      </c>
      <c r="G20" s="749">
        <v>-145937.60999999999</v>
      </c>
      <c r="H20" s="749">
        <v>267877</v>
      </c>
      <c r="I20" s="749">
        <v>-8880</v>
      </c>
      <c r="J20" s="749">
        <v>413814.61</v>
      </c>
      <c r="K20" s="749">
        <v>-137057.60999999999</v>
      </c>
      <c r="L20" s="749">
        <v>276757</v>
      </c>
      <c r="M20" s="749">
        <v>-8816.9999999999854</v>
      </c>
      <c r="N20" s="107"/>
      <c r="O20" s="45"/>
    </row>
    <row r="21" spans="2:15" s="99" customFormat="1" ht="15.75">
      <c r="B21" s="470"/>
      <c r="C21" s="1626">
        <v>37072</v>
      </c>
      <c r="D21" s="1626"/>
      <c r="E21" s="1627" t="s">
        <v>1905</v>
      </c>
      <c r="F21" s="749">
        <v>413814.59</v>
      </c>
      <c r="G21" s="749">
        <v>-145937.59</v>
      </c>
      <c r="H21" s="749">
        <v>267877</v>
      </c>
      <c r="I21" s="749">
        <v>-8880</v>
      </c>
      <c r="J21" s="749">
        <v>413814.59</v>
      </c>
      <c r="K21" s="749">
        <v>-137057.59</v>
      </c>
      <c r="L21" s="749">
        <v>276757</v>
      </c>
      <c r="M21" s="749">
        <v>-8817</v>
      </c>
      <c r="N21" s="107"/>
      <c r="O21" s="45"/>
    </row>
    <row r="22" spans="2:15" s="99" customFormat="1" ht="15.75">
      <c r="B22" s="470"/>
      <c r="C22" s="1626">
        <v>37072</v>
      </c>
      <c r="D22" s="1626"/>
      <c r="E22" s="1627" t="s">
        <v>1906</v>
      </c>
      <c r="F22" s="749">
        <v>374733.43</v>
      </c>
      <c r="G22" s="749">
        <v>-130981.43</v>
      </c>
      <c r="H22" s="749">
        <v>243752</v>
      </c>
      <c r="I22" s="749">
        <v>-8080</v>
      </c>
      <c r="J22" s="749">
        <v>374733.43</v>
      </c>
      <c r="K22" s="749">
        <v>-122901.43</v>
      </c>
      <c r="L22" s="749">
        <v>251832</v>
      </c>
      <c r="M22" s="749">
        <v>-8017</v>
      </c>
      <c r="N22" s="107"/>
      <c r="O22" s="45"/>
    </row>
    <row r="23" spans="2:15" s="99" customFormat="1" ht="15.75">
      <c r="B23" s="470"/>
      <c r="C23" s="1626">
        <v>37072</v>
      </c>
      <c r="D23" s="1626"/>
      <c r="E23" s="1627" t="s">
        <v>1907</v>
      </c>
      <c r="F23" s="749">
        <v>14348612.939999999</v>
      </c>
      <c r="G23" s="749">
        <v>-4616846.9400000004</v>
      </c>
      <c r="H23" s="749">
        <v>9731766</v>
      </c>
      <c r="I23" s="749">
        <v>-322600</v>
      </c>
      <c r="J23" s="749">
        <v>14348612.939999999</v>
      </c>
      <c r="K23" s="749">
        <v>-4294246.9400000004</v>
      </c>
      <c r="L23" s="749">
        <v>10054366</v>
      </c>
      <c r="M23" s="749">
        <v>-317941.00000000047</v>
      </c>
      <c r="N23" s="107"/>
      <c r="O23" s="45"/>
    </row>
    <row r="24" spans="2:15" s="99" customFormat="1" ht="15">
      <c r="B24" s="470"/>
      <c r="C24" s="1626">
        <v>37072</v>
      </c>
      <c r="D24" s="1626"/>
      <c r="E24" s="1627" t="s">
        <v>1908</v>
      </c>
      <c r="F24" s="749">
        <v>875338.42</v>
      </c>
      <c r="G24" s="749">
        <v>-298412.42</v>
      </c>
      <c r="H24" s="749">
        <v>576926</v>
      </c>
      <c r="I24" s="749">
        <v>-19125</v>
      </c>
      <c r="J24" s="749">
        <v>875338.42</v>
      </c>
      <c r="K24" s="749">
        <v>-279287.42</v>
      </c>
      <c r="L24" s="749">
        <v>596051</v>
      </c>
      <c r="M24" s="749">
        <v>-18932.999999999971</v>
      </c>
      <c r="N24" s="107"/>
      <c r="O24" s="100"/>
    </row>
    <row r="25" spans="2:15" s="99" customFormat="1" ht="15">
      <c r="B25" s="470"/>
      <c r="C25" s="1626">
        <v>37438</v>
      </c>
      <c r="D25" s="1626"/>
      <c r="E25" s="1627" t="s">
        <v>1909</v>
      </c>
      <c r="F25" s="749">
        <v>3759861.41</v>
      </c>
      <c r="G25" s="749">
        <v>-1245641.4099999999</v>
      </c>
      <c r="H25" s="749">
        <v>2514220</v>
      </c>
      <c r="I25" s="749">
        <v>-83344</v>
      </c>
      <c r="J25" s="749">
        <v>3759861.41</v>
      </c>
      <c r="K25" s="749">
        <v>-1162297.4099999999</v>
      </c>
      <c r="L25" s="749">
        <v>2597564</v>
      </c>
      <c r="M25" s="749">
        <v>-82322</v>
      </c>
      <c r="N25" s="107"/>
      <c r="O25" s="100"/>
    </row>
    <row r="26" spans="2:15" s="99" customFormat="1" ht="15">
      <c r="B26" s="470"/>
      <c r="C26" s="1626">
        <v>37257</v>
      </c>
      <c r="D26" s="1626"/>
      <c r="E26" s="1627" t="s">
        <v>1910</v>
      </c>
      <c r="F26" s="749">
        <v>206433.72</v>
      </c>
      <c r="G26" s="749">
        <v>-69235.72</v>
      </c>
      <c r="H26" s="749">
        <v>137198</v>
      </c>
      <c r="I26" s="749">
        <v>-4548</v>
      </c>
      <c r="J26" s="749">
        <v>206433.72</v>
      </c>
      <c r="K26" s="749">
        <v>-64687.72</v>
      </c>
      <c r="L26" s="749">
        <v>141746</v>
      </c>
      <c r="M26" s="749">
        <v>-4477.3800000000047</v>
      </c>
      <c r="N26" s="107"/>
      <c r="O26" s="20"/>
    </row>
    <row r="27" spans="2:15" s="99" customFormat="1" ht="15">
      <c r="B27" s="470"/>
      <c r="C27" s="1626">
        <v>37257</v>
      </c>
      <c r="D27" s="1626"/>
      <c r="E27" s="1627" t="s">
        <v>1911</v>
      </c>
      <c r="F27" s="749">
        <v>157167.45000000001</v>
      </c>
      <c r="G27" s="749">
        <v>-116796.45</v>
      </c>
      <c r="H27" s="749">
        <v>40371</v>
      </c>
      <c r="I27" s="749">
        <v>-1338</v>
      </c>
      <c r="J27" s="749">
        <v>157167.45000000001</v>
      </c>
      <c r="K27" s="749">
        <v>-115458.45</v>
      </c>
      <c r="L27" s="749">
        <v>41709</v>
      </c>
      <c r="M27" s="749">
        <v>-2445.8000000000029</v>
      </c>
      <c r="N27" s="107"/>
      <c r="O27" s="20"/>
    </row>
    <row r="28" spans="2:15" s="99" customFormat="1" ht="15">
      <c r="B28" s="470"/>
      <c r="C28" s="1626">
        <v>37987</v>
      </c>
      <c r="D28" s="1626"/>
      <c r="E28" s="1627" t="s">
        <v>1912</v>
      </c>
      <c r="F28" s="749">
        <v>4795066.01</v>
      </c>
      <c r="G28" s="749">
        <v>-1465494.01</v>
      </c>
      <c r="H28" s="749">
        <v>3329572</v>
      </c>
      <c r="I28" s="749">
        <v>-110373</v>
      </c>
      <c r="J28" s="749">
        <v>4795066.01</v>
      </c>
      <c r="K28" s="749">
        <v>-1355121.01</v>
      </c>
      <c r="L28" s="749">
        <v>3439945</v>
      </c>
      <c r="M28" s="749">
        <v>-108389</v>
      </c>
      <c r="N28" s="107"/>
      <c r="O28" s="20"/>
    </row>
    <row r="29" spans="2:15" s="99" customFormat="1" ht="15">
      <c r="B29" s="470"/>
      <c r="C29" s="1626">
        <v>37987</v>
      </c>
      <c r="D29" s="1626"/>
      <c r="E29" s="1627" t="s">
        <v>1913</v>
      </c>
      <c r="F29" s="749">
        <v>550775.93000000005</v>
      </c>
      <c r="G29" s="749">
        <v>-168339.93</v>
      </c>
      <c r="H29" s="749">
        <v>382436</v>
      </c>
      <c r="I29" s="749">
        <v>-12677</v>
      </c>
      <c r="J29" s="749">
        <v>550775.93000000005</v>
      </c>
      <c r="K29" s="749">
        <v>-155662.93</v>
      </c>
      <c r="L29" s="749">
        <v>395113</v>
      </c>
      <c r="M29" s="749">
        <v>-12450</v>
      </c>
      <c r="N29" s="107"/>
      <c r="O29" s="100"/>
    </row>
    <row r="30" spans="2:15" s="99" customFormat="1" ht="15">
      <c r="B30" s="470"/>
      <c r="C30" s="1626">
        <v>37987</v>
      </c>
      <c r="D30" s="1626"/>
      <c r="E30" s="1627" t="s">
        <v>1913</v>
      </c>
      <c r="F30" s="749">
        <v>550775.89</v>
      </c>
      <c r="G30" s="749">
        <v>-168339.89</v>
      </c>
      <c r="H30" s="749">
        <v>382436</v>
      </c>
      <c r="I30" s="749">
        <v>-12677</v>
      </c>
      <c r="J30" s="749">
        <v>550775.89</v>
      </c>
      <c r="K30" s="749">
        <v>-155662.89000000001</v>
      </c>
      <c r="L30" s="749">
        <v>395113</v>
      </c>
      <c r="M30" s="749">
        <v>-12450</v>
      </c>
      <c r="N30" s="107"/>
      <c r="O30" s="100"/>
    </row>
    <row r="31" spans="2:15" s="99" customFormat="1" ht="15">
      <c r="B31" s="470"/>
      <c r="C31" s="1626">
        <v>37987</v>
      </c>
      <c r="D31" s="1626"/>
      <c r="E31" s="1627" t="s">
        <v>1914</v>
      </c>
      <c r="F31" s="749">
        <v>657917.54</v>
      </c>
      <c r="G31" s="749">
        <v>-201088.54</v>
      </c>
      <c r="H31" s="749">
        <v>456829</v>
      </c>
      <c r="I31" s="749">
        <v>-15143</v>
      </c>
      <c r="J31" s="749">
        <v>657917.54</v>
      </c>
      <c r="K31" s="749">
        <v>-185945.54</v>
      </c>
      <c r="L31" s="749">
        <v>471972</v>
      </c>
      <c r="M31" s="749">
        <v>-14872</v>
      </c>
      <c r="N31" s="107"/>
    </row>
    <row r="32" spans="2:15" s="99" customFormat="1" ht="15">
      <c r="B32" s="470"/>
      <c r="C32" s="1626">
        <v>37987</v>
      </c>
      <c r="D32" s="1626"/>
      <c r="E32" s="1627" t="s">
        <v>1915</v>
      </c>
      <c r="F32" s="749">
        <v>470106.43</v>
      </c>
      <c r="G32" s="749">
        <v>-143691.43</v>
      </c>
      <c r="H32" s="749">
        <v>326415</v>
      </c>
      <c r="I32" s="749">
        <v>-10820</v>
      </c>
      <c r="J32" s="749">
        <v>470106.43</v>
      </c>
      <c r="K32" s="749">
        <v>-132871.43</v>
      </c>
      <c r="L32" s="749">
        <v>337235</v>
      </c>
      <c r="M32" s="749">
        <v>-10627</v>
      </c>
      <c r="N32" s="107"/>
    </row>
    <row r="33" spans="1:14" s="99" customFormat="1" ht="15">
      <c r="B33" s="470"/>
      <c r="C33" s="1626">
        <v>37987</v>
      </c>
      <c r="D33" s="1626"/>
      <c r="E33" s="1627" t="s">
        <v>1916</v>
      </c>
      <c r="F33" s="749">
        <v>647185.41</v>
      </c>
      <c r="G33" s="749">
        <v>-197806.41</v>
      </c>
      <c r="H33" s="749">
        <v>449379</v>
      </c>
      <c r="I33" s="749">
        <v>-14897</v>
      </c>
      <c r="J33" s="749">
        <v>647185.41</v>
      </c>
      <c r="K33" s="749">
        <v>-182909.41</v>
      </c>
      <c r="L33" s="749">
        <v>464276</v>
      </c>
      <c r="M33" s="749">
        <v>-14630</v>
      </c>
      <c r="N33" s="107"/>
    </row>
    <row r="34" spans="1:14" s="99" customFormat="1" ht="15">
      <c r="B34" s="470"/>
      <c r="C34" s="1626">
        <v>37987</v>
      </c>
      <c r="D34" s="1626"/>
      <c r="E34" s="1627" t="s">
        <v>1917</v>
      </c>
      <c r="F34" s="749">
        <v>111221.23</v>
      </c>
      <c r="G34" s="749">
        <v>-34002.230000000003</v>
      </c>
      <c r="H34" s="749">
        <v>77219</v>
      </c>
      <c r="I34" s="749">
        <v>-2560.0000000000036</v>
      </c>
      <c r="J34" s="749">
        <v>111221.23</v>
      </c>
      <c r="K34" s="749">
        <v>-31442.23</v>
      </c>
      <c r="L34" s="749">
        <v>79779</v>
      </c>
      <c r="M34" s="749">
        <v>-2514</v>
      </c>
      <c r="N34" s="107"/>
    </row>
    <row r="35" spans="1:14" s="99" customFormat="1" ht="15">
      <c r="B35" s="470"/>
      <c r="C35" s="1626">
        <v>37987</v>
      </c>
      <c r="D35" s="1626"/>
      <c r="E35" s="1627" t="s">
        <v>1918</v>
      </c>
      <c r="F35" s="749">
        <v>202557.24</v>
      </c>
      <c r="G35" s="749">
        <v>-61920.24</v>
      </c>
      <c r="H35" s="749">
        <v>140637</v>
      </c>
      <c r="I35" s="749">
        <v>-4662</v>
      </c>
      <c r="J35" s="749">
        <v>202557.24</v>
      </c>
      <c r="K35" s="749">
        <v>-57258.239999999998</v>
      </c>
      <c r="L35" s="749">
        <v>145299</v>
      </c>
      <c r="M35" s="749">
        <v>-4579</v>
      </c>
      <c r="N35" s="107"/>
    </row>
    <row r="36" spans="1:14" s="99" customFormat="1" ht="15">
      <c r="B36" s="470"/>
      <c r="C36" s="1626">
        <v>37987</v>
      </c>
      <c r="D36" s="1626"/>
      <c r="E36" s="1627" t="s">
        <v>1919</v>
      </c>
      <c r="F36" s="749">
        <v>1369456.07</v>
      </c>
      <c r="G36" s="749">
        <v>-418552.07</v>
      </c>
      <c r="H36" s="749">
        <v>950904</v>
      </c>
      <c r="I36" s="749">
        <v>-31522</v>
      </c>
      <c r="J36" s="749">
        <v>1369456.07</v>
      </c>
      <c r="K36" s="749">
        <v>-387030.07</v>
      </c>
      <c r="L36" s="749">
        <v>982426</v>
      </c>
      <c r="M36" s="749">
        <v>-30955</v>
      </c>
      <c r="N36" s="107"/>
    </row>
    <row r="37" spans="1:14" s="99" customFormat="1" ht="15">
      <c r="B37" s="470"/>
      <c r="C37" s="1626">
        <v>37987</v>
      </c>
      <c r="D37" s="1626"/>
      <c r="E37" s="1627" t="s">
        <v>1920</v>
      </c>
      <c r="F37" s="749">
        <v>158379.32999999999</v>
      </c>
      <c r="G37" s="749">
        <v>-46210.33</v>
      </c>
      <c r="H37" s="749">
        <v>112169</v>
      </c>
      <c r="I37" s="749">
        <v>-3718</v>
      </c>
      <c r="J37" s="749">
        <v>158379.32999999999</v>
      </c>
      <c r="K37" s="749">
        <v>-42492.33</v>
      </c>
      <c r="L37" s="749">
        <v>115887</v>
      </c>
      <c r="M37" s="749">
        <v>-3625.3100000000049</v>
      </c>
      <c r="N37" s="107"/>
    </row>
    <row r="38" spans="1:14" s="99" customFormat="1" ht="15">
      <c r="B38" s="470"/>
      <c r="C38" s="1626">
        <v>38353</v>
      </c>
      <c r="D38" s="1626"/>
      <c r="E38" s="1627" t="s">
        <v>1921</v>
      </c>
      <c r="F38" s="749">
        <v>188335.56</v>
      </c>
      <c r="G38" s="749">
        <v>-188335.56</v>
      </c>
      <c r="H38" s="749">
        <v>0</v>
      </c>
      <c r="I38" s="749">
        <v>0</v>
      </c>
      <c r="J38" s="749">
        <v>188335.56</v>
      </c>
      <c r="K38" s="749">
        <v>-188335.56</v>
      </c>
      <c r="L38" s="749">
        <v>0</v>
      </c>
      <c r="M38" s="749">
        <v>0</v>
      </c>
      <c r="N38" s="107"/>
    </row>
    <row r="39" spans="1:14" s="99" customFormat="1" ht="15">
      <c r="B39" s="470"/>
      <c r="C39" s="1626">
        <v>39417</v>
      </c>
      <c r="D39" s="1626"/>
      <c r="E39" s="1627" t="s">
        <v>1922</v>
      </c>
      <c r="F39" s="749">
        <v>26923.7</v>
      </c>
      <c r="G39" s="749">
        <v>-12945.7</v>
      </c>
      <c r="H39" s="749">
        <v>13978</v>
      </c>
      <c r="I39" s="749">
        <v>-463</v>
      </c>
      <c r="J39" s="749">
        <v>26923.7</v>
      </c>
      <c r="K39" s="749">
        <v>-12482.7</v>
      </c>
      <c r="L39" s="749">
        <v>14441</v>
      </c>
      <c r="M39" s="749">
        <v>-611.70000000000073</v>
      </c>
      <c r="N39" s="107"/>
    </row>
    <row r="40" spans="1:14" s="99" customFormat="1" ht="15">
      <c r="B40" s="470"/>
      <c r="C40" s="1381"/>
      <c r="D40" s="702"/>
      <c r="E40" s="1381"/>
      <c r="F40" s="1381"/>
      <c r="G40" s="1381"/>
      <c r="H40" s="1381"/>
      <c r="I40" s="1381"/>
      <c r="J40" s="1381"/>
      <c r="K40" s="1381"/>
      <c r="L40" s="1381"/>
      <c r="M40" s="1381"/>
      <c r="N40" s="107"/>
    </row>
    <row r="41" spans="1:14" s="99" customFormat="1" ht="16.5" thickBot="1">
      <c r="A41" s="99">
        <v>2</v>
      </c>
      <c r="C41" s="472"/>
      <c r="D41" s="472"/>
      <c r="E41" s="473" t="s">
        <v>254</v>
      </c>
      <c r="F41" s="474">
        <f>SUM(F17:F40)</f>
        <v>44743653.020000003</v>
      </c>
      <c r="G41" s="474">
        <f t="shared" ref="G41:M41" si="0">SUM(G17:G40)</f>
        <v>-14863273.02</v>
      </c>
      <c r="H41" s="474">
        <f t="shared" si="0"/>
        <v>29880380</v>
      </c>
      <c r="I41" s="474">
        <f t="shared" si="0"/>
        <v>-990508</v>
      </c>
      <c r="J41" s="474">
        <f t="shared" si="0"/>
        <v>44743653.020000003</v>
      </c>
      <c r="K41" s="474">
        <f t="shared" si="0"/>
        <v>-13872765.02</v>
      </c>
      <c r="L41" s="474">
        <f t="shared" si="0"/>
        <v>30870888</v>
      </c>
      <c r="M41" s="474">
        <f t="shared" si="0"/>
        <v>-978025.51000000036</v>
      </c>
      <c r="N41" s="107"/>
    </row>
    <row r="42" spans="1:14" s="99" customFormat="1" ht="16.5" thickTop="1" thickBot="1">
      <c r="F42" s="475"/>
      <c r="G42" s="475"/>
      <c r="H42" s="475"/>
      <c r="I42" s="475"/>
      <c r="J42" s="475"/>
      <c r="K42" s="475"/>
      <c r="L42" s="475"/>
      <c r="M42" s="107"/>
      <c r="N42" s="107"/>
    </row>
    <row r="43" spans="1:14" s="99" customFormat="1" ht="16.5" thickBot="1">
      <c r="A43" s="99">
        <f>+A41+1</f>
        <v>3</v>
      </c>
      <c r="E43" s="476" t="s">
        <v>450</v>
      </c>
      <c r="F43" s="475"/>
      <c r="G43" s="750">
        <f>G41-K41</f>
        <v>-990508</v>
      </c>
      <c r="H43" s="475"/>
      <c r="I43" s="475"/>
      <c r="J43" s="475"/>
      <c r="K43" s="475"/>
      <c r="L43" s="475"/>
      <c r="M43" s="107"/>
      <c r="N43" s="107"/>
    </row>
    <row r="44" spans="1:14" customFormat="1" ht="12"/>
    <row r="45" spans="1:14" customFormat="1" ht="12"/>
    <row r="46" spans="1:14" customFormat="1" ht="12"/>
    <row r="47" spans="1:14" s="99" customFormat="1" ht="15">
      <c r="A47" s="1487"/>
      <c r="B47" s="1487"/>
      <c r="C47" s="1487"/>
      <c r="D47" s="1487"/>
      <c r="E47" s="1487"/>
      <c r="F47" s="1487"/>
      <c r="G47" s="1487"/>
      <c r="H47" s="1487"/>
      <c r="I47" s="1487"/>
      <c r="J47" s="1488"/>
      <c r="K47" s="1489"/>
      <c r="L47" s="1488"/>
      <c r="M47" s="1488"/>
      <c r="N47" s="107"/>
    </row>
    <row r="48" spans="1:14" s="99" customFormat="1" ht="15">
      <c r="A48" s="1490"/>
      <c r="B48" s="1490"/>
      <c r="C48" s="1490"/>
      <c r="D48" s="1490"/>
      <c r="E48" s="1490"/>
      <c r="F48" s="1490"/>
      <c r="G48" s="1490"/>
      <c r="H48" s="1490"/>
      <c r="I48" s="1490"/>
      <c r="J48" s="1491"/>
      <c r="K48" s="1492"/>
      <c r="L48" s="1491"/>
      <c r="M48" s="1491"/>
      <c r="N48" s="107"/>
    </row>
    <row r="49" spans="1:9" s="477" customFormat="1" ht="15.75">
      <c r="A49" s="1485" t="s">
        <v>1712</v>
      </c>
      <c r="G49" s="478"/>
      <c r="H49" s="478"/>
      <c r="I49" s="478"/>
    </row>
    <row r="50" spans="1:9" s="477" customFormat="1">
      <c r="G50" s="478"/>
      <c r="H50" s="478"/>
      <c r="I50" s="478"/>
    </row>
    <row r="51" spans="1:9" s="477" customFormat="1">
      <c r="G51" s="478"/>
      <c r="H51" s="478"/>
      <c r="I51" s="478"/>
    </row>
    <row r="52" spans="1:9" s="477" customFormat="1">
      <c r="G52" s="478"/>
      <c r="H52" s="478"/>
      <c r="I52" s="478"/>
    </row>
    <row r="53" spans="1:9" s="477" customFormat="1">
      <c r="G53" s="478"/>
      <c r="H53" s="478"/>
      <c r="I53" s="478"/>
    </row>
    <row r="54" spans="1:9" s="477" customFormat="1">
      <c r="G54" s="478"/>
      <c r="H54" s="478"/>
      <c r="I54" s="478"/>
    </row>
    <row r="55" spans="1:9" s="477" customFormat="1">
      <c r="G55" s="478"/>
      <c r="H55" s="478"/>
      <c r="I55" s="478"/>
    </row>
    <row r="56" spans="1:9" s="477" customFormat="1">
      <c r="G56" s="478"/>
      <c r="H56" s="478"/>
      <c r="I56" s="478"/>
    </row>
    <row r="57" spans="1:9" s="477" customFormat="1">
      <c r="G57" s="478"/>
      <c r="H57" s="478"/>
      <c r="I57" s="478"/>
    </row>
    <row r="58" spans="1:9" s="477" customFormat="1">
      <c r="G58" s="478"/>
      <c r="H58" s="478"/>
      <c r="I58" s="478"/>
    </row>
    <row r="59" spans="1:9" s="477" customFormat="1">
      <c r="G59" s="478"/>
      <c r="H59" s="478"/>
      <c r="I59" s="478"/>
    </row>
    <row r="60" spans="1:9" s="477" customFormat="1">
      <c r="G60" s="478"/>
      <c r="H60" s="478"/>
      <c r="I60" s="478"/>
    </row>
    <row r="61" spans="1:9" s="477" customFormat="1">
      <c r="G61" s="478"/>
      <c r="H61" s="478"/>
      <c r="I61" s="478"/>
    </row>
    <row r="62" spans="1:9" s="477" customFormat="1">
      <c r="G62" s="478"/>
      <c r="H62" s="478"/>
      <c r="I62" s="478"/>
    </row>
    <row r="63" spans="1:9" s="477" customFormat="1">
      <c r="G63" s="478"/>
      <c r="H63" s="478"/>
      <c r="I63" s="478"/>
    </row>
    <row r="64" spans="1:9" s="477" customFormat="1">
      <c r="G64" s="478"/>
      <c r="H64" s="478"/>
      <c r="I64" s="478"/>
    </row>
    <row r="65" spans="7:9" s="477" customFormat="1">
      <c r="G65" s="478"/>
      <c r="H65" s="478"/>
      <c r="I65" s="478"/>
    </row>
    <row r="66" spans="7:9" s="477" customFormat="1">
      <c r="G66" s="478"/>
      <c r="H66" s="478"/>
      <c r="I66" s="478"/>
    </row>
    <row r="67" spans="7:9" s="477" customFormat="1">
      <c r="G67" s="478"/>
      <c r="H67" s="478"/>
      <c r="I67" s="478"/>
    </row>
    <row r="68" spans="7:9" s="477" customFormat="1">
      <c r="G68" s="478"/>
      <c r="H68" s="478"/>
      <c r="I68" s="478"/>
    </row>
    <row r="69" spans="7:9" s="477" customFormat="1">
      <c r="G69" s="478"/>
      <c r="H69" s="478"/>
      <c r="I69" s="478"/>
    </row>
    <row r="70" spans="7:9" s="477" customFormat="1">
      <c r="G70" s="478"/>
      <c r="H70" s="478"/>
      <c r="I70" s="478"/>
    </row>
    <row r="71" spans="7:9" s="477" customFormat="1">
      <c r="G71" s="478"/>
      <c r="H71" s="478"/>
      <c r="I71" s="478"/>
    </row>
    <row r="72" spans="7:9" s="477" customFormat="1">
      <c r="G72" s="478"/>
      <c r="H72" s="478"/>
      <c r="I72" s="478"/>
    </row>
    <row r="73" spans="7:9" s="477" customFormat="1">
      <c r="G73" s="478"/>
      <c r="H73" s="478"/>
      <c r="I73" s="478"/>
    </row>
    <row r="74" spans="7:9" s="477" customFormat="1">
      <c r="G74" s="478"/>
      <c r="H74" s="478"/>
      <c r="I74" s="478"/>
    </row>
    <row r="75" spans="7:9" s="477" customFormat="1">
      <c r="G75" s="478"/>
      <c r="H75" s="478"/>
      <c r="I75" s="478"/>
    </row>
    <row r="76" spans="7:9" s="477" customFormat="1">
      <c r="G76" s="478"/>
      <c r="H76" s="478"/>
      <c r="I76" s="478"/>
    </row>
    <row r="77" spans="7:9" s="477" customFormat="1">
      <c r="G77" s="478"/>
      <c r="H77" s="478"/>
      <c r="I77" s="478"/>
    </row>
    <row r="78" spans="7:9" s="477" customFormat="1">
      <c r="G78" s="478"/>
      <c r="H78" s="478"/>
      <c r="I78" s="478"/>
    </row>
    <row r="79" spans="7:9" s="477" customFormat="1">
      <c r="G79" s="478"/>
      <c r="H79" s="478"/>
      <c r="I79" s="478"/>
    </row>
    <row r="80" spans="7:9" s="477" customFormat="1">
      <c r="G80" s="478"/>
      <c r="H80" s="478"/>
      <c r="I80" s="478"/>
    </row>
    <row r="81" spans="7:9" s="477" customFormat="1">
      <c r="G81" s="478"/>
      <c r="H81" s="478"/>
      <c r="I81" s="478"/>
    </row>
    <row r="82" spans="7:9" s="477" customFormat="1">
      <c r="G82" s="478"/>
      <c r="H82" s="478"/>
      <c r="I82" s="478"/>
    </row>
    <row r="83" spans="7:9" s="477" customFormat="1">
      <c r="G83" s="478"/>
      <c r="H83" s="478"/>
      <c r="I83" s="478"/>
    </row>
    <row r="84" spans="7:9" s="477" customFormat="1">
      <c r="G84" s="478"/>
      <c r="H84" s="478"/>
      <c r="I84" s="478"/>
    </row>
    <row r="85" spans="7:9" s="477" customFormat="1">
      <c r="G85" s="478"/>
      <c r="H85" s="478"/>
      <c r="I85" s="478"/>
    </row>
    <row r="86" spans="7:9" s="477" customFormat="1">
      <c r="G86" s="478"/>
      <c r="H86" s="478"/>
      <c r="I86" s="478"/>
    </row>
    <row r="87" spans="7:9" s="477" customFormat="1">
      <c r="G87" s="478"/>
      <c r="H87" s="478"/>
      <c r="I87" s="478"/>
    </row>
    <row r="88" spans="7:9" s="477" customFormat="1">
      <c r="G88" s="478"/>
      <c r="H88" s="478"/>
      <c r="I88" s="478"/>
    </row>
    <row r="89" spans="7:9" s="477" customFormat="1">
      <c r="G89" s="478"/>
      <c r="H89" s="478"/>
      <c r="I89" s="478"/>
    </row>
  </sheetData>
  <customSheetViews>
    <customSheetView guid="{B321D76C-CDE5-48BB-9CDE-80FF97D58FCF}" scale="70" showPageBreaks="1" fitToPage="1" printArea="1" hiddenColumns="1" view="pageBreakPreview">
      <selection activeCell="D33" sqref="D33"/>
      <pageMargins left="0.2" right="0.2" top="0.25" bottom="0.25" header="0.3" footer="0.3"/>
      <printOptions horizontalCentered="1"/>
      <pageSetup scale="62" orientation="landscape" r:id="rId1"/>
    </customSheetView>
  </customSheetViews>
  <mergeCells count="7">
    <mergeCell ref="J12:L12"/>
    <mergeCell ref="F12:H12"/>
    <mergeCell ref="A10:M10"/>
    <mergeCell ref="A9:M9"/>
    <mergeCell ref="A5:M5"/>
    <mergeCell ref="A6:M6"/>
    <mergeCell ref="A7:M7"/>
  </mergeCells>
  <printOptions horizontalCentered="1"/>
  <pageMargins left="0.2" right="0.2" top="0.25" bottom="0.25" header="0.3" footer="0.3"/>
  <pageSetup scale="62"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pageSetUpPr fitToPage="1"/>
  </sheetPr>
  <dimension ref="A1:T60"/>
  <sheetViews>
    <sheetView tabSelected="1" view="pageBreakPreview" zoomScale="70" zoomScaleNormal="80" zoomScaleSheetLayoutView="70" workbookViewId="0">
      <selection activeCell="C30" sqref="C30"/>
    </sheetView>
  </sheetViews>
  <sheetFormatPr defaultRowHeight="12.75"/>
  <cols>
    <col min="1" max="1" width="9.125" style="34" customWidth="1"/>
    <col min="2" max="2" width="57.125" style="34" bestFit="1" customWidth="1"/>
    <col min="3" max="3" width="2.25" style="34" customWidth="1"/>
    <col min="4" max="4" width="17.125" style="34" bestFit="1" customWidth="1"/>
    <col min="5" max="5" width="1.75" style="34" customWidth="1"/>
    <col min="6" max="6" width="13.75" style="34" bestFit="1" customWidth="1"/>
    <col min="7" max="7" width="1.75" style="34" customWidth="1"/>
    <col min="8" max="8" width="16.75" style="34" bestFit="1" customWidth="1"/>
    <col min="9" max="9" width="1.375" style="34" customWidth="1"/>
    <col min="10" max="10" width="15" style="34" bestFit="1" customWidth="1"/>
    <col min="11" max="11" width="4" style="34" customWidth="1"/>
    <col min="12" max="12" width="14.375" style="34" bestFit="1" customWidth="1"/>
    <col min="13" max="13" width="4.75" style="34" customWidth="1"/>
    <col min="14" max="14" width="14.25" style="34" bestFit="1" customWidth="1"/>
    <col min="15" max="15" width="2" style="34" customWidth="1"/>
    <col min="16" max="16" width="16.75" style="34" bestFit="1" customWidth="1"/>
    <col min="17" max="17" width="2.5" style="34" customWidth="1"/>
    <col min="18" max="18" width="15" style="34" bestFit="1" customWidth="1"/>
    <col min="19" max="19" width="1.75" style="34" customWidth="1"/>
    <col min="20" max="20" width="14.375" style="34" bestFit="1" customWidth="1"/>
    <col min="21" max="257" width="9" style="34"/>
    <col min="258" max="258" width="40.125" style="34" bestFit="1" customWidth="1"/>
    <col min="259" max="259" width="6.75" style="34" customWidth="1"/>
    <col min="260" max="260" width="12.75" style="34" bestFit="1" customWidth="1"/>
    <col min="261" max="261" width="12.375" style="34" bestFit="1" customWidth="1"/>
    <col min="262" max="262" width="8.75" style="34" bestFit="1" customWidth="1"/>
    <col min="263" max="263" width="15.25" style="34" bestFit="1" customWidth="1"/>
    <col min="264" max="264" width="13.5" style="34" customWidth="1"/>
    <col min="265" max="265" width="2.75" style="34" customWidth="1"/>
    <col min="266" max="266" width="12" style="34" bestFit="1" customWidth="1"/>
    <col min="267" max="267" width="8.125" style="34" bestFit="1" customWidth="1"/>
    <col min="268" max="268" width="10.25" style="34" customWidth="1"/>
    <col min="269" max="513" width="9" style="34"/>
    <col min="514" max="514" width="40.125" style="34" bestFit="1" customWidth="1"/>
    <col min="515" max="515" width="6.75" style="34" customWidth="1"/>
    <col min="516" max="516" width="12.75" style="34" bestFit="1" customWidth="1"/>
    <col min="517" max="517" width="12.375" style="34" bestFit="1" customWidth="1"/>
    <col min="518" max="518" width="8.75" style="34" bestFit="1" customWidth="1"/>
    <col min="519" max="519" width="15.25" style="34" bestFit="1" customWidth="1"/>
    <col min="520" max="520" width="13.5" style="34" customWidth="1"/>
    <col min="521" max="521" width="2.75" style="34" customWidth="1"/>
    <col min="522" max="522" width="12" style="34" bestFit="1" customWidth="1"/>
    <col min="523" max="523" width="8.125" style="34" bestFit="1" customWidth="1"/>
    <col min="524" max="524" width="10.25" style="34" customWidth="1"/>
    <col min="525" max="769" width="9" style="34"/>
    <col min="770" max="770" width="40.125" style="34" bestFit="1" customWidth="1"/>
    <col min="771" max="771" width="6.75" style="34" customWidth="1"/>
    <col min="772" max="772" width="12.75" style="34" bestFit="1" customWidth="1"/>
    <col min="773" max="773" width="12.375" style="34" bestFit="1" customWidth="1"/>
    <col min="774" max="774" width="8.75" style="34" bestFit="1" customWidth="1"/>
    <col min="775" max="775" width="15.25" style="34" bestFit="1" customWidth="1"/>
    <col min="776" max="776" width="13.5" style="34" customWidth="1"/>
    <col min="777" max="777" width="2.75" style="34" customWidth="1"/>
    <col min="778" max="778" width="12" style="34" bestFit="1" customWidth="1"/>
    <col min="779" max="779" width="8.125" style="34" bestFit="1" customWidth="1"/>
    <col min="780" max="780" width="10.25" style="34" customWidth="1"/>
    <col min="781" max="1025" width="9" style="34"/>
    <col min="1026" max="1026" width="40.125" style="34" bestFit="1" customWidth="1"/>
    <col min="1027" max="1027" width="6.75" style="34" customWidth="1"/>
    <col min="1028" max="1028" width="12.75" style="34" bestFit="1" customWidth="1"/>
    <col min="1029" max="1029" width="12.375" style="34" bestFit="1" customWidth="1"/>
    <col min="1030" max="1030" width="8.75" style="34" bestFit="1" customWidth="1"/>
    <col min="1031" max="1031" width="15.25" style="34" bestFit="1" customWidth="1"/>
    <col min="1032" max="1032" width="13.5" style="34" customWidth="1"/>
    <col min="1033" max="1033" width="2.75" style="34" customWidth="1"/>
    <col min="1034" max="1034" width="12" style="34" bestFit="1" customWidth="1"/>
    <col min="1035" max="1035" width="8.125" style="34" bestFit="1" customWidth="1"/>
    <col min="1036" max="1036" width="10.25" style="34" customWidth="1"/>
    <col min="1037" max="1281" width="9" style="34"/>
    <col min="1282" max="1282" width="40.125" style="34" bestFit="1" customWidth="1"/>
    <col min="1283" max="1283" width="6.75" style="34" customWidth="1"/>
    <col min="1284" max="1284" width="12.75" style="34" bestFit="1" customWidth="1"/>
    <col min="1285" max="1285" width="12.375" style="34" bestFit="1" customWidth="1"/>
    <col min="1286" max="1286" width="8.75" style="34" bestFit="1" customWidth="1"/>
    <col min="1287" max="1287" width="15.25" style="34" bestFit="1" customWidth="1"/>
    <col min="1288" max="1288" width="13.5" style="34" customWidth="1"/>
    <col min="1289" max="1289" width="2.75" style="34" customWidth="1"/>
    <col min="1290" max="1290" width="12" style="34" bestFit="1" customWidth="1"/>
    <col min="1291" max="1291" width="8.125" style="34" bestFit="1" customWidth="1"/>
    <col min="1292" max="1292" width="10.25" style="34" customWidth="1"/>
    <col min="1293" max="1537" width="9" style="34"/>
    <col min="1538" max="1538" width="40.125" style="34" bestFit="1" customWidth="1"/>
    <col min="1539" max="1539" width="6.75" style="34" customWidth="1"/>
    <col min="1540" max="1540" width="12.75" style="34" bestFit="1" customWidth="1"/>
    <col min="1541" max="1541" width="12.375" style="34" bestFit="1" customWidth="1"/>
    <col min="1542" max="1542" width="8.75" style="34" bestFit="1" customWidth="1"/>
    <col min="1543" max="1543" width="15.25" style="34" bestFit="1" customWidth="1"/>
    <col min="1544" max="1544" width="13.5" style="34" customWidth="1"/>
    <col min="1545" max="1545" width="2.75" style="34" customWidth="1"/>
    <col min="1546" max="1546" width="12" style="34" bestFit="1" customWidth="1"/>
    <col min="1547" max="1547" width="8.125" style="34" bestFit="1" customWidth="1"/>
    <col min="1548" max="1548" width="10.25" style="34" customWidth="1"/>
    <col min="1549" max="1793" width="9" style="34"/>
    <col min="1794" max="1794" width="40.125" style="34" bestFit="1" customWidth="1"/>
    <col min="1795" max="1795" width="6.75" style="34" customWidth="1"/>
    <col min="1796" max="1796" width="12.75" style="34" bestFit="1" customWidth="1"/>
    <col min="1797" max="1797" width="12.375" style="34" bestFit="1" customWidth="1"/>
    <col min="1798" max="1798" width="8.75" style="34" bestFit="1" customWidth="1"/>
    <col min="1799" max="1799" width="15.25" style="34" bestFit="1" customWidth="1"/>
    <col min="1800" max="1800" width="13.5" style="34" customWidth="1"/>
    <col min="1801" max="1801" width="2.75" style="34" customWidth="1"/>
    <col min="1802" max="1802" width="12" style="34" bestFit="1" customWidth="1"/>
    <col min="1803" max="1803" width="8.125" style="34" bestFit="1" customWidth="1"/>
    <col min="1804" max="1804" width="10.25" style="34" customWidth="1"/>
    <col min="1805" max="2049" width="9" style="34"/>
    <col min="2050" max="2050" width="40.125" style="34" bestFit="1" customWidth="1"/>
    <col min="2051" max="2051" width="6.75" style="34" customWidth="1"/>
    <col min="2052" max="2052" width="12.75" style="34" bestFit="1" customWidth="1"/>
    <col min="2053" max="2053" width="12.375" style="34" bestFit="1" customWidth="1"/>
    <col min="2054" max="2054" width="8.75" style="34" bestFit="1" customWidth="1"/>
    <col min="2055" max="2055" width="15.25" style="34" bestFit="1" customWidth="1"/>
    <col min="2056" max="2056" width="13.5" style="34" customWidth="1"/>
    <col min="2057" max="2057" width="2.75" style="34" customWidth="1"/>
    <col min="2058" max="2058" width="12" style="34" bestFit="1" customWidth="1"/>
    <col min="2059" max="2059" width="8.125" style="34" bestFit="1" customWidth="1"/>
    <col min="2060" max="2060" width="10.25" style="34" customWidth="1"/>
    <col min="2061" max="2305" width="9" style="34"/>
    <col min="2306" max="2306" width="40.125" style="34" bestFit="1" customWidth="1"/>
    <col min="2307" max="2307" width="6.75" style="34" customWidth="1"/>
    <col min="2308" max="2308" width="12.75" style="34" bestFit="1" customWidth="1"/>
    <col min="2309" max="2309" width="12.375" style="34" bestFit="1" customWidth="1"/>
    <col min="2310" max="2310" width="8.75" style="34" bestFit="1" customWidth="1"/>
    <col min="2311" max="2311" width="15.25" style="34" bestFit="1" customWidth="1"/>
    <col min="2312" max="2312" width="13.5" style="34" customWidth="1"/>
    <col min="2313" max="2313" width="2.75" style="34" customWidth="1"/>
    <col min="2314" max="2314" width="12" style="34" bestFit="1" customWidth="1"/>
    <col min="2315" max="2315" width="8.125" style="34" bestFit="1" customWidth="1"/>
    <col min="2316" max="2316" width="10.25" style="34" customWidth="1"/>
    <col min="2317" max="2561" width="9" style="34"/>
    <col min="2562" max="2562" width="40.125" style="34" bestFit="1" customWidth="1"/>
    <col min="2563" max="2563" width="6.75" style="34" customWidth="1"/>
    <col min="2564" max="2564" width="12.75" style="34" bestFit="1" customWidth="1"/>
    <col min="2565" max="2565" width="12.375" style="34" bestFit="1" customWidth="1"/>
    <col min="2566" max="2566" width="8.75" style="34" bestFit="1" customWidth="1"/>
    <col min="2567" max="2567" width="15.25" style="34" bestFit="1" customWidth="1"/>
    <col min="2568" max="2568" width="13.5" style="34" customWidth="1"/>
    <col min="2569" max="2569" width="2.75" style="34" customWidth="1"/>
    <col min="2570" max="2570" width="12" style="34" bestFit="1" customWidth="1"/>
    <col min="2571" max="2571" width="8.125" style="34" bestFit="1" customWidth="1"/>
    <col min="2572" max="2572" width="10.25" style="34" customWidth="1"/>
    <col min="2573" max="2817" width="9" style="34"/>
    <col min="2818" max="2818" width="40.125" style="34" bestFit="1" customWidth="1"/>
    <col min="2819" max="2819" width="6.75" style="34" customWidth="1"/>
    <col min="2820" max="2820" width="12.75" style="34" bestFit="1" customWidth="1"/>
    <col min="2821" max="2821" width="12.375" style="34" bestFit="1" customWidth="1"/>
    <col min="2822" max="2822" width="8.75" style="34" bestFit="1" customWidth="1"/>
    <col min="2823" max="2823" width="15.25" style="34" bestFit="1" customWidth="1"/>
    <col min="2824" max="2824" width="13.5" style="34" customWidth="1"/>
    <col min="2825" max="2825" width="2.75" style="34" customWidth="1"/>
    <col min="2826" max="2826" width="12" style="34" bestFit="1" customWidth="1"/>
    <col min="2827" max="2827" width="8.125" style="34" bestFit="1" customWidth="1"/>
    <col min="2828" max="2828" width="10.25" style="34" customWidth="1"/>
    <col min="2829" max="3073" width="9" style="34"/>
    <col min="3074" max="3074" width="40.125" style="34" bestFit="1" customWidth="1"/>
    <col min="3075" max="3075" width="6.75" style="34" customWidth="1"/>
    <col min="3076" max="3076" width="12.75" style="34" bestFit="1" customWidth="1"/>
    <col min="3077" max="3077" width="12.375" style="34" bestFit="1" customWidth="1"/>
    <col min="3078" max="3078" width="8.75" style="34" bestFit="1" customWidth="1"/>
    <col min="3079" max="3079" width="15.25" style="34" bestFit="1" customWidth="1"/>
    <col min="3080" max="3080" width="13.5" style="34" customWidth="1"/>
    <col min="3081" max="3081" width="2.75" style="34" customWidth="1"/>
    <col min="3082" max="3082" width="12" style="34" bestFit="1" customWidth="1"/>
    <col min="3083" max="3083" width="8.125" style="34" bestFit="1" customWidth="1"/>
    <col min="3084" max="3084" width="10.25" style="34" customWidth="1"/>
    <col min="3085" max="3329" width="9" style="34"/>
    <col min="3330" max="3330" width="40.125" style="34" bestFit="1" customWidth="1"/>
    <col min="3331" max="3331" width="6.75" style="34" customWidth="1"/>
    <col min="3332" max="3332" width="12.75" style="34" bestFit="1" customWidth="1"/>
    <col min="3333" max="3333" width="12.375" style="34" bestFit="1" customWidth="1"/>
    <col min="3334" max="3334" width="8.75" style="34" bestFit="1" customWidth="1"/>
    <col min="3335" max="3335" width="15.25" style="34" bestFit="1" customWidth="1"/>
    <col min="3336" max="3336" width="13.5" style="34" customWidth="1"/>
    <col min="3337" max="3337" width="2.75" style="34" customWidth="1"/>
    <col min="3338" max="3338" width="12" style="34" bestFit="1" customWidth="1"/>
    <col min="3339" max="3339" width="8.125" style="34" bestFit="1" customWidth="1"/>
    <col min="3340" max="3340" width="10.25" style="34" customWidth="1"/>
    <col min="3341" max="3585" width="9" style="34"/>
    <col min="3586" max="3586" width="40.125" style="34" bestFit="1" customWidth="1"/>
    <col min="3587" max="3587" width="6.75" style="34" customWidth="1"/>
    <col min="3588" max="3588" width="12.75" style="34" bestFit="1" customWidth="1"/>
    <col min="3589" max="3589" width="12.375" style="34" bestFit="1" customWidth="1"/>
    <col min="3590" max="3590" width="8.75" style="34" bestFit="1" customWidth="1"/>
    <col min="3591" max="3591" width="15.25" style="34" bestFit="1" customWidth="1"/>
    <col min="3592" max="3592" width="13.5" style="34" customWidth="1"/>
    <col min="3593" max="3593" width="2.75" style="34" customWidth="1"/>
    <col min="3594" max="3594" width="12" style="34" bestFit="1" customWidth="1"/>
    <col min="3595" max="3595" width="8.125" style="34" bestFit="1" customWidth="1"/>
    <col min="3596" max="3596" width="10.25" style="34" customWidth="1"/>
    <col min="3597" max="3841" width="9" style="34"/>
    <col min="3842" max="3842" width="40.125" style="34" bestFit="1" customWidth="1"/>
    <col min="3843" max="3843" width="6.75" style="34" customWidth="1"/>
    <col min="3844" max="3844" width="12.75" style="34" bestFit="1" customWidth="1"/>
    <col min="3845" max="3845" width="12.375" style="34" bestFit="1" customWidth="1"/>
    <col min="3846" max="3846" width="8.75" style="34" bestFit="1" customWidth="1"/>
    <col min="3847" max="3847" width="15.25" style="34" bestFit="1" customWidth="1"/>
    <col min="3848" max="3848" width="13.5" style="34" customWidth="1"/>
    <col min="3849" max="3849" width="2.75" style="34" customWidth="1"/>
    <col min="3850" max="3850" width="12" style="34" bestFit="1" customWidth="1"/>
    <col min="3851" max="3851" width="8.125" style="34" bestFit="1" customWidth="1"/>
    <col min="3852" max="3852" width="10.25" style="34" customWidth="1"/>
    <col min="3853" max="4097" width="9" style="34"/>
    <col min="4098" max="4098" width="40.125" style="34" bestFit="1" customWidth="1"/>
    <col min="4099" max="4099" width="6.75" style="34" customWidth="1"/>
    <col min="4100" max="4100" width="12.75" style="34" bestFit="1" customWidth="1"/>
    <col min="4101" max="4101" width="12.375" style="34" bestFit="1" customWidth="1"/>
    <col min="4102" max="4102" width="8.75" style="34" bestFit="1" customWidth="1"/>
    <col min="4103" max="4103" width="15.25" style="34" bestFit="1" customWidth="1"/>
    <col min="4104" max="4104" width="13.5" style="34" customWidth="1"/>
    <col min="4105" max="4105" width="2.75" style="34" customWidth="1"/>
    <col min="4106" max="4106" width="12" style="34" bestFit="1" customWidth="1"/>
    <col min="4107" max="4107" width="8.125" style="34" bestFit="1" customWidth="1"/>
    <col min="4108" max="4108" width="10.25" style="34" customWidth="1"/>
    <col min="4109" max="4353" width="9" style="34"/>
    <col min="4354" max="4354" width="40.125" style="34" bestFit="1" customWidth="1"/>
    <col min="4355" max="4355" width="6.75" style="34" customWidth="1"/>
    <col min="4356" max="4356" width="12.75" style="34" bestFit="1" customWidth="1"/>
    <col min="4357" max="4357" width="12.375" style="34" bestFit="1" customWidth="1"/>
    <col min="4358" max="4358" width="8.75" style="34" bestFit="1" customWidth="1"/>
    <col min="4359" max="4359" width="15.25" style="34" bestFit="1" customWidth="1"/>
    <col min="4360" max="4360" width="13.5" style="34" customWidth="1"/>
    <col min="4361" max="4361" width="2.75" style="34" customWidth="1"/>
    <col min="4362" max="4362" width="12" style="34" bestFit="1" customWidth="1"/>
    <col min="4363" max="4363" width="8.125" style="34" bestFit="1" customWidth="1"/>
    <col min="4364" max="4364" width="10.25" style="34" customWidth="1"/>
    <col min="4365" max="4609" width="9" style="34"/>
    <col min="4610" max="4610" width="40.125" style="34" bestFit="1" customWidth="1"/>
    <col min="4611" max="4611" width="6.75" style="34" customWidth="1"/>
    <col min="4612" max="4612" width="12.75" style="34" bestFit="1" customWidth="1"/>
    <col min="4613" max="4613" width="12.375" style="34" bestFit="1" customWidth="1"/>
    <col min="4614" max="4614" width="8.75" style="34" bestFit="1" customWidth="1"/>
    <col min="4615" max="4615" width="15.25" style="34" bestFit="1" customWidth="1"/>
    <col min="4616" max="4616" width="13.5" style="34" customWidth="1"/>
    <col min="4617" max="4617" width="2.75" style="34" customWidth="1"/>
    <col min="4618" max="4618" width="12" style="34" bestFit="1" customWidth="1"/>
    <col min="4619" max="4619" width="8.125" style="34" bestFit="1" customWidth="1"/>
    <col min="4620" max="4620" width="10.25" style="34" customWidth="1"/>
    <col min="4621" max="4865" width="9" style="34"/>
    <col min="4866" max="4866" width="40.125" style="34" bestFit="1" customWidth="1"/>
    <col min="4867" max="4867" width="6.75" style="34" customWidth="1"/>
    <col min="4868" max="4868" width="12.75" style="34" bestFit="1" customWidth="1"/>
    <col min="4869" max="4869" width="12.375" style="34" bestFit="1" customWidth="1"/>
    <col min="4870" max="4870" width="8.75" style="34" bestFit="1" customWidth="1"/>
    <col min="4871" max="4871" width="15.25" style="34" bestFit="1" customWidth="1"/>
    <col min="4872" max="4872" width="13.5" style="34" customWidth="1"/>
    <col min="4873" max="4873" width="2.75" style="34" customWidth="1"/>
    <col min="4874" max="4874" width="12" style="34" bestFit="1" customWidth="1"/>
    <col min="4875" max="4875" width="8.125" style="34" bestFit="1" customWidth="1"/>
    <col min="4876" max="4876" width="10.25" style="34" customWidth="1"/>
    <col min="4877" max="5121" width="9" style="34"/>
    <col min="5122" max="5122" width="40.125" style="34" bestFit="1" customWidth="1"/>
    <col min="5123" max="5123" width="6.75" style="34" customWidth="1"/>
    <col min="5124" max="5124" width="12.75" style="34" bestFit="1" customWidth="1"/>
    <col min="5125" max="5125" width="12.375" style="34" bestFit="1" customWidth="1"/>
    <col min="5126" max="5126" width="8.75" style="34" bestFit="1" customWidth="1"/>
    <col min="5127" max="5127" width="15.25" style="34" bestFit="1" customWidth="1"/>
    <col min="5128" max="5128" width="13.5" style="34" customWidth="1"/>
    <col min="5129" max="5129" width="2.75" style="34" customWidth="1"/>
    <col min="5130" max="5130" width="12" style="34" bestFit="1" customWidth="1"/>
    <col min="5131" max="5131" width="8.125" style="34" bestFit="1" customWidth="1"/>
    <col min="5132" max="5132" width="10.25" style="34" customWidth="1"/>
    <col min="5133" max="5377" width="9" style="34"/>
    <col min="5378" max="5378" width="40.125" style="34" bestFit="1" customWidth="1"/>
    <col min="5379" max="5379" width="6.75" style="34" customWidth="1"/>
    <col min="5380" max="5380" width="12.75" style="34" bestFit="1" customWidth="1"/>
    <col min="5381" max="5381" width="12.375" style="34" bestFit="1" customWidth="1"/>
    <col min="5382" max="5382" width="8.75" style="34" bestFit="1" customWidth="1"/>
    <col min="5383" max="5383" width="15.25" style="34" bestFit="1" customWidth="1"/>
    <col min="5384" max="5384" width="13.5" style="34" customWidth="1"/>
    <col min="5385" max="5385" width="2.75" style="34" customWidth="1"/>
    <col min="5386" max="5386" width="12" style="34" bestFit="1" customWidth="1"/>
    <col min="5387" max="5387" width="8.125" style="34" bestFit="1" customWidth="1"/>
    <col min="5388" max="5388" width="10.25" style="34" customWidth="1"/>
    <col min="5389" max="5633" width="9" style="34"/>
    <col min="5634" max="5634" width="40.125" style="34" bestFit="1" customWidth="1"/>
    <col min="5635" max="5635" width="6.75" style="34" customWidth="1"/>
    <col min="5636" max="5636" width="12.75" style="34" bestFit="1" customWidth="1"/>
    <col min="5637" max="5637" width="12.375" style="34" bestFit="1" customWidth="1"/>
    <col min="5638" max="5638" width="8.75" style="34" bestFit="1" customWidth="1"/>
    <col min="5639" max="5639" width="15.25" style="34" bestFit="1" customWidth="1"/>
    <col min="5640" max="5640" width="13.5" style="34" customWidth="1"/>
    <col min="5641" max="5641" width="2.75" style="34" customWidth="1"/>
    <col min="5642" max="5642" width="12" style="34" bestFit="1" customWidth="1"/>
    <col min="5643" max="5643" width="8.125" style="34" bestFit="1" customWidth="1"/>
    <col min="5644" max="5644" width="10.25" style="34" customWidth="1"/>
    <col min="5645" max="5889" width="9" style="34"/>
    <col min="5890" max="5890" width="40.125" style="34" bestFit="1" customWidth="1"/>
    <col min="5891" max="5891" width="6.75" style="34" customWidth="1"/>
    <col min="5892" max="5892" width="12.75" style="34" bestFit="1" customWidth="1"/>
    <col min="5893" max="5893" width="12.375" style="34" bestFit="1" customWidth="1"/>
    <col min="5894" max="5894" width="8.75" style="34" bestFit="1" customWidth="1"/>
    <col min="5895" max="5895" width="15.25" style="34" bestFit="1" customWidth="1"/>
    <col min="5896" max="5896" width="13.5" style="34" customWidth="1"/>
    <col min="5897" max="5897" width="2.75" style="34" customWidth="1"/>
    <col min="5898" max="5898" width="12" style="34" bestFit="1" customWidth="1"/>
    <col min="5899" max="5899" width="8.125" style="34" bestFit="1" customWidth="1"/>
    <col min="5900" max="5900" width="10.25" style="34" customWidth="1"/>
    <col min="5901" max="6145" width="9" style="34"/>
    <col min="6146" max="6146" width="40.125" style="34" bestFit="1" customWidth="1"/>
    <col min="6147" max="6147" width="6.75" style="34" customWidth="1"/>
    <col min="6148" max="6148" width="12.75" style="34" bestFit="1" customWidth="1"/>
    <col min="6149" max="6149" width="12.375" style="34" bestFit="1" customWidth="1"/>
    <col min="6150" max="6150" width="8.75" style="34" bestFit="1" customWidth="1"/>
    <col min="6151" max="6151" width="15.25" style="34" bestFit="1" customWidth="1"/>
    <col min="6152" max="6152" width="13.5" style="34" customWidth="1"/>
    <col min="6153" max="6153" width="2.75" style="34" customWidth="1"/>
    <col min="6154" max="6154" width="12" style="34" bestFit="1" customWidth="1"/>
    <col min="6155" max="6155" width="8.125" style="34" bestFit="1" customWidth="1"/>
    <col min="6156" max="6156" width="10.25" style="34" customWidth="1"/>
    <col min="6157" max="6401" width="9" style="34"/>
    <col min="6402" max="6402" width="40.125" style="34" bestFit="1" customWidth="1"/>
    <col min="6403" max="6403" width="6.75" style="34" customWidth="1"/>
    <col min="6404" max="6404" width="12.75" style="34" bestFit="1" customWidth="1"/>
    <col min="6405" max="6405" width="12.375" style="34" bestFit="1" customWidth="1"/>
    <col min="6406" max="6406" width="8.75" style="34" bestFit="1" customWidth="1"/>
    <col min="6407" max="6407" width="15.25" style="34" bestFit="1" customWidth="1"/>
    <col min="6408" max="6408" width="13.5" style="34" customWidth="1"/>
    <col min="6409" max="6409" width="2.75" style="34" customWidth="1"/>
    <col min="6410" max="6410" width="12" style="34" bestFit="1" customWidth="1"/>
    <col min="6411" max="6411" width="8.125" style="34" bestFit="1" customWidth="1"/>
    <col min="6412" max="6412" width="10.25" style="34" customWidth="1"/>
    <col min="6413" max="6657" width="9" style="34"/>
    <col min="6658" max="6658" width="40.125" style="34" bestFit="1" customWidth="1"/>
    <col min="6659" max="6659" width="6.75" style="34" customWidth="1"/>
    <col min="6660" max="6660" width="12.75" style="34" bestFit="1" customWidth="1"/>
    <col min="6661" max="6661" width="12.375" style="34" bestFit="1" customWidth="1"/>
    <col min="6662" max="6662" width="8.75" style="34" bestFit="1" customWidth="1"/>
    <col min="6663" max="6663" width="15.25" style="34" bestFit="1" customWidth="1"/>
    <col min="6664" max="6664" width="13.5" style="34" customWidth="1"/>
    <col min="6665" max="6665" width="2.75" style="34" customWidth="1"/>
    <col min="6666" max="6666" width="12" style="34" bestFit="1" customWidth="1"/>
    <col min="6667" max="6667" width="8.125" style="34" bestFit="1" customWidth="1"/>
    <col min="6668" max="6668" width="10.25" style="34" customWidth="1"/>
    <col min="6669" max="6913" width="9" style="34"/>
    <col min="6914" max="6914" width="40.125" style="34" bestFit="1" customWidth="1"/>
    <col min="6915" max="6915" width="6.75" style="34" customWidth="1"/>
    <col min="6916" max="6916" width="12.75" style="34" bestFit="1" customWidth="1"/>
    <col min="6917" max="6917" width="12.375" style="34" bestFit="1" customWidth="1"/>
    <col min="6918" max="6918" width="8.75" style="34" bestFit="1" customWidth="1"/>
    <col min="6919" max="6919" width="15.25" style="34" bestFit="1" customWidth="1"/>
    <col min="6920" max="6920" width="13.5" style="34" customWidth="1"/>
    <col min="6921" max="6921" width="2.75" style="34" customWidth="1"/>
    <col min="6922" max="6922" width="12" style="34" bestFit="1" customWidth="1"/>
    <col min="6923" max="6923" width="8.125" style="34" bestFit="1" customWidth="1"/>
    <col min="6924" max="6924" width="10.25" style="34" customWidth="1"/>
    <col min="6925" max="7169" width="9" style="34"/>
    <col min="7170" max="7170" width="40.125" style="34" bestFit="1" customWidth="1"/>
    <col min="7171" max="7171" width="6.75" style="34" customWidth="1"/>
    <col min="7172" max="7172" width="12.75" style="34" bestFit="1" customWidth="1"/>
    <col min="7173" max="7173" width="12.375" style="34" bestFit="1" customWidth="1"/>
    <col min="7174" max="7174" width="8.75" style="34" bestFit="1" customWidth="1"/>
    <col min="7175" max="7175" width="15.25" style="34" bestFit="1" customWidth="1"/>
    <col min="7176" max="7176" width="13.5" style="34" customWidth="1"/>
    <col min="7177" max="7177" width="2.75" style="34" customWidth="1"/>
    <col min="7178" max="7178" width="12" style="34" bestFit="1" customWidth="1"/>
    <col min="7179" max="7179" width="8.125" style="34" bestFit="1" customWidth="1"/>
    <col min="7180" max="7180" width="10.25" style="34" customWidth="1"/>
    <col min="7181" max="7425" width="9" style="34"/>
    <col min="7426" max="7426" width="40.125" style="34" bestFit="1" customWidth="1"/>
    <col min="7427" max="7427" width="6.75" style="34" customWidth="1"/>
    <col min="7428" max="7428" width="12.75" style="34" bestFit="1" customWidth="1"/>
    <col min="7429" max="7429" width="12.375" style="34" bestFit="1" customWidth="1"/>
    <col min="7430" max="7430" width="8.75" style="34" bestFit="1" customWidth="1"/>
    <col min="7431" max="7431" width="15.25" style="34" bestFit="1" customWidth="1"/>
    <col min="7432" max="7432" width="13.5" style="34" customWidth="1"/>
    <col min="7433" max="7433" width="2.75" style="34" customWidth="1"/>
    <col min="7434" max="7434" width="12" style="34" bestFit="1" customWidth="1"/>
    <col min="7435" max="7435" width="8.125" style="34" bestFit="1" customWidth="1"/>
    <col min="7436" max="7436" width="10.25" style="34" customWidth="1"/>
    <col min="7437" max="7681" width="9" style="34"/>
    <col min="7682" max="7682" width="40.125" style="34" bestFit="1" customWidth="1"/>
    <col min="7683" max="7683" width="6.75" style="34" customWidth="1"/>
    <col min="7684" max="7684" width="12.75" style="34" bestFit="1" customWidth="1"/>
    <col min="7685" max="7685" width="12.375" style="34" bestFit="1" customWidth="1"/>
    <col min="7686" max="7686" width="8.75" style="34" bestFit="1" customWidth="1"/>
    <col min="7687" max="7687" width="15.25" style="34" bestFit="1" customWidth="1"/>
    <col min="7688" max="7688" width="13.5" style="34" customWidth="1"/>
    <col min="7689" max="7689" width="2.75" style="34" customWidth="1"/>
    <col min="7690" max="7690" width="12" style="34" bestFit="1" customWidth="1"/>
    <col min="7691" max="7691" width="8.125" style="34" bestFit="1" customWidth="1"/>
    <col min="7692" max="7692" width="10.25" style="34" customWidth="1"/>
    <col min="7693" max="7937" width="9" style="34"/>
    <col min="7938" max="7938" width="40.125" style="34" bestFit="1" customWidth="1"/>
    <col min="7939" max="7939" width="6.75" style="34" customWidth="1"/>
    <col min="7940" max="7940" width="12.75" style="34" bestFit="1" customWidth="1"/>
    <col min="7941" max="7941" width="12.375" style="34" bestFit="1" customWidth="1"/>
    <col min="7942" max="7942" width="8.75" style="34" bestFit="1" customWidth="1"/>
    <col min="7943" max="7943" width="15.25" style="34" bestFit="1" customWidth="1"/>
    <col min="7944" max="7944" width="13.5" style="34" customWidth="1"/>
    <col min="7945" max="7945" width="2.75" style="34" customWidth="1"/>
    <col min="7946" max="7946" width="12" style="34" bestFit="1" customWidth="1"/>
    <col min="7947" max="7947" width="8.125" style="34" bestFit="1" customWidth="1"/>
    <col min="7948" max="7948" width="10.25" style="34" customWidth="1"/>
    <col min="7949" max="8193" width="9" style="34"/>
    <col min="8194" max="8194" width="40.125" style="34" bestFit="1" customWidth="1"/>
    <col min="8195" max="8195" width="6.75" style="34" customWidth="1"/>
    <col min="8196" max="8196" width="12.75" style="34" bestFit="1" customWidth="1"/>
    <col min="8197" max="8197" width="12.375" style="34" bestFit="1" customWidth="1"/>
    <col min="8198" max="8198" width="8.75" style="34" bestFit="1" customWidth="1"/>
    <col min="8199" max="8199" width="15.25" style="34" bestFit="1" customWidth="1"/>
    <col min="8200" max="8200" width="13.5" style="34" customWidth="1"/>
    <col min="8201" max="8201" width="2.75" style="34" customWidth="1"/>
    <col min="8202" max="8202" width="12" style="34" bestFit="1" customWidth="1"/>
    <col min="8203" max="8203" width="8.125" style="34" bestFit="1" customWidth="1"/>
    <col min="8204" max="8204" width="10.25" style="34" customWidth="1"/>
    <col min="8205" max="8449" width="9" style="34"/>
    <col min="8450" max="8450" width="40.125" style="34" bestFit="1" customWidth="1"/>
    <col min="8451" max="8451" width="6.75" style="34" customWidth="1"/>
    <col min="8452" max="8452" width="12.75" style="34" bestFit="1" customWidth="1"/>
    <col min="8453" max="8453" width="12.375" style="34" bestFit="1" customWidth="1"/>
    <col min="8454" max="8454" width="8.75" style="34" bestFit="1" customWidth="1"/>
    <col min="8455" max="8455" width="15.25" style="34" bestFit="1" customWidth="1"/>
    <col min="8456" max="8456" width="13.5" style="34" customWidth="1"/>
    <col min="8457" max="8457" width="2.75" style="34" customWidth="1"/>
    <col min="8458" max="8458" width="12" style="34" bestFit="1" customWidth="1"/>
    <col min="8459" max="8459" width="8.125" style="34" bestFit="1" customWidth="1"/>
    <col min="8460" max="8460" width="10.25" style="34" customWidth="1"/>
    <col min="8461" max="8705" width="9" style="34"/>
    <col min="8706" max="8706" width="40.125" style="34" bestFit="1" customWidth="1"/>
    <col min="8707" max="8707" width="6.75" style="34" customWidth="1"/>
    <col min="8708" max="8708" width="12.75" style="34" bestFit="1" customWidth="1"/>
    <col min="8709" max="8709" width="12.375" style="34" bestFit="1" customWidth="1"/>
    <col min="8710" max="8710" width="8.75" style="34" bestFit="1" customWidth="1"/>
    <col min="8711" max="8711" width="15.25" style="34" bestFit="1" customWidth="1"/>
    <col min="8712" max="8712" width="13.5" style="34" customWidth="1"/>
    <col min="8713" max="8713" width="2.75" style="34" customWidth="1"/>
    <col min="8714" max="8714" width="12" style="34" bestFit="1" customWidth="1"/>
    <col min="8715" max="8715" width="8.125" style="34" bestFit="1" customWidth="1"/>
    <col min="8716" max="8716" width="10.25" style="34" customWidth="1"/>
    <col min="8717" max="8961" width="9" style="34"/>
    <col min="8962" max="8962" width="40.125" style="34" bestFit="1" customWidth="1"/>
    <col min="8963" max="8963" width="6.75" style="34" customWidth="1"/>
    <col min="8964" max="8964" width="12.75" style="34" bestFit="1" customWidth="1"/>
    <col min="8965" max="8965" width="12.375" style="34" bestFit="1" customWidth="1"/>
    <col min="8966" max="8966" width="8.75" style="34" bestFit="1" customWidth="1"/>
    <col min="8967" max="8967" width="15.25" style="34" bestFit="1" customWidth="1"/>
    <col min="8968" max="8968" width="13.5" style="34" customWidth="1"/>
    <col min="8969" max="8969" width="2.75" style="34" customWidth="1"/>
    <col min="8970" max="8970" width="12" style="34" bestFit="1" customWidth="1"/>
    <col min="8971" max="8971" width="8.125" style="34" bestFit="1" customWidth="1"/>
    <col min="8972" max="8972" width="10.25" style="34" customWidth="1"/>
    <col min="8973" max="9217" width="9" style="34"/>
    <col min="9218" max="9218" width="40.125" style="34" bestFit="1" customWidth="1"/>
    <col min="9219" max="9219" width="6.75" style="34" customWidth="1"/>
    <col min="9220" max="9220" width="12.75" style="34" bestFit="1" customWidth="1"/>
    <col min="9221" max="9221" width="12.375" style="34" bestFit="1" customWidth="1"/>
    <col min="9222" max="9222" width="8.75" style="34" bestFit="1" customWidth="1"/>
    <col min="9223" max="9223" width="15.25" style="34" bestFit="1" customWidth="1"/>
    <col min="9224" max="9224" width="13.5" style="34" customWidth="1"/>
    <col min="9225" max="9225" width="2.75" style="34" customWidth="1"/>
    <col min="9226" max="9226" width="12" style="34" bestFit="1" customWidth="1"/>
    <col min="9227" max="9227" width="8.125" style="34" bestFit="1" customWidth="1"/>
    <col min="9228" max="9228" width="10.25" style="34" customWidth="1"/>
    <col min="9229" max="9473" width="9" style="34"/>
    <col min="9474" max="9474" width="40.125" style="34" bestFit="1" customWidth="1"/>
    <col min="9475" max="9475" width="6.75" style="34" customWidth="1"/>
    <col min="9476" max="9476" width="12.75" style="34" bestFit="1" customWidth="1"/>
    <col min="9477" max="9477" width="12.375" style="34" bestFit="1" customWidth="1"/>
    <col min="9478" max="9478" width="8.75" style="34" bestFit="1" customWidth="1"/>
    <col min="9479" max="9479" width="15.25" style="34" bestFit="1" customWidth="1"/>
    <col min="9480" max="9480" width="13.5" style="34" customWidth="1"/>
    <col min="9481" max="9481" width="2.75" style="34" customWidth="1"/>
    <col min="9482" max="9482" width="12" style="34" bestFit="1" customWidth="1"/>
    <col min="9483" max="9483" width="8.125" style="34" bestFit="1" customWidth="1"/>
    <col min="9484" max="9484" width="10.25" style="34" customWidth="1"/>
    <col min="9485" max="9729" width="9" style="34"/>
    <col min="9730" max="9730" width="40.125" style="34" bestFit="1" customWidth="1"/>
    <col min="9731" max="9731" width="6.75" style="34" customWidth="1"/>
    <col min="9732" max="9732" width="12.75" style="34" bestFit="1" customWidth="1"/>
    <col min="9733" max="9733" width="12.375" style="34" bestFit="1" customWidth="1"/>
    <col min="9734" max="9734" width="8.75" style="34" bestFit="1" customWidth="1"/>
    <col min="9735" max="9735" width="15.25" style="34" bestFit="1" customWidth="1"/>
    <col min="9736" max="9736" width="13.5" style="34" customWidth="1"/>
    <col min="9737" max="9737" width="2.75" style="34" customWidth="1"/>
    <col min="9738" max="9738" width="12" style="34" bestFit="1" customWidth="1"/>
    <col min="9739" max="9739" width="8.125" style="34" bestFit="1" customWidth="1"/>
    <col min="9740" max="9740" width="10.25" style="34" customWidth="1"/>
    <col min="9741" max="9985" width="9" style="34"/>
    <col min="9986" max="9986" width="40.125" style="34" bestFit="1" customWidth="1"/>
    <col min="9987" max="9987" width="6.75" style="34" customWidth="1"/>
    <col min="9988" max="9988" width="12.75" style="34" bestFit="1" customWidth="1"/>
    <col min="9989" max="9989" width="12.375" style="34" bestFit="1" customWidth="1"/>
    <col min="9990" max="9990" width="8.75" style="34" bestFit="1" customWidth="1"/>
    <col min="9991" max="9991" width="15.25" style="34" bestFit="1" customWidth="1"/>
    <col min="9992" max="9992" width="13.5" style="34" customWidth="1"/>
    <col min="9993" max="9993" width="2.75" style="34" customWidth="1"/>
    <col min="9994" max="9994" width="12" style="34" bestFit="1" customWidth="1"/>
    <col min="9995" max="9995" width="8.125" style="34" bestFit="1" customWidth="1"/>
    <col min="9996" max="9996" width="10.25" style="34" customWidth="1"/>
    <col min="9997" max="10241" width="9" style="34"/>
    <col min="10242" max="10242" width="40.125" style="34" bestFit="1" customWidth="1"/>
    <col min="10243" max="10243" width="6.75" style="34" customWidth="1"/>
    <col min="10244" max="10244" width="12.75" style="34" bestFit="1" customWidth="1"/>
    <col min="10245" max="10245" width="12.375" style="34" bestFit="1" customWidth="1"/>
    <col min="10246" max="10246" width="8.75" style="34" bestFit="1" customWidth="1"/>
    <col min="10247" max="10247" width="15.25" style="34" bestFit="1" customWidth="1"/>
    <col min="10248" max="10248" width="13.5" style="34" customWidth="1"/>
    <col min="10249" max="10249" width="2.75" style="34" customWidth="1"/>
    <col min="10250" max="10250" width="12" style="34" bestFit="1" customWidth="1"/>
    <col min="10251" max="10251" width="8.125" style="34" bestFit="1" customWidth="1"/>
    <col min="10252" max="10252" width="10.25" style="34" customWidth="1"/>
    <col min="10253" max="10497" width="9" style="34"/>
    <col min="10498" max="10498" width="40.125" style="34" bestFit="1" customWidth="1"/>
    <col min="10499" max="10499" width="6.75" style="34" customWidth="1"/>
    <col min="10500" max="10500" width="12.75" style="34" bestFit="1" customWidth="1"/>
    <col min="10501" max="10501" width="12.375" style="34" bestFit="1" customWidth="1"/>
    <col min="10502" max="10502" width="8.75" style="34" bestFit="1" customWidth="1"/>
    <col min="10503" max="10503" width="15.25" style="34" bestFit="1" customWidth="1"/>
    <col min="10504" max="10504" width="13.5" style="34" customWidth="1"/>
    <col min="10505" max="10505" width="2.75" style="34" customWidth="1"/>
    <col min="10506" max="10506" width="12" style="34" bestFit="1" customWidth="1"/>
    <col min="10507" max="10507" width="8.125" style="34" bestFit="1" customWidth="1"/>
    <col min="10508" max="10508" width="10.25" style="34" customWidth="1"/>
    <col min="10509" max="10753" width="9" style="34"/>
    <col min="10754" max="10754" width="40.125" style="34" bestFit="1" customWidth="1"/>
    <col min="10755" max="10755" width="6.75" style="34" customWidth="1"/>
    <col min="10756" max="10756" width="12.75" style="34" bestFit="1" customWidth="1"/>
    <col min="10757" max="10757" width="12.375" style="34" bestFit="1" customWidth="1"/>
    <col min="10758" max="10758" width="8.75" style="34" bestFit="1" customWidth="1"/>
    <col min="10759" max="10759" width="15.25" style="34" bestFit="1" customWidth="1"/>
    <col min="10760" max="10760" width="13.5" style="34" customWidth="1"/>
    <col min="10761" max="10761" width="2.75" style="34" customWidth="1"/>
    <col min="10762" max="10762" width="12" style="34" bestFit="1" customWidth="1"/>
    <col min="10763" max="10763" width="8.125" style="34" bestFit="1" customWidth="1"/>
    <col min="10764" max="10764" width="10.25" style="34" customWidth="1"/>
    <col min="10765" max="11009" width="9" style="34"/>
    <col min="11010" max="11010" width="40.125" style="34" bestFit="1" customWidth="1"/>
    <col min="11011" max="11011" width="6.75" style="34" customWidth="1"/>
    <col min="11012" max="11012" width="12.75" style="34" bestFit="1" customWidth="1"/>
    <col min="11013" max="11013" width="12.375" style="34" bestFit="1" customWidth="1"/>
    <col min="11014" max="11014" width="8.75" style="34" bestFit="1" customWidth="1"/>
    <col min="11015" max="11015" width="15.25" style="34" bestFit="1" customWidth="1"/>
    <col min="11016" max="11016" width="13.5" style="34" customWidth="1"/>
    <col min="11017" max="11017" width="2.75" style="34" customWidth="1"/>
    <col min="11018" max="11018" width="12" style="34" bestFit="1" customWidth="1"/>
    <col min="11019" max="11019" width="8.125" style="34" bestFit="1" customWidth="1"/>
    <col min="11020" max="11020" width="10.25" style="34" customWidth="1"/>
    <col min="11021" max="11265" width="9" style="34"/>
    <col min="11266" max="11266" width="40.125" style="34" bestFit="1" customWidth="1"/>
    <col min="11267" max="11267" width="6.75" style="34" customWidth="1"/>
    <col min="11268" max="11268" width="12.75" style="34" bestFit="1" customWidth="1"/>
    <col min="11269" max="11269" width="12.375" style="34" bestFit="1" customWidth="1"/>
    <col min="11270" max="11270" width="8.75" style="34" bestFit="1" customWidth="1"/>
    <col min="11271" max="11271" width="15.25" style="34" bestFit="1" customWidth="1"/>
    <col min="11272" max="11272" width="13.5" style="34" customWidth="1"/>
    <col min="11273" max="11273" width="2.75" style="34" customWidth="1"/>
    <col min="11274" max="11274" width="12" style="34" bestFit="1" customWidth="1"/>
    <col min="11275" max="11275" width="8.125" style="34" bestFit="1" customWidth="1"/>
    <col min="11276" max="11276" width="10.25" style="34" customWidth="1"/>
    <col min="11277" max="11521" width="9" style="34"/>
    <col min="11522" max="11522" width="40.125" style="34" bestFit="1" customWidth="1"/>
    <col min="11523" max="11523" width="6.75" style="34" customWidth="1"/>
    <col min="11524" max="11524" width="12.75" style="34" bestFit="1" customWidth="1"/>
    <col min="11525" max="11525" width="12.375" style="34" bestFit="1" customWidth="1"/>
    <col min="11526" max="11526" width="8.75" style="34" bestFit="1" customWidth="1"/>
    <col min="11527" max="11527" width="15.25" style="34" bestFit="1" customWidth="1"/>
    <col min="11528" max="11528" width="13.5" style="34" customWidth="1"/>
    <col min="11529" max="11529" width="2.75" style="34" customWidth="1"/>
    <col min="11530" max="11530" width="12" style="34" bestFit="1" customWidth="1"/>
    <col min="11531" max="11531" width="8.125" style="34" bestFit="1" customWidth="1"/>
    <col min="11532" max="11532" width="10.25" style="34" customWidth="1"/>
    <col min="11533" max="11777" width="9" style="34"/>
    <col min="11778" max="11778" width="40.125" style="34" bestFit="1" customWidth="1"/>
    <col min="11779" max="11779" width="6.75" style="34" customWidth="1"/>
    <col min="11780" max="11780" width="12.75" style="34" bestFit="1" customWidth="1"/>
    <col min="11781" max="11781" width="12.375" style="34" bestFit="1" customWidth="1"/>
    <col min="11782" max="11782" width="8.75" style="34" bestFit="1" customWidth="1"/>
    <col min="11783" max="11783" width="15.25" style="34" bestFit="1" customWidth="1"/>
    <col min="11784" max="11784" width="13.5" style="34" customWidth="1"/>
    <col min="11785" max="11785" width="2.75" style="34" customWidth="1"/>
    <col min="11786" max="11786" width="12" style="34" bestFit="1" customWidth="1"/>
    <col min="11787" max="11787" width="8.125" style="34" bestFit="1" customWidth="1"/>
    <col min="11788" max="11788" width="10.25" style="34" customWidth="1"/>
    <col min="11789" max="12033" width="9" style="34"/>
    <col min="12034" max="12034" width="40.125" style="34" bestFit="1" customWidth="1"/>
    <col min="12035" max="12035" width="6.75" style="34" customWidth="1"/>
    <col min="12036" max="12036" width="12.75" style="34" bestFit="1" customWidth="1"/>
    <col min="12037" max="12037" width="12.375" style="34" bestFit="1" customWidth="1"/>
    <col min="12038" max="12038" width="8.75" style="34" bestFit="1" customWidth="1"/>
    <col min="12039" max="12039" width="15.25" style="34" bestFit="1" customWidth="1"/>
    <col min="12040" max="12040" width="13.5" style="34" customWidth="1"/>
    <col min="12041" max="12041" width="2.75" style="34" customWidth="1"/>
    <col min="12042" max="12042" width="12" style="34" bestFit="1" customWidth="1"/>
    <col min="12043" max="12043" width="8.125" style="34" bestFit="1" customWidth="1"/>
    <col min="12044" max="12044" width="10.25" style="34" customWidth="1"/>
    <col min="12045" max="12289" width="9" style="34"/>
    <col min="12290" max="12290" width="40.125" style="34" bestFit="1" customWidth="1"/>
    <col min="12291" max="12291" width="6.75" style="34" customWidth="1"/>
    <col min="12292" max="12292" width="12.75" style="34" bestFit="1" customWidth="1"/>
    <col min="12293" max="12293" width="12.375" style="34" bestFit="1" customWidth="1"/>
    <col min="12294" max="12294" width="8.75" style="34" bestFit="1" customWidth="1"/>
    <col min="12295" max="12295" width="15.25" style="34" bestFit="1" customWidth="1"/>
    <col min="12296" max="12296" width="13.5" style="34" customWidth="1"/>
    <col min="12297" max="12297" width="2.75" style="34" customWidth="1"/>
    <col min="12298" max="12298" width="12" style="34" bestFit="1" customWidth="1"/>
    <col min="12299" max="12299" width="8.125" style="34" bestFit="1" customWidth="1"/>
    <col min="12300" max="12300" width="10.25" style="34" customWidth="1"/>
    <col min="12301" max="12545" width="9" style="34"/>
    <col min="12546" max="12546" width="40.125" style="34" bestFit="1" customWidth="1"/>
    <col min="12547" max="12547" width="6.75" style="34" customWidth="1"/>
    <col min="12548" max="12548" width="12.75" style="34" bestFit="1" customWidth="1"/>
    <col min="12549" max="12549" width="12.375" style="34" bestFit="1" customWidth="1"/>
    <col min="12550" max="12550" width="8.75" style="34" bestFit="1" customWidth="1"/>
    <col min="12551" max="12551" width="15.25" style="34" bestFit="1" customWidth="1"/>
    <col min="12552" max="12552" width="13.5" style="34" customWidth="1"/>
    <col min="12553" max="12553" width="2.75" style="34" customWidth="1"/>
    <col min="12554" max="12554" width="12" style="34" bestFit="1" customWidth="1"/>
    <col min="12555" max="12555" width="8.125" style="34" bestFit="1" customWidth="1"/>
    <col min="12556" max="12556" width="10.25" style="34" customWidth="1"/>
    <col min="12557" max="12801" width="9" style="34"/>
    <col min="12802" max="12802" width="40.125" style="34" bestFit="1" customWidth="1"/>
    <col min="12803" max="12803" width="6.75" style="34" customWidth="1"/>
    <col min="12804" max="12804" width="12.75" style="34" bestFit="1" customWidth="1"/>
    <col min="12805" max="12805" width="12.375" style="34" bestFit="1" customWidth="1"/>
    <col min="12806" max="12806" width="8.75" style="34" bestFit="1" customWidth="1"/>
    <col min="12807" max="12807" width="15.25" style="34" bestFit="1" customWidth="1"/>
    <col min="12808" max="12808" width="13.5" style="34" customWidth="1"/>
    <col min="12809" max="12809" width="2.75" style="34" customWidth="1"/>
    <col min="12810" max="12810" width="12" style="34" bestFit="1" customWidth="1"/>
    <col min="12811" max="12811" width="8.125" style="34" bestFit="1" customWidth="1"/>
    <col min="12812" max="12812" width="10.25" style="34" customWidth="1"/>
    <col min="12813" max="13057" width="9" style="34"/>
    <col min="13058" max="13058" width="40.125" style="34" bestFit="1" customWidth="1"/>
    <col min="13059" max="13059" width="6.75" style="34" customWidth="1"/>
    <col min="13060" max="13060" width="12.75" style="34" bestFit="1" customWidth="1"/>
    <col min="13061" max="13061" width="12.375" style="34" bestFit="1" customWidth="1"/>
    <col min="13062" max="13062" width="8.75" style="34" bestFit="1" customWidth="1"/>
    <col min="13063" max="13063" width="15.25" style="34" bestFit="1" customWidth="1"/>
    <col min="13064" max="13064" width="13.5" style="34" customWidth="1"/>
    <col min="13065" max="13065" width="2.75" style="34" customWidth="1"/>
    <col min="13066" max="13066" width="12" style="34" bestFit="1" customWidth="1"/>
    <col min="13067" max="13067" width="8.125" style="34" bestFit="1" customWidth="1"/>
    <col min="13068" max="13068" width="10.25" style="34" customWidth="1"/>
    <col min="13069" max="13313" width="9" style="34"/>
    <col min="13314" max="13314" width="40.125" style="34" bestFit="1" customWidth="1"/>
    <col min="13315" max="13315" width="6.75" style="34" customWidth="1"/>
    <col min="13316" max="13316" width="12.75" style="34" bestFit="1" customWidth="1"/>
    <col min="13317" max="13317" width="12.375" style="34" bestFit="1" customWidth="1"/>
    <col min="13318" max="13318" width="8.75" style="34" bestFit="1" customWidth="1"/>
    <col min="13319" max="13319" width="15.25" style="34" bestFit="1" customWidth="1"/>
    <col min="13320" max="13320" width="13.5" style="34" customWidth="1"/>
    <col min="13321" max="13321" width="2.75" style="34" customWidth="1"/>
    <col min="13322" max="13322" width="12" style="34" bestFit="1" customWidth="1"/>
    <col min="13323" max="13323" width="8.125" style="34" bestFit="1" customWidth="1"/>
    <col min="13324" max="13324" width="10.25" style="34" customWidth="1"/>
    <col min="13325" max="13569" width="9" style="34"/>
    <col min="13570" max="13570" width="40.125" style="34" bestFit="1" customWidth="1"/>
    <col min="13571" max="13571" width="6.75" style="34" customWidth="1"/>
    <col min="13572" max="13572" width="12.75" style="34" bestFit="1" customWidth="1"/>
    <col min="13573" max="13573" width="12.375" style="34" bestFit="1" customWidth="1"/>
    <col min="13574" max="13574" width="8.75" style="34" bestFit="1" customWidth="1"/>
    <col min="13575" max="13575" width="15.25" style="34" bestFit="1" customWidth="1"/>
    <col min="13576" max="13576" width="13.5" style="34" customWidth="1"/>
    <col min="13577" max="13577" width="2.75" style="34" customWidth="1"/>
    <col min="13578" max="13578" width="12" style="34" bestFit="1" customWidth="1"/>
    <col min="13579" max="13579" width="8.125" style="34" bestFit="1" customWidth="1"/>
    <col min="13580" max="13580" width="10.25" style="34" customWidth="1"/>
    <col min="13581" max="13825" width="9" style="34"/>
    <col min="13826" max="13826" width="40.125" style="34" bestFit="1" customWidth="1"/>
    <col min="13827" max="13827" width="6.75" style="34" customWidth="1"/>
    <col min="13828" max="13828" width="12.75" style="34" bestFit="1" customWidth="1"/>
    <col min="13829" max="13829" width="12.375" style="34" bestFit="1" customWidth="1"/>
    <col min="13830" max="13830" width="8.75" style="34" bestFit="1" customWidth="1"/>
    <col min="13831" max="13831" width="15.25" style="34" bestFit="1" customWidth="1"/>
    <col min="13832" max="13832" width="13.5" style="34" customWidth="1"/>
    <col min="13833" max="13833" width="2.75" style="34" customWidth="1"/>
    <col min="13834" max="13834" width="12" style="34" bestFit="1" customWidth="1"/>
    <col min="13835" max="13835" width="8.125" style="34" bestFit="1" customWidth="1"/>
    <col min="13836" max="13836" width="10.25" style="34" customWidth="1"/>
    <col min="13837" max="14081" width="9" style="34"/>
    <col min="14082" max="14082" width="40.125" style="34" bestFit="1" customWidth="1"/>
    <col min="14083" max="14083" width="6.75" style="34" customWidth="1"/>
    <col min="14084" max="14084" width="12.75" style="34" bestFit="1" customWidth="1"/>
    <col min="14085" max="14085" width="12.375" style="34" bestFit="1" customWidth="1"/>
    <col min="14086" max="14086" width="8.75" style="34" bestFit="1" customWidth="1"/>
    <col min="14087" max="14087" width="15.25" style="34" bestFit="1" customWidth="1"/>
    <col min="14088" max="14088" width="13.5" style="34" customWidth="1"/>
    <col min="14089" max="14089" width="2.75" style="34" customWidth="1"/>
    <col min="14090" max="14090" width="12" style="34" bestFit="1" customWidth="1"/>
    <col min="14091" max="14091" width="8.125" style="34" bestFit="1" customWidth="1"/>
    <col min="14092" max="14092" width="10.25" style="34" customWidth="1"/>
    <col min="14093" max="14337" width="9" style="34"/>
    <col min="14338" max="14338" width="40.125" style="34" bestFit="1" customWidth="1"/>
    <col min="14339" max="14339" width="6.75" style="34" customWidth="1"/>
    <col min="14340" max="14340" width="12.75" style="34" bestFit="1" customWidth="1"/>
    <col min="14341" max="14341" width="12.375" style="34" bestFit="1" customWidth="1"/>
    <col min="14342" max="14342" width="8.75" style="34" bestFit="1" customWidth="1"/>
    <col min="14343" max="14343" width="15.25" style="34" bestFit="1" customWidth="1"/>
    <col min="14344" max="14344" width="13.5" style="34" customWidth="1"/>
    <col min="14345" max="14345" width="2.75" style="34" customWidth="1"/>
    <col min="14346" max="14346" width="12" style="34" bestFit="1" customWidth="1"/>
    <col min="14347" max="14347" width="8.125" style="34" bestFit="1" customWidth="1"/>
    <col min="14348" max="14348" width="10.25" style="34" customWidth="1"/>
    <col min="14349" max="14593" width="9" style="34"/>
    <col min="14594" max="14594" width="40.125" style="34" bestFit="1" customWidth="1"/>
    <col min="14595" max="14595" width="6.75" style="34" customWidth="1"/>
    <col min="14596" max="14596" width="12.75" style="34" bestFit="1" customWidth="1"/>
    <col min="14597" max="14597" width="12.375" style="34" bestFit="1" customWidth="1"/>
    <col min="14598" max="14598" width="8.75" style="34" bestFit="1" customWidth="1"/>
    <col min="14599" max="14599" width="15.25" style="34" bestFit="1" customWidth="1"/>
    <col min="14600" max="14600" width="13.5" style="34" customWidth="1"/>
    <col min="14601" max="14601" width="2.75" style="34" customWidth="1"/>
    <col min="14602" max="14602" width="12" style="34" bestFit="1" customWidth="1"/>
    <col min="14603" max="14603" width="8.125" style="34" bestFit="1" customWidth="1"/>
    <col min="14604" max="14604" width="10.25" style="34" customWidth="1"/>
    <col min="14605" max="14849" width="9" style="34"/>
    <col min="14850" max="14850" width="40.125" style="34" bestFit="1" customWidth="1"/>
    <col min="14851" max="14851" width="6.75" style="34" customWidth="1"/>
    <col min="14852" max="14852" width="12.75" style="34" bestFit="1" customWidth="1"/>
    <col min="14853" max="14853" width="12.375" style="34" bestFit="1" customWidth="1"/>
    <col min="14854" max="14854" width="8.75" style="34" bestFit="1" customWidth="1"/>
    <col min="14855" max="14855" width="15.25" style="34" bestFit="1" customWidth="1"/>
    <col min="14856" max="14856" width="13.5" style="34" customWidth="1"/>
    <col min="14857" max="14857" width="2.75" style="34" customWidth="1"/>
    <col min="14858" max="14858" width="12" style="34" bestFit="1" customWidth="1"/>
    <col min="14859" max="14859" width="8.125" style="34" bestFit="1" customWidth="1"/>
    <col min="14860" max="14860" width="10.25" style="34" customWidth="1"/>
    <col min="14861" max="15105" width="9" style="34"/>
    <col min="15106" max="15106" width="40.125" style="34" bestFit="1" customWidth="1"/>
    <col min="15107" max="15107" width="6.75" style="34" customWidth="1"/>
    <col min="15108" max="15108" width="12.75" style="34" bestFit="1" customWidth="1"/>
    <col min="15109" max="15109" width="12.375" style="34" bestFit="1" customWidth="1"/>
    <col min="15110" max="15110" width="8.75" style="34" bestFit="1" customWidth="1"/>
    <col min="15111" max="15111" width="15.25" style="34" bestFit="1" customWidth="1"/>
    <col min="15112" max="15112" width="13.5" style="34" customWidth="1"/>
    <col min="15113" max="15113" width="2.75" style="34" customWidth="1"/>
    <col min="15114" max="15114" width="12" style="34" bestFit="1" customWidth="1"/>
    <col min="15115" max="15115" width="8.125" style="34" bestFit="1" customWidth="1"/>
    <col min="15116" max="15116" width="10.25" style="34" customWidth="1"/>
    <col min="15117" max="15361" width="9" style="34"/>
    <col min="15362" max="15362" width="40.125" style="34" bestFit="1" customWidth="1"/>
    <col min="15363" max="15363" width="6.75" style="34" customWidth="1"/>
    <col min="15364" max="15364" width="12.75" style="34" bestFit="1" customWidth="1"/>
    <col min="15365" max="15365" width="12.375" style="34" bestFit="1" customWidth="1"/>
    <col min="15366" max="15366" width="8.75" style="34" bestFit="1" customWidth="1"/>
    <col min="15367" max="15367" width="15.25" style="34" bestFit="1" customWidth="1"/>
    <col min="15368" max="15368" width="13.5" style="34" customWidth="1"/>
    <col min="15369" max="15369" width="2.75" style="34" customWidth="1"/>
    <col min="15370" max="15370" width="12" style="34" bestFit="1" customWidth="1"/>
    <col min="15371" max="15371" width="8.125" style="34" bestFit="1" customWidth="1"/>
    <col min="15372" max="15372" width="10.25" style="34" customWidth="1"/>
    <col min="15373" max="15617" width="9" style="34"/>
    <col min="15618" max="15618" width="40.125" style="34" bestFit="1" customWidth="1"/>
    <col min="15619" max="15619" width="6.75" style="34" customWidth="1"/>
    <col min="15620" max="15620" width="12.75" style="34" bestFit="1" customWidth="1"/>
    <col min="15621" max="15621" width="12.375" style="34" bestFit="1" customWidth="1"/>
    <col min="15622" max="15622" width="8.75" style="34" bestFit="1" customWidth="1"/>
    <col min="15623" max="15623" width="15.25" style="34" bestFit="1" customWidth="1"/>
    <col min="15624" max="15624" width="13.5" style="34" customWidth="1"/>
    <col min="15625" max="15625" width="2.75" style="34" customWidth="1"/>
    <col min="15626" max="15626" width="12" style="34" bestFit="1" customWidth="1"/>
    <col min="15627" max="15627" width="8.125" style="34" bestFit="1" customWidth="1"/>
    <col min="15628" max="15628" width="10.25" style="34" customWidth="1"/>
    <col min="15629" max="15873" width="9" style="34"/>
    <col min="15874" max="15874" width="40.125" style="34" bestFit="1" customWidth="1"/>
    <col min="15875" max="15875" width="6.75" style="34" customWidth="1"/>
    <col min="15876" max="15876" width="12.75" style="34" bestFit="1" customWidth="1"/>
    <col min="15877" max="15877" width="12.375" style="34" bestFit="1" customWidth="1"/>
    <col min="15878" max="15878" width="8.75" style="34" bestFit="1" customWidth="1"/>
    <col min="15879" max="15879" width="15.25" style="34" bestFit="1" customWidth="1"/>
    <col min="15880" max="15880" width="13.5" style="34" customWidth="1"/>
    <col min="15881" max="15881" width="2.75" style="34" customWidth="1"/>
    <col min="15882" max="15882" width="12" style="34" bestFit="1" customWidth="1"/>
    <col min="15883" max="15883" width="8.125" style="34" bestFit="1" customWidth="1"/>
    <col min="15884" max="15884" width="10.25" style="34" customWidth="1"/>
    <col min="15885" max="16129" width="9" style="34"/>
    <col min="16130" max="16130" width="40.125" style="34" bestFit="1" customWidth="1"/>
    <col min="16131" max="16131" width="6.75" style="34" customWidth="1"/>
    <col min="16132" max="16132" width="12.75" style="34" bestFit="1" customWidth="1"/>
    <col min="16133" max="16133" width="12.375" style="34" bestFit="1" customWidth="1"/>
    <col min="16134" max="16134" width="8.75" style="34" bestFit="1" customWidth="1"/>
    <col min="16135" max="16135" width="15.25" style="34" bestFit="1" customWidth="1"/>
    <col min="16136" max="16136" width="13.5" style="34" customWidth="1"/>
    <col min="16137" max="16137" width="2.75" style="34" customWidth="1"/>
    <col min="16138" max="16138" width="12" style="34" bestFit="1" customWidth="1"/>
    <col min="16139" max="16139" width="8.125" style="34" bestFit="1" customWidth="1"/>
    <col min="16140" max="16140" width="10.25" style="34" customWidth="1"/>
    <col min="16141" max="16384" width="9" style="34"/>
  </cols>
  <sheetData>
    <row r="1" spans="1:20" s="100" customFormat="1" ht="15.75">
      <c r="A1" s="14"/>
      <c r="B1" s="14" t="s">
        <v>969</v>
      </c>
      <c r="C1" s="20"/>
      <c r="D1" s="442"/>
      <c r="E1" s="20"/>
      <c r="F1" s="20"/>
      <c r="G1" s="20"/>
      <c r="H1" s="20"/>
      <c r="I1" s="20"/>
      <c r="J1" s="20"/>
      <c r="L1" s="67"/>
    </row>
    <row r="2" spans="1:20" s="27" customFormat="1" ht="18">
      <c r="A2" s="12"/>
      <c r="B2" s="12"/>
      <c r="C2" s="11"/>
      <c r="D2" s="443"/>
      <c r="E2" s="11"/>
      <c r="F2" s="11"/>
      <c r="G2" s="11"/>
      <c r="H2" s="11"/>
      <c r="I2" s="11"/>
      <c r="J2" s="11"/>
      <c r="K2" s="11"/>
      <c r="L2" s="25"/>
      <c r="M2" s="427"/>
    </row>
    <row r="3" spans="1:20" s="27" customFormat="1" ht="18">
      <c r="A3" s="461"/>
      <c r="B3" s="461" t="s">
        <v>200</v>
      </c>
      <c r="C3" s="461"/>
      <c r="D3" s="461"/>
      <c r="E3" s="461"/>
      <c r="F3" s="461"/>
      <c r="G3" s="461"/>
      <c r="H3" s="461"/>
      <c r="I3" s="461"/>
      <c r="J3" s="461"/>
      <c r="K3" s="461"/>
      <c r="L3" s="461"/>
      <c r="M3" s="461"/>
      <c r="N3" s="462"/>
      <c r="O3" s="462"/>
      <c r="P3" s="462"/>
      <c r="Q3" s="462"/>
      <c r="R3" s="462"/>
      <c r="S3" s="462"/>
      <c r="T3" s="462"/>
    </row>
    <row r="4" spans="1:20" s="27" customFormat="1" ht="18">
      <c r="A4" s="461"/>
      <c r="B4" s="461" t="s">
        <v>103</v>
      </c>
      <c r="C4" s="461"/>
      <c r="D4" s="461"/>
      <c r="E4" s="461"/>
      <c r="F4" s="461"/>
      <c r="G4" s="461"/>
      <c r="H4" s="461"/>
      <c r="I4" s="461"/>
      <c r="J4" s="461"/>
      <c r="K4" s="461"/>
      <c r="L4" s="461"/>
      <c r="M4" s="461"/>
      <c r="N4" s="462"/>
      <c r="O4" s="462"/>
      <c r="P4" s="462"/>
      <c r="Q4" s="462"/>
      <c r="R4" s="462"/>
      <c r="S4" s="462"/>
      <c r="T4" s="462"/>
    </row>
    <row r="5" spans="1:20" s="27" customFormat="1" ht="18">
      <c r="A5" s="461"/>
      <c r="B5" s="461" t="str">
        <f>SUMMARY!A7</f>
        <v>YEAR ENDING DECEMBER 31, 2018</v>
      </c>
      <c r="C5" s="461"/>
      <c r="D5" s="461"/>
      <c r="E5" s="461"/>
      <c r="F5" s="690"/>
      <c r="G5" s="690"/>
      <c r="H5" s="690"/>
      <c r="I5" s="690"/>
      <c r="J5" s="690"/>
      <c r="K5" s="690"/>
      <c r="L5" s="690"/>
      <c r="M5" s="461"/>
      <c r="N5" s="462"/>
      <c r="O5" s="462"/>
      <c r="P5" s="462"/>
      <c r="Q5" s="462"/>
      <c r="R5" s="462"/>
      <c r="S5" s="462"/>
      <c r="T5" s="462"/>
    </row>
    <row r="6" spans="1:20" s="27" customFormat="1" ht="12" customHeight="1">
      <c r="A6" s="461"/>
      <c r="B6" s="461"/>
      <c r="C6" s="463"/>
      <c r="D6" s="464"/>
      <c r="E6" s="463"/>
      <c r="F6" s="463"/>
      <c r="G6" s="463"/>
      <c r="H6" s="463"/>
      <c r="I6" s="463"/>
      <c r="J6" s="463"/>
      <c r="K6" s="463"/>
      <c r="L6" s="463"/>
      <c r="M6" s="463"/>
      <c r="N6" s="462"/>
      <c r="O6" s="462"/>
      <c r="P6" s="462"/>
      <c r="Q6" s="462"/>
      <c r="R6" s="462"/>
      <c r="S6" s="462"/>
      <c r="T6" s="462"/>
    </row>
    <row r="7" spans="1:20" s="27" customFormat="1" ht="18">
      <c r="A7" s="461"/>
      <c r="B7" s="461" t="s">
        <v>970</v>
      </c>
      <c r="C7" s="461"/>
      <c r="D7" s="461"/>
      <c r="E7" s="461"/>
      <c r="F7" s="461"/>
      <c r="G7" s="461"/>
      <c r="H7" s="461"/>
      <c r="I7" s="461"/>
      <c r="J7" s="461"/>
      <c r="K7" s="461"/>
      <c r="L7" s="461"/>
      <c r="M7" s="461"/>
      <c r="N7" s="462"/>
      <c r="O7" s="462"/>
      <c r="P7" s="462"/>
      <c r="Q7" s="462"/>
      <c r="R7" s="462"/>
      <c r="S7" s="462"/>
      <c r="T7" s="462"/>
    </row>
    <row r="8" spans="1:20" ht="18">
      <c r="A8" s="461"/>
      <c r="B8" s="461" t="s">
        <v>370</v>
      </c>
      <c r="C8" s="461"/>
      <c r="D8" s="461"/>
      <c r="E8" s="461"/>
      <c r="F8" s="461"/>
      <c r="G8" s="461"/>
      <c r="H8" s="461"/>
      <c r="I8" s="461"/>
      <c r="J8" s="461"/>
      <c r="K8" s="461"/>
      <c r="L8" s="461"/>
      <c r="M8" s="461"/>
      <c r="N8" s="465"/>
      <c r="O8" s="465"/>
      <c r="P8" s="465"/>
      <c r="Q8" s="465"/>
      <c r="R8" s="465"/>
      <c r="S8" s="465"/>
      <c r="T8" s="465"/>
    </row>
    <row r="9" spans="1:20" ht="18">
      <c r="A9" s="1319"/>
      <c r="B9" s="427"/>
      <c r="C9" s="427"/>
      <c r="D9" s="427"/>
      <c r="E9" s="427"/>
      <c r="F9" s="427"/>
      <c r="G9" s="427"/>
      <c r="H9" s="427"/>
      <c r="I9" s="427"/>
      <c r="J9" s="427"/>
      <c r="K9" s="427"/>
      <c r="L9" s="427"/>
      <c r="M9" s="427"/>
    </row>
    <row r="10" spans="1:20" s="47" customFormat="1" ht="15.75">
      <c r="A10" s="444"/>
      <c r="B10" s="444"/>
      <c r="C10" s="444"/>
      <c r="D10" s="444"/>
      <c r="E10" s="444"/>
      <c r="F10" s="1854">
        <v>2018</v>
      </c>
      <c r="G10" s="1854"/>
      <c r="H10" s="1854"/>
      <c r="I10" s="1854"/>
      <c r="J10" s="1854"/>
      <c r="K10" s="1854"/>
      <c r="L10" s="1854"/>
      <c r="N10" s="1854">
        <v>2017</v>
      </c>
      <c r="O10" s="1854"/>
      <c r="P10" s="1854"/>
      <c r="Q10" s="1854"/>
      <c r="R10" s="1854"/>
      <c r="S10" s="1854"/>
      <c r="T10" s="1854"/>
    </row>
    <row r="11" spans="1:20" s="47" customFormat="1" ht="8.25" customHeight="1">
      <c r="A11" s="444"/>
      <c r="B11" s="444"/>
      <c r="C11" s="444"/>
      <c r="D11" s="444"/>
      <c r="E11" s="444"/>
      <c r="F11" s="444"/>
      <c r="G11" s="444"/>
      <c r="H11" s="444"/>
      <c r="I11" s="444"/>
      <c r="J11" s="444"/>
      <c r="K11" s="444"/>
      <c r="L11" s="444"/>
      <c r="N11" s="444"/>
      <c r="O11" s="444"/>
      <c r="P11" s="444"/>
      <c r="Q11" s="444"/>
      <c r="R11" s="444"/>
      <c r="S11" s="444"/>
      <c r="T11" s="444"/>
    </row>
    <row r="12" spans="1:20" s="47" customFormat="1" ht="15.75">
      <c r="A12" s="444"/>
      <c r="B12" s="444"/>
      <c r="C12" s="444"/>
      <c r="D12" s="445"/>
      <c r="E12" s="444"/>
      <c r="F12" s="445" t="s">
        <v>105</v>
      </c>
      <c r="G12" s="444"/>
      <c r="H12" s="444"/>
      <c r="I12" s="444"/>
      <c r="J12" s="444"/>
      <c r="K12" s="444"/>
      <c r="L12" s="444"/>
      <c r="N12" s="445" t="s">
        <v>105</v>
      </c>
      <c r="O12" s="444"/>
      <c r="P12" s="444"/>
      <c r="Q12" s="444"/>
      <c r="R12" s="444"/>
      <c r="S12" s="444"/>
      <c r="T12" s="444"/>
    </row>
    <row r="13" spans="1:20" s="47" customFormat="1" ht="15.75">
      <c r="A13" s="444"/>
      <c r="B13" s="444"/>
      <c r="C13" s="444"/>
      <c r="D13" s="445"/>
      <c r="E13" s="444"/>
      <c r="F13" s="445" t="s">
        <v>234</v>
      </c>
      <c r="G13" s="444"/>
      <c r="H13" s="445" t="s">
        <v>150</v>
      </c>
      <c r="I13" s="444"/>
      <c r="J13" s="445" t="s">
        <v>233</v>
      </c>
      <c r="K13" s="444"/>
      <c r="L13" s="445" t="s">
        <v>68</v>
      </c>
      <c r="N13" s="445" t="s">
        <v>234</v>
      </c>
      <c r="O13" s="444"/>
      <c r="P13" s="445" t="s">
        <v>150</v>
      </c>
      <c r="Q13" s="444"/>
      <c r="R13" s="445" t="s">
        <v>233</v>
      </c>
      <c r="S13" s="444"/>
      <c r="T13" s="445" t="s">
        <v>68</v>
      </c>
    </row>
    <row r="14" spans="1:20" s="47" customFormat="1" ht="16.5" thickBot="1">
      <c r="C14" s="444"/>
      <c r="D14" s="446" t="s">
        <v>232</v>
      </c>
      <c r="E14" s="444"/>
      <c r="F14" s="447" t="s">
        <v>792</v>
      </c>
      <c r="H14" s="447" t="s">
        <v>280</v>
      </c>
      <c r="J14" s="447" t="s">
        <v>827</v>
      </c>
      <c r="L14" s="447" t="s">
        <v>794</v>
      </c>
      <c r="N14" s="447" t="s">
        <v>792</v>
      </c>
      <c r="P14" s="447" t="s">
        <v>280</v>
      </c>
      <c r="R14" s="447" t="s">
        <v>827</v>
      </c>
      <c r="T14" s="447" t="s">
        <v>794</v>
      </c>
    </row>
    <row r="15" spans="1:20" s="47" customFormat="1" ht="15.75">
      <c r="A15" s="1385">
        <v>1</v>
      </c>
      <c r="B15" s="691" t="s">
        <v>1882</v>
      </c>
      <c r="C15" s="692"/>
      <c r="D15" s="693"/>
      <c r="E15" s="444"/>
      <c r="F15" s="748" t="s">
        <v>192</v>
      </c>
      <c r="H15" s="748" t="s">
        <v>193</v>
      </c>
      <c r="I15" s="748"/>
      <c r="J15" s="748" t="s">
        <v>194</v>
      </c>
      <c r="K15" s="748"/>
      <c r="L15" s="748" t="s">
        <v>195</v>
      </c>
      <c r="M15" s="748"/>
      <c r="N15" s="748" t="s">
        <v>196</v>
      </c>
      <c r="O15" s="444"/>
      <c r="P15" s="748" t="s">
        <v>371</v>
      </c>
      <c r="Q15" s="444"/>
      <c r="R15" s="748" t="s">
        <v>372</v>
      </c>
      <c r="S15" s="444"/>
      <c r="T15" s="748" t="s">
        <v>901</v>
      </c>
    </row>
    <row r="16" spans="1:20" s="47" customFormat="1" ht="18" customHeight="1">
      <c r="A16" s="1385" t="s">
        <v>471</v>
      </c>
      <c r="B16" s="692" t="s">
        <v>1883</v>
      </c>
      <c r="C16" s="692"/>
      <c r="D16" s="694">
        <v>205300200001</v>
      </c>
      <c r="E16" s="444"/>
      <c r="F16" s="697">
        <v>1817000</v>
      </c>
      <c r="G16" s="697"/>
      <c r="H16" s="697">
        <v>1600675</v>
      </c>
      <c r="I16" s="697"/>
      <c r="J16" s="697">
        <v>216325</v>
      </c>
      <c r="K16" s="692"/>
      <c r="L16" s="698">
        <v>35977</v>
      </c>
      <c r="M16" s="699"/>
      <c r="N16" s="697">
        <v>1817000</v>
      </c>
      <c r="O16" s="697"/>
      <c r="P16" s="697">
        <v>1564698</v>
      </c>
      <c r="Q16" s="697"/>
      <c r="R16" s="697">
        <v>252302</v>
      </c>
      <c r="S16" s="692"/>
      <c r="T16" s="698">
        <v>35977</v>
      </c>
    </row>
    <row r="17" spans="1:20" s="47" customFormat="1" ht="15">
      <c r="A17" s="1385" t="s">
        <v>473</v>
      </c>
      <c r="B17" s="692" t="s">
        <v>1884</v>
      </c>
      <c r="C17" s="692"/>
      <c r="D17" s="694">
        <v>205300200002</v>
      </c>
      <c r="E17" s="444"/>
      <c r="F17" s="697">
        <v>3104288.21</v>
      </c>
      <c r="G17" s="697"/>
      <c r="H17" s="697">
        <v>850688.21</v>
      </c>
      <c r="I17" s="697"/>
      <c r="J17" s="697">
        <v>2253600</v>
      </c>
      <c r="K17" s="692"/>
      <c r="L17" s="698">
        <v>65959</v>
      </c>
      <c r="M17" s="699"/>
      <c r="N17" s="697">
        <v>3104288.21</v>
      </c>
      <c r="O17" s="697"/>
      <c r="P17" s="697">
        <v>784729.21</v>
      </c>
      <c r="Q17" s="697"/>
      <c r="R17" s="697">
        <v>2319559</v>
      </c>
      <c r="S17" s="692"/>
      <c r="T17" s="698">
        <v>65559.669999999925</v>
      </c>
    </row>
    <row r="18" spans="1:20" s="47" customFormat="1" ht="15">
      <c r="A18" s="1385" t="s">
        <v>494</v>
      </c>
      <c r="B18" s="692" t="s">
        <v>1884</v>
      </c>
      <c r="C18" s="692"/>
      <c r="D18" s="694">
        <v>205300200003</v>
      </c>
      <c r="E18" s="444"/>
      <c r="F18" s="697">
        <v>3104287.02</v>
      </c>
      <c r="G18" s="697"/>
      <c r="H18" s="697">
        <v>850689.02</v>
      </c>
      <c r="I18" s="697"/>
      <c r="J18" s="697">
        <v>2253598</v>
      </c>
      <c r="K18" s="692"/>
      <c r="L18" s="698">
        <v>65959</v>
      </c>
      <c r="M18" s="699"/>
      <c r="N18" s="697">
        <v>3104287.02</v>
      </c>
      <c r="O18" s="697"/>
      <c r="P18" s="697">
        <v>784730.02</v>
      </c>
      <c r="Q18" s="697"/>
      <c r="R18" s="697">
        <v>2319557</v>
      </c>
      <c r="S18" s="692"/>
      <c r="T18" s="698">
        <v>65559.660000000033</v>
      </c>
    </row>
    <row r="19" spans="1:20" s="47" customFormat="1" ht="15">
      <c r="A19" s="1385" t="s">
        <v>541</v>
      </c>
      <c r="B19" s="1384"/>
      <c r="C19" s="701"/>
      <c r="D19" s="1382"/>
      <c r="E19" s="444"/>
      <c r="F19" s="1383"/>
      <c r="G19" s="697"/>
      <c r="H19" s="1383"/>
      <c r="I19" s="697"/>
      <c r="J19" s="1383"/>
      <c r="K19" s="692"/>
      <c r="L19" s="1383"/>
      <c r="M19" s="699"/>
      <c r="N19" s="1383"/>
      <c r="O19" s="697"/>
      <c r="P19" s="1383"/>
      <c r="Q19" s="697"/>
      <c r="R19" s="1383"/>
      <c r="S19" s="692"/>
      <c r="T19" s="1383"/>
    </row>
    <row r="20" spans="1:20" s="47" customFormat="1" ht="16.5" thickBot="1">
      <c r="A20" s="1385"/>
      <c r="B20" s="692"/>
      <c r="C20" s="692"/>
      <c r="D20" s="694"/>
      <c r="E20" s="444"/>
      <c r="F20" s="451">
        <f>SUM(F16:F19)</f>
        <v>8025575.2300000004</v>
      </c>
      <c r="G20" s="452"/>
      <c r="H20" s="451">
        <f>SUM(H16:H19)</f>
        <v>3302052.23</v>
      </c>
      <c r="I20" s="453"/>
      <c r="J20" s="451">
        <f>SUM(J16:J19)</f>
        <v>4723523</v>
      </c>
      <c r="K20" s="452"/>
      <c r="L20" s="451">
        <f>SUM(L16:L19)</f>
        <v>167895</v>
      </c>
      <c r="M20" s="454"/>
      <c r="N20" s="451">
        <f>SUM(N16:N19)</f>
        <v>8025575.2300000004</v>
      </c>
      <c r="O20" s="452"/>
      <c r="P20" s="451">
        <f>SUM(P16:P19)</f>
        <v>3134157.23</v>
      </c>
      <c r="Q20" s="453"/>
      <c r="R20" s="451">
        <f>SUM(R16:R19)</f>
        <v>4891418</v>
      </c>
      <c r="S20" s="452"/>
      <c r="T20" s="451">
        <f>SUM(T16:T19)</f>
        <v>167096.32999999996</v>
      </c>
    </row>
    <row r="21" spans="1:20" s="47" customFormat="1" ht="15.75">
      <c r="A21" s="1385"/>
      <c r="B21" s="692"/>
      <c r="C21" s="692"/>
      <c r="D21" s="694"/>
      <c r="E21" s="444"/>
      <c r="F21" s="455"/>
      <c r="G21" s="449"/>
      <c r="H21" s="455"/>
      <c r="I21" s="456"/>
      <c r="J21" s="455"/>
      <c r="K21" s="444"/>
      <c r="L21" s="455"/>
      <c r="N21" s="455"/>
      <c r="O21" s="449"/>
      <c r="P21" s="455"/>
      <c r="Q21" s="456"/>
      <c r="R21" s="455"/>
      <c r="S21" s="444"/>
      <c r="T21" s="455"/>
    </row>
    <row r="22" spans="1:20" s="47" customFormat="1" ht="15.75">
      <c r="A22" s="1385">
        <v>2</v>
      </c>
      <c r="B22" s="691" t="s">
        <v>1886</v>
      </c>
      <c r="C22" s="692"/>
      <c r="D22" s="694"/>
      <c r="E22" s="444"/>
      <c r="F22" s="449"/>
      <c r="G22" s="449"/>
      <c r="H22" s="449"/>
      <c r="I22" s="449"/>
      <c r="J22" s="449"/>
      <c r="K22" s="444"/>
      <c r="L22" s="450"/>
      <c r="N22" s="449"/>
      <c r="O22" s="449"/>
      <c r="P22" s="449"/>
      <c r="Q22" s="449"/>
      <c r="R22" s="449"/>
      <c r="S22" s="444"/>
      <c r="T22" s="450"/>
    </row>
    <row r="23" spans="1:20" s="47" customFormat="1" ht="15.75">
      <c r="A23" s="1385" t="s">
        <v>1266</v>
      </c>
      <c r="B23" s="692" t="s">
        <v>1887</v>
      </c>
      <c r="C23" s="691"/>
      <c r="D23" s="694">
        <v>205300300001</v>
      </c>
      <c r="E23" s="448"/>
      <c r="F23" s="697">
        <v>9775817</v>
      </c>
      <c r="G23" s="697"/>
      <c r="H23" s="697">
        <v>8892774</v>
      </c>
      <c r="I23" s="697"/>
      <c r="J23" s="697">
        <v>883043</v>
      </c>
      <c r="K23" s="695"/>
      <c r="L23" s="698">
        <v>180061</v>
      </c>
      <c r="M23" s="699"/>
      <c r="N23" s="697">
        <v>9775817</v>
      </c>
      <c r="O23" s="697"/>
      <c r="P23" s="697">
        <v>8712713</v>
      </c>
      <c r="Q23" s="697"/>
      <c r="R23" s="697">
        <v>1063104</v>
      </c>
      <c r="S23" s="691"/>
      <c r="T23" s="698">
        <v>180061</v>
      </c>
    </row>
    <row r="24" spans="1:20" s="47" customFormat="1" ht="15">
      <c r="A24" s="1385" t="s">
        <v>1267</v>
      </c>
      <c r="B24" s="692" t="s">
        <v>1888</v>
      </c>
      <c r="C24" s="692"/>
      <c r="D24" s="694">
        <v>205300300002</v>
      </c>
      <c r="E24" s="444"/>
      <c r="F24" s="697">
        <v>2154273.4300000002</v>
      </c>
      <c r="G24" s="697"/>
      <c r="H24" s="697">
        <v>852874.43</v>
      </c>
      <c r="I24" s="697"/>
      <c r="J24" s="697">
        <v>1301399</v>
      </c>
      <c r="K24" s="692"/>
      <c r="L24" s="698">
        <v>47904</v>
      </c>
      <c r="M24" s="699"/>
      <c r="N24" s="697">
        <v>2154273.4300000002</v>
      </c>
      <c r="O24" s="697"/>
      <c r="P24" s="697">
        <v>804970.43</v>
      </c>
      <c r="Q24" s="697"/>
      <c r="R24" s="697">
        <v>1349303</v>
      </c>
      <c r="S24" s="692"/>
      <c r="T24" s="698">
        <v>43086</v>
      </c>
    </row>
    <row r="25" spans="1:20" s="47" customFormat="1" ht="15">
      <c r="A25" s="1385" t="s">
        <v>1268</v>
      </c>
      <c r="B25" s="692" t="s">
        <v>1889</v>
      </c>
      <c r="C25" s="692"/>
      <c r="D25" s="694">
        <v>205300300025</v>
      </c>
      <c r="E25" s="444"/>
      <c r="F25" s="697">
        <v>2021592</v>
      </c>
      <c r="G25" s="697"/>
      <c r="H25" s="697">
        <v>175334</v>
      </c>
      <c r="I25" s="697"/>
      <c r="J25" s="697">
        <v>1846258</v>
      </c>
      <c r="K25" s="692"/>
      <c r="L25" s="698">
        <v>67960</v>
      </c>
      <c r="M25" s="699"/>
      <c r="N25" s="697">
        <v>2021592</v>
      </c>
      <c r="O25" s="697"/>
      <c r="P25" s="697">
        <v>107374</v>
      </c>
      <c r="Q25" s="697"/>
      <c r="R25" s="697">
        <v>1914218</v>
      </c>
      <c r="S25" s="692"/>
      <c r="T25" s="698">
        <v>40432</v>
      </c>
    </row>
    <row r="26" spans="1:20" s="47" customFormat="1" ht="15">
      <c r="A26" s="1385" t="s">
        <v>1269</v>
      </c>
      <c r="B26" s="692" t="s">
        <v>1890</v>
      </c>
      <c r="C26" s="692"/>
      <c r="D26" s="694">
        <v>205300300004</v>
      </c>
      <c r="E26" s="444"/>
      <c r="F26" s="697">
        <v>2849131.25</v>
      </c>
      <c r="G26" s="697"/>
      <c r="H26" s="697">
        <v>1219544.25</v>
      </c>
      <c r="I26" s="697"/>
      <c r="J26" s="697">
        <v>1629587</v>
      </c>
      <c r="K26" s="692"/>
      <c r="L26" s="698">
        <v>59985</v>
      </c>
      <c r="M26" s="699"/>
      <c r="N26" s="697">
        <v>2849131.25</v>
      </c>
      <c r="O26" s="697"/>
      <c r="P26" s="697">
        <v>1159559.25</v>
      </c>
      <c r="Q26" s="697"/>
      <c r="R26" s="697">
        <v>1689572</v>
      </c>
      <c r="S26" s="692"/>
      <c r="T26" s="698">
        <v>56983</v>
      </c>
    </row>
    <row r="27" spans="1:20" s="47" customFormat="1" ht="15">
      <c r="A27" s="1385" t="s">
        <v>1270</v>
      </c>
      <c r="B27" s="692" t="s">
        <v>1891</v>
      </c>
      <c r="C27" s="692"/>
      <c r="D27" s="694">
        <v>205300300005</v>
      </c>
      <c r="E27" s="444"/>
      <c r="F27" s="697">
        <v>2134025.1</v>
      </c>
      <c r="G27" s="697"/>
      <c r="H27" s="697">
        <v>708102.1</v>
      </c>
      <c r="I27" s="697"/>
      <c r="J27" s="697">
        <v>1425923</v>
      </c>
      <c r="K27" s="692"/>
      <c r="L27" s="698">
        <v>52488</v>
      </c>
      <c r="M27" s="699"/>
      <c r="N27" s="697">
        <v>2134025.1</v>
      </c>
      <c r="O27" s="697"/>
      <c r="P27" s="697">
        <v>655614.1</v>
      </c>
      <c r="Q27" s="697"/>
      <c r="R27" s="697">
        <v>1478411</v>
      </c>
      <c r="S27" s="692"/>
      <c r="T27" s="698">
        <v>42681</v>
      </c>
    </row>
    <row r="28" spans="1:20" s="47" customFormat="1" ht="15">
      <c r="A28" s="1385" t="s">
        <v>1271</v>
      </c>
      <c r="B28" s="692" t="s">
        <v>1892</v>
      </c>
      <c r="C28" s="692"/>
      <c r="D28" s="694">
        <v>205300300007</v>
      </c>
      <c r="E28" s="444"/>
      <c r="F28" s="697">
        <v>2021860.69</v>
      </c>
      <c r="G28" s="697"/>
      <c r="H28" s="697">
        <v>630083.68999999994</v>
      </c>
      <c r="I28" s="697"/>
      <c r="J28" s="697">
        <v>1391777</v>
      </c>
      <c r="K28" s="692"/>
      <c r="L28" s="698">
        <v>51231</v>
      </c>
      <c r="M28" s="699"/>
      <c r="N28" s="697">
        <v>2021860.69</v>
      </c>
      <c r="O28" s="697"/>
      <c r="P28" s="697">
        <v>578852.68999999994</v>
      </c>
      <c r="Q28" s="697"/>
      <c r="R28" s="697">
        <v>1443008</v>
      </c>
      <c r="S28" s="692"/>
      <c r="T28" s="698">
        <v>40437.999999999898</v>
      </c>
    </row>
    <row r="29" spans="1:20" s="47" customFormat="1" ht="15">
      <c r="A29" s="1385" t="s">
        <v>1272</v>
      </c>
      <c r="B29" s="692" t="s">
        <v>1893</v>
      </c>
      <c r="C29" s="692"/>
      <c r="D29" s="694">
        <v>205300300008</v>
      </c>
      <c r="E29" s="444"/>
      <c r="F29" s="697">
        <v>2103658.9500000002</v>
      </c>
      <c r="G29" s="697"/>
      <c r="H29" s="697">
        <v>620481.94999999995</v>
      </c>
      <c r="I29" s="697"/>
      <c r="J29" s="697">
        <v>1483177.0000000002</v>
      </c>
      <c r="K29" s="692"/>
      <c r="L29" s="698">
        <v>54595</v>
      </c>
      <c r="M29" s="699"/>
      <c r="N29" s="697">
        <v>2103658.9500000002</v>
      </c>
      <c r="O29" s="697"/>
      <c r="P29" s="697">
        <v>565886.94999999995</v>
      </c>
      <c r="Q29" s="697"/>
      <c r="R29" s="697">
        <v>1537772.0000000002</v>
      </c>
      <c r="S29" s="692"/>
      <c r="T29" s="698">
        <v>42074</v>
      </c>
    </row>
    <row r="30" spans="1:20" s="47" customFormat="1" ht="15">
      <c r="A30" s="1385" t="s">
        <v>1273</v>
      </c>
      <c r="B30" s="692" t="s">
        <v>1894</v>
      </c>
      <c r="C30" s="692"/>
      <c r="D30" s="694">
        <v>205300300009</v>
      </c>
      <c r="E30" s="444"/>
      <c r="F30" s="697">
        <v>2673933.7400000002</v>
      </c>
      <c r="G30" s="697"/>
      <c r="H30" s="697">
        <v>731623.74</v>
      </c>
      <c r="I30" s="697"/>
      <c r="J30" s="697">
        <v>1942310.0000000002</v>
      </c>
      <c r="K30" s="692"/>
      <c r="L30" s="698">
        <v>71496</v>
      </c>
      <c r="M30" s="699"/>
      <c r="N30" s="697">
        <v>2673933.7400000002</v>
      </c>
      <c r="O30" s="697"/>
      <c r="P30" s="697">
        <v>660127.74</v>
      </c>
      <c r="Q30" s="697"/>
      <c r="R30" s="697">
        <v>2013806.0000000002</v>
      </c>
      <c r="S30" s="692"/>
      <c r="T30" s="698">
        <v>53074</v>
      </c>
    </row>
    <row r="31" spans="1:20" s="47" customFormat="1" ht="15">
      <c r="A31" s="1385" t="s">
        <v>541</v>
      </c>
      <c r="B31" s="1384"/>
      <c r="C31" s="701"/>
      <c r="D31" s="1382"/>
      <c r="E31" s="444"/>
      <c r="F31" s="1383"/>
      <c r="G31" s="697"/>
      <c r="H31" s="1383"/>
      <c r="I31" s="697"/>
      <c r="J31" s="1383"/>
      <c r="K31" s="692"/>
      <c r="L31" s="1383"/>
      <c r="M31" s="699"/>
      <c r="N31" s="1383"/>
      <c r="O31" s="697"/>
      <c r="P31" s="1383"/>
      <c r="Q31" s="697"/>
      <c r="R31" s="1383"/>
      <c r="S31" s="692"/>
      <c r="T31" s="1383"/>
    </row>
    <row r="32" spans="1:20" s="47" customFormat="1" ht="16.5" thickBot="1">
      <c r="A32" s="1385"/>
      <c r="B32" s="692"/>
      <c r="C32" s="692"/>
      <c r="D32" s="695"/>
      <c r="E32" s="444"/>
      <c r="F32" s="451">
        <f>SUM(F23:F31)</f>
        <v>25734292.160000004</v>
      </c>
      <c r="G32" s="453"/>
      <c r="H32" s="451">
        <f>SUM(H23:H31)</f>
        <v>13830818.159999998</v>
      </c>
      <c r="I32" s="453"/>
      <c r="J32" s="451">
        <f>SUM(J23:J31)</f>
        <v>11903474</v>
      </c>
      <c r="K32" s="452"/>
      <c r="L32" s="451">
        <f>SUM(L23:L31)</f>
        <v>585720</v>
      </c>
      <c r="M32" s="454"/>
      <c r="N32" s="451">
        <f>SUM(N23:N31)</f>
        <v>25734292.160000004</v>
      </c>
      <c r="O32" s="453"/>
      <c r="P32" s="451">
        <f>SUM(P23:P31)</f>
        <v>13245098.159999998</v>
      </c>
      <c r="Q32" s="453"/>
      <c r="R32" s="451">
        <f>SUM(R23:R31)</f>
        <v>12489194</v>
      </c>
      <c r="S32" s="452"/>
      <c r="T32" s="451">
        <f>SUM(T23:T31)</f>
        <v>498828.99999999988</v>
      </c>
    </row>
    <row r="33" spans="1:20" s="47" customFormat="1" ht="15">
      <c r="A33" s="1385"/>
      <c r="B33" s="692"/>
      <c r="C33" s="692"/>
      <c r="D33" s="695"/>
      <c r="E33" s="444"/>
      <c r="F33" s="449"/>
      <c r="G33" s="449"/>
      <c r="H33" s="449"/>
      <c r="I33" s="449"/>
      <c r="J33" s="449"/>
      <c r="K33" s="444"/>
      <c r="L33" s="450"/>
      <c r="N33" s="449"/>
      <c r="O33" s="449"/>
      <c r="P33" s="449"/>
      <c r="Q33" s="449"/>
      <c r="R33" s="449"/>
      <c r="S33" s="444"/>
      <c r="T33" s="450"/>
    </row>
    <row r="34" spans="1:20" s="47" customFormat="1" ht="15.75">
      <c r="A34" s="1385" t="s">
        <v>1277</v>
      </c>
      <c r="B34" s="691" t="s">
        <v>65</v>
      </c>
      <c r="C34" s="692"/>
      <c r="D34" s="694">
        <v>205300400001</v>
      </c>
      <c r="E34" s="444"/>
      <c r="F34" s="697">
        <v>3993000</v>
      </c>
      <c r="G34" s="697"/>
      <c r="H34" s="697">
        <v>3952444</v>
      </c>
      <c r="I34" s="697"/>
      <c r="J34" s="697">
        <v>40556</v>
      </c>
      <c r="K34" s="692"/>
      <c r="L34" s="697">
        <v>94634</v>
      </c>
      <c r="M34" s="699"/>
      <c r="N34" s="697">
        <v>3993000</v>
      </c>
      <c r="O34" s="697"/>
      <c r="P34" s="697">
        <v>3857810</v>
      </c>
      <c r="Q34" s="697"/>
      <c r="R34" s="697">
        <v>135190</v>
      </c>
      <c r="S34" s="692"/>
      <c r="T34" s="698">
        <v>94634</v>
      </c>
    </row>
    <row r="35" spans="1:20" s="47" customFormat="1" ht="15">
      <c r="A35" s="1385" t="s">
        <v>541</v>
      </c>
      <c r="B35" s="1384"/>
      <c r="C35" s="701"/>
      <c r="D35" s="1382"/>
      <c r="E35" s="444"/>
      <c r="F35" s="1383"/>
      <c r="G35" s="697"/>
      <c r="H35" s="1383"/>
      <c r="I35" s="697"/>
      <c r="J35" s="1383"/>
      <c r="K35" s="692"/>
      <c r="L35" s="1383"/>
      <c r="M35" s="699"/>
      <c r="N35" s="1383"/>
      <c r="O35" s="697"/>
      <c r="P35" s="1383"/>
      <c r="Q35" s="697"/>
      <c r="R35" s="1383"/>
      <c r="S35" s="692"/>
      <c r="T35" s="1383"/>
    </row>
    <row r="36" spans="1:20" s="47" customFormat="1" ht="16.5" thickBot="1">
      <c r="A36" s="1385"/>
      <c r="B36" s="691"/>
      <c r="C36" s="692"/>
      <c r="D36" s="696"/>
      <c r="E36" s="444"/>
      <c r="F36" s="451">
        <f>SUM(F34:F35)</f>
        <v>3993000</v>
      </c>
      <c r="G36" s="453"/>
      <c r="H36" s="451">
        <f t="shared" ref="H36:T36" si="0">SUM(H34:H35)</f>
        <v>3952444</v>
      </c>
      <c r="I36" s="451">
        <f t="shared" si="0"/>
        <v>0</v>
      </c>
      <c r="J36" s="451">
        <f t="shared" si="0"/>
        <v>40556</v>
      </c>
      <c r="K36" s="451">
        <f t="shared" si="0"/>
        <v>0</v>
      </c>
      <c r="L36" s="451">
        <f t="shared" si="0"/>
        <v>94634</v>
      </c>
      <c r="M36" s="454"/>
      <c r="N36" s="451">
        <f t="shared" si="0"/>
        <v>3993000</v>
      </c>
      <c r="O36" s="451">
        <f t="shared" si="0"/>
        <v>0</v>
      </c>
      <c r="P36" s="451">
        <f t="shared" si="0"/>
        <v>3857810</v>
      </c>
      <c r="Q36" s="451">
        <f t="shared" si="0"/>
        <v>0</v>
      </c>
      <c r="R36" s="451">
        <f t="shared" si="0"/>
        <v>135190</v>
      </c>
      <c r="S36" s="451">
        <f t="shared" si="0"/>
        <v>0</v>
      </c>
      <c r="T36" s="451">
        <f t="shared" si="0"/>
        <v>94634</v>
      </c>
    </row>
    <row r="37" spans="1:20" s="47" customFormat="1" ht="15.75">
      <c r="A37" s="1385"/>
      <c r="B37" s="692"/>
      <c r="C37" s="692"/>
      <c r="D37" s="695"/>
      <c r="E37" s="444"/>
      <c r="F37" s="449"/>
      <c r="G37" s="449"/>
      <c r="H37" s="457"/>
      <c r="I37" s="449"/>
      <c r="J37" s="449"/>
      <c r="K37" s="444"/>
      <c r="L37" s="450"/>
      <c r="N37" s="449"/>
      <c r="O37" s="449"/>
      <c r="P37" s="457"/>
      <c r="Q37" s="449"/>
      <c r="R37" s="449"/>
      <c r="S37" s="444"/>
      <c r="T37" s="450"/>
    </row>
    <row r="38" spans="1:20" s="47" customFormat="1" ht="15.75">
      <c r="A38" s="1385" t="s">
        <v>1575</v>
      </c>
      <c r="B38" s="691" t="s">
        <v>1895</v>
      </c>
      <c r="C38" s="692"/>
      <c r="D38" s="694">
        <v>205400500001</v>
      </c>
      <c r="E38" s="444"/>
      <c r="F38" s="697">
        <v>2227045</v>
      </c>
      <c r="G38" s="697"/>
      <c r="H38" s="697">
        <v>2227045</v>
      </c>
      <c r="I38" s="697"/>
      <c r="J38" s="697" t="s">
        <v>1896</v>
      </c>
      <c r="K38" s="692"/>
      <c r="L38" s="698" t="s">
        <v>1897</v>
      </c>
      <c r="M38" s="699"/>
      <c r="N38" s="697">
        <v>2227045</v>
      </c>
      <c r="O38" s="697"/>
      <c r="P38" s="697">
        <v>2227045</v>
      </c>
      <c r="Q38" s="697"/>
      <c r="R38" s="697" t="s">
        <v>1896</v>
      </c>
      <c r="S38" s="692"/>
      <c r="T38" s="698" t="s">
        <v>1897</v>
      </c>
    </row>
    <row r="39" spans="1:20" s="47" customFormat="1" ht="15">
      <c r="A39" s="1385" t="s">
        <v>541</v>
      </c>
      <c r="B39" s="1384"/>
      <c r="C39" s="701"/>
      <c r="D39" s="1382"/>
      <c r="E39" s="444"/>
      <c r="F39" s="1383"/>
      <c r="G39" s="697"/>
      <c r="H39" s="1383"/>
      <c r="I39" s="697"/>
      <c r="J39" s="1383"/>
      <c r="K39" s="692"/>
      <c r="L39" s="1383"/>
      <c r="M39" s="699"/>
      <c r="N39" s="1383"/>
      <c r="O39" s="697"/>
      <c r="P39" s="1383"/>
      <c r="Q39" s="697"/>
      <c r="R39" s="1383"/>
      <c r="S39" s="692"/>
      <c r="T39" s="1383"/>
    </row>
    <row r="40" spans="1:20" s="47" customFormat="1" ht="16.5" thickBot="1">
      <c r="A40" s="1385"/>
      <c r="B40" s="691"/>
      <c r="C40" s="692"/>
      <c r="D40" s="696"/>
      <c r="E40" s="444"/>
      <c r="F40" s="451">
        <f>SUM(F38:F39)</f>
        <v>2227045</v>
      </c>
      <c r="G40" s="453"/>
      <c r="H40" s="451">
        <f>SUM(H38:H39)</f>
        <v>2227045</v>
      </c>
      <c r="I40" s="451"/>
      <c r="J40" s="451">
        <f>SUM(J38:J39)</f>
        <v>0</v>
      </c>
      <c r="K40" s="451"/>
      <c r="L40" s="451">
        <f>SUM(L38:L39)</f>
        <v>0</v>
      </c>
      <c r="M40" s="454"/>
      <c r="N40" s="451">
        <f>SUM(N38:N39)</f>
        <v>2227045</v>
      </c>
      <c r="O40" s="451"/>
      <c r="P40" s="451">
        <f>SUM(P38:P39)</f>
        <v>2227045</v>
      </c>
      <c r="Q40" s="451"/>
      <c r="R40" s="451">
        <f>SUM(R38:R39)</f>
        <v>0</v>
      </c>
      <c r="S40" s="451"/>
      <c r="T40" s="451">
        <f>SUM(T38:T39)</f>
        <v>0</v>
      </c>
    </row>
    <row r="41" spans="1:20" s="47" customFormat="1" ht="15">
      <c r="A41" s="1385"/>
      <c r="B41" s="692"/>
      <c r="C41" s="692"/>
      <c r="D41" s="692"/>
      <c r="E41" s="444"/>
      <c r="F41" s="444"/>
      <c r="G41" s="444"/>
      <c r="H41" s="444"/>
      <c r="I41" s="444"/>
      <c r="J41" s="444"/>
      <c r="K41" s="444"/>
      <c r="L41" s="444"/>
      <c r="N41" s="444"/>
      <c r="O41" s="444"/>
      <c r="P41" s="444"/>
      <c r="Q41" s="444"/>
      <c r="R41" s="444"/>
      <c r="S41" s="444"/>
      <c r="T41" s="444"/>
    </row>
    <row r="42" spans="1:20" s="47" customFormat="1" ht="15.75">
      <c r="A42" s="1385">
        <v>5</v>
      </c>
      <c r="B42" s="691" t="s">
        <v>1898</v>
      </c>
      <c r="C42" s="692"/>
      <c r="D42" s="692"/>
      <c r="E42" s="444"/>
      <c r="F42" s="444"/>
      <c r="G42" s="444"/>
      <c r="H42" s="444"/>
      <c r="I42" s="444"/>
      <c r="J42" s="444"/>
      <c r="K42" s="444"/>
      <c r="L42" s="444"/>
      <c r="N42" s="444"/>
      <c r="O42" s="444"/>
      <c r="P42" s="444"/>
      <c r="Q42" s="444"/>
      <c r="R42" s="444"/>
      <c r="S42" s="444"/>
      <c r="T42" s="444"/>
    </row>
    <row r="43" spans="1:20" s="47" customFormat="1" ht="15">
      <c r="A43" s="1385" t="s">
        <v>1274</v>
      </c>
      <c r="B43" s="692" t="s">
        <v>1899</v>
      </c>
      <c r="C43" s="692"/>
      <c r="D43" s="694">
        <v>205303000001</v>
      </c>
      <c r="E43" s="444"/>
      <c r="F43" s="697">
        <v>2727277</v>
      </c>
      <c r="G43" s="692"/>
      <c r="H43" s="697">
        <v>1181830</v>
      </c>
      <c r="I43" s="692"/>
      <c r="J43" s="697">
        <v>1545447</v>
      </c>
      <c r="K43" s="692"/>
      <c r="L43" s="701"/>
      <c r="M43" s="699"/>
      <c r="N43" s="697">
        <v>2727277</v>
      </c>
      <c r="O43" s="692"/>
      <c r="P43" s="697">
        <v>1090920</v>
      </c>
      <c r="Q43" s="692"/>
      <c r="R43" s="697">
        <v>1636357</v>
      </c>
      <c r="S43" s="692"/>
      <c r="T43" s="701"/>
    </row>
    <row r="44" spans="1:20" s="47" customFormat="1" ht="15">
      <c r="A44" s="1385" t="s">
        <v>1275</v>
      </c>
      <c r="B44" s="692" t="s">
        <v>1900</v>
      </c>
      <c r="C44" s="692"/>
      <c r="D44" s="694">
        <v>205303000002</v>
      </c>
      <c r="E44" s="444"/>
      <c r="F44" s="697">
        <v>2727277</v>
      </c>
      <c r="G44" s="692"/>
      <c r="H44" s="697">
        <v>1181830</v>
      </c>
      <c r="I44" s="692"/>
      <c r="J44" s="697">
        <v>1545447</v>
      </c>
      <c r="K44" s="692"/>
      <c r="L44" s="701"/>
      <c r="M44" s="699"/>
      <c r="N44" s="697">
        <v>2727277</v>
      </c>
      <c r="O44" s="692"/>
      <c r="P44" s="697">
        <v>1090920</v>
      </c>
      <c r="Q44" s="692"/>
      <c r="R44" s="697">
        <v>1636357</v>
      </c>
      <c r="S44" s="692"/>
      <c r="T44" s="701"/>
    </row>
    <row r="45" spans="1:20" s="47" customFormat="1" ht="15">
      <c r="A45" s="1385" t="s">
        <v>1276</v>
      </c>
      <c r="B45" s="692" t="s">
        <v>1901</v>
      </c>
      <c r="C45" s="692"/>
      <c r="D45" s="694">
        <v>205303000003</v>
      </c>
      <c r="E45" s="444"/>
      <c r="F45" s="697">
        <v>2727277</v>
      </c>
      <c r="G45" s="692"/>
      <c r="H45" s="697">
        <v>1181830</v>
      </c>
      <c r="I45" s="692"/>
      <c r="J45" s="697">
        <v>1545447</v>
      </c>
      <c r="K45" s="692"/>
      <c r="L45" s="701"/>
      <c r="M45" s="699"/>
      <c r="N45" s="697">
        <v>2727277</v>
      </c>
      <c r="O45" s="692"/>
      <c r="P45" s="697">
        <v>1090920</v>
      </c>
      <c r="Q45" s="692"/>
      <c r="R45" s="697">
        <v>1636357</v>
      </c>
      <c r="S45" s="692"/>
      <c r="T45" s="701"/>
    </row>
    <row r="46" spans="1:20" s="47" customFormat="1" ht="15">
      <c r="A46" s="1385" t="s">
        <v>541</v>
      </c>
      <c r="B46" s="1384"/>
      <c r="C46" s="701"/>
      <c r="D46" s="1382"/>
      <c r="E46" s="444"/>
      <c r="F46" s="1383"/>
      <c r="G46" s="697"/>
      <c r="H46" s="1383"/>
      <c r="I46" s="697"/>
      <c r="J46" s="1383"/>
      <c r="K46" s="692"/>
      <c r="L46" s="1383"/>
      <c r="M46" s="699"/>
      <c r="N46" s="1383"/>
      <c r="O46" s="697"/>
      <c r="P46" s="1383"/>
      <c r="Q46" s="697"/>
      <c r="R46" s="1383"/>
      <c r="S46" s="692"/>
      <c r="T46" s="1383"/>
    </row>
    <row r="47" spans="1:20" s="47" customFormat="1" ht="16.5" thickBot="1">
      <c r="A47" s="444"/>
      <c r="B47" s="444"/>
      <c r="C47" s="444"/>
      <c r="D47" s="444"/>
      <c r="E47" s="444"/>
      <c r="F47" s="451">
        <f>SUM(F43:F46)</f>
        <v>8181831</v>
      </c>
      <c r="G47" s="453"/>
      <c r="H47" s="451">
        <f>SUM(H43:H46)</f>
        <v>3545490</v>
      </c>
      <c r="I47" s="453"/>
      <c r="J47" s="451">
        <f>SUM(J43:J46)</f>
        <v>4636341</v>
      </c>
      <c r="K47" s="452"/>
      <c r="L47" s="451">
        <f>SUM(L43:L46)</f>
        <v>0</v>
      </c>
      <c r="M47" s="454"/>
      <c r="N47" s="451">
        <f>SUM(N43:N46)</f>
        <v>8181831</v>
      </c>
      <c r="O47" s="453"/>
      <c r="P47" s="451">
        <f>SUM(P43:P46)</f>
        <v>3272760</v>
      </c>
      <c r="Q47" s="453"/>
      <c r="R47" s="451">
        <f>SUM(R43:R46)</f>
        <v>4909071</v>
      </c>
      <c r="S47" s="452"/>
      <c r="T47" s="451">
        <f>SUM(T43:T46)</f>
        <v>0</v>
      </c>
    </row>
    <row r="48" spans="1:20" s="47" customFormat="1" ht="15">
      <c r="A48" s="444"/>
      <c r="B48" s="444"/>
      <c r="C48" s="444"/>
      <c r="D48" s="444"/>
      <c r="E48" s="444"/>
      <c r="F48" s="452"/>
      <c r="G48" s="452"/>
      <c r="H48" s="452"/>
      <c r="I48" s="452"/>
      <c r="J48" s="452"/>
      <c r="K48" s="452"/>
      <c r="L48" s="452"/>
      <c r="M48" s="454"/>
      <c r="N48" s="452"/>
      <c r="O48" s="452"/>
      <c r="P48" s="452"/>
      <c r="Q48" s="452"/>
      <c r="R48" s="452"/>
      <c r="S48" s="452"/>
      <c r="T48" s="452"/>
    </row>
    <row r="49" spans="1:20" s="47" customFormat="1" ht="15">
      <c r="A49" s="1385" t="s">
        <v>1367</v>
      </c>
      <c r="B49" s="1384"/>
      <c r="C49" s="692"/>
      <c r="D49" s="1382"/>
      <c r="E49" s="444"/>
      <c r="F49" s="1383"/>
      <c r="G49" s="697"/>
      <c r="H49" s="1383"/>
      <c r="I49" s="697"/>
      <c r="J49" s="1383"/>
      <c r="K49" s="692"/>
      <c r="L49" s="1383"/>
      <c r="M49" s="699"/>
      <c r="N49" s="1383"/>
      <c r="O49" s="697"/>
      <c r="P49" s="1383"/>
      <c r="Q49" s="697"/>
      <c r="R49" s="1383"/>
      <c r="S49" s="692"/>
      <c r="T49" s="1383"/>
    </row>
    <row r="50" spans="1:20" s="47" customFormat="1" ht="15">
      <c r="A50" s="1385" t="s">
        <v>541</v>
      </c>
      <c r="B50" s="1384"/>
      <c r="C50" s="701"/>
      <c r="D50" s="1382"/>
      <c r="E50" s="444"/>
      <c r="F50" s="1383"/>
      <c r="G50" s="697"/>
      <c r="H50" s="1383"/>
      <c r="I50" s="697"/>
      <c r="J50" s="1383"/>
      <c r="K50" s="692"/>
      <c r="L50" s="1383"/>
      <c r="M50" s="699"/>
      <c r="N50" s="1383"/>
      <c r="O50" s="697"/>
      <c r="P50" s="1383"/>
      <c r="Q50" s="697"/>
      <c r="R50" s="1383"/>
      <c r="S50" s="692"/>
      <c r="T50" s="1383"/>
    </row>
    <row r="51" spans="1:20" s="47" customFormat="1" ht="16.5" thickBot="1">
      <c r="A51" s="1385"/>
      <c r="B51" s="444"/>
      <c r="C51" s="444"/>
      <c r="D51" s="444"/>
      <c r="E51" s="444"/>
      <c r="F51" s="451">
        <f>SUM(F49:F50)</f>
        <v>0</v>
      </c>
      <c r="G51" s="453"/>
      <c r="H51" s="451">
        <f>SUM(H49:H50)</f>
        <v>0</v>
      </c>
      <c r="I51" s="451"/>
      <c r="J51" s="451">
        <f>SUM(J49:J50)</f>
        <v>0</v>
      </c>
      <c r="K51" s="451"/>
      <c r="L51" s="451">
        <f>SUM(L49:L50)</f>
        <v>0</v>
      </c>
      <c r="M51" s="454"/>
      <c r="N51" s="451">
        <f>SUM(N49:N50)</f>
        <v>0</v>
      </c>
      <c r="O51" s="451"/>
      <c r="P51" s="451">
        <f>SUM(P49:P50)</f>
        <v>0</v>
      </c>
      <c r="Q51" s="451"/>
      <c r="R51" s="451">
        <f>SUM(R49:R50)</f>
        <v>0</v>
      </c>
      <c r="S51" s="451"/>
      <c r="T51" s="451">
        <f>SUM(T49:T50)</f>
        <v>0</v>
      </c>
    </row>
    <row r="52" spans="1:20" s="47" customFormat="1" ht="15">
      <c r="A52" s="444"/>
      <c r="B52" s="444"/>
      <c r="C52" s="444"/>
      <c r="D52" s="444"/>
      <c r="E52" s="444"/>
      <c r="F52" s="452"/>
      <c r="G52" s="452"/>
      <c r="H52" s="452"/>
      <c r="I52" s="452"/>
      <c r="J52" s="452"/>
      <c r="K52" s="452"/>
      <c r="L52" s="452"/>
      <c r="M52" s="454"/>
      <c r="N52" s="452"/>
      <c r="O52" s="452"/>
      <c r="P52" s="452"/>
      <c r="Q52" s="452"/>
      <c r="R52" s="452"/>
      <c r="S52" s="452"/>
      <c r="T52" s="452"/>
    </row>
    <row r="53" spans="1:20" s="47" customFormat="1" ht="15">
      <c r="A53" s="444"/>
      <c r="B53" s="444"/>
      <c r="C53" s="444"/>
      <c r="D53" s="444"/>
      <c r="E53" s="444"/>
      <c r="F53" s="452"/>
      <c r="G53" s="452"/>
      <c r="H53" s="452"/>
      <c r="I53" s="452"/>
      <c r="J53" s="452"/>
      <c r="K53" s="452"/>
      <c r="L53" s="452"/>
      <c r="M53" s="454"/>
      <c r="N53" s="452"/>
      <c r="O53" s="452"/>
      <c r="P53" s="452"/>
      <c r="Q53" s="452"/>
      <c r="R53" s="452"/>
      <c r="S53" s="452"/>
      <c r="T53" s="452"/>
    </row>
    <row r="54" spans="1:20" s="47" customFormat="1" ht="16.5" thickBot="1">
      <c r="A54" s="1385">
        <v>7</v>
      </c>
      <c r="B54" s="445" t="s">
        <v>5</v>
      </c>
      <c r="C54" s="448"/>
      <c r="D54" s="448"/>
      <c r="E54" s="448"/>
      <c r="F54" s="451">
        <f>+F20+F32+F36+F40+F47+F51</f>
        <v>48161743.390000001</v>
      </c>
      <c r="G54" s="453"/>
      <c r="H54" s="451">
        <f>+H20+H32+H36+H40+H47</f>
        <v>26857849.389999997</v>
      </c>
      <c r="I54" s="453"/>
      <c r="J54" s="451">
        <f>+J20+J32+J36+J40+J47</f>
        <v>21303894</v>
      </c>
      <c r="K54" s="453"/>
      <c r="L54" s="451">
        <f>+L20+L32+L36+L40+L47</f>
        <v>848249</v>
      </c>
      <c r="M54" s="454"/>
      <c r="N54" s="451">
        <f>+N20+N32+N36+N40+N47</f>
        <v>48161743.390000001</v>
      </c>
      <c r="O54" s="453"/>
      <c r="P54" s="451">
        <f>+P20+P32+P36+P40+P47</f>
        <v>25736870.390000001</v>
      </c>
      <c r="Q54" s="453"/>
      <c r="R54" s="451">
        <f>+R20+R32+R36+R40+R47</f>
        <v>22424873</v>
      </c>
      <c r="S54" s="453"/>
      <c r="T54" s="451">
        <f>+T20+T32+T36+T40+T47</f>
        <v>760559.32999999984</v>
      </c>
    </row>
    <row r="55" spans="1:20" s="47" customFormat="1" ht="15">
      <c r="A55" s="1385"/>
      <c r="B55" s="444"/>
      <c r="C55" s="444"/>
      <c r="D55" s="444"/>
      <c r="E55" s="444"/>
      <c r="F55" s="452"/>
      <c r="G55" s="452"/>
      <c r="H55" s="452"/>
      <c r="I55" s="452"/>
      <c r="J55" s="452"/>
      <c r="K55" s="452"/>
      <c r="L55" s="452"/>
      <c r="M55" s="454"/>
      <c r="N55" s="452"/>
      <c r="O55" s="452"/>
      <c r="P55" s="452"/>
      <c r="Q55" s="452"/>
      <c r="R55" s="452"/>
      <c r="S55" s="452"/>
      <c r="T55" s="452"/>
    </row>
    <row r="56" spans="1:20" s="47" customFormat="1" ht="15.75">
      <c r="A56" s="1385">
        <v>8</v>
      </c>
      <c r="B56" s="1249" t="s">
        <v>1070</v>
      </c>
      <c r="C56" s="444"/>
      <c r="D56" s="444"/>
      <c r="E56" s="444"/>
      <c r="F56" s="458">
        <f>+F54-F47</f>
        <v>39979912.390000001</v>
      </c>
      <c r="G56" s="458"/>
      <c r="H56" s="458">
        <f>-(H54-H47)</f>
        <v>-23312359.389999997</v>
      </c>
      <c r="I56" s="458"/>
      <c r="J56" s="458"/>
      <c r="K56" s="458"/>
      <c r="L56" s="458">
        <f>L54</f>
        <v>848249</v>
      </c>
      <c r="M56" s="454"/>
      <c r="N56" s="458">
        <f>+N54-N47</f>
        <v>39979912.390000001</v>
      </c>
      <c r="O56" s="458"/>
      <c r="P56" s="458">
        <f>-(P54-P47)</f>
        <v>-22464110.390000001</v>
      </c>
      <c r="Q56" s="458"/>
      <c r="R56" s="458"/>
      <c r="S56" s="458"/>
      <c r="T56" s="458">
        <f>T54</f>
        <v>760559.32999999984</v>
      </c>
    </row>
    <row r="57" spans="1:20" s="47" customFormat="1" ht="15.75">
      <c r="A57" s="1385"/>
      <c r="B57" s="448"/>
      <c r="C57" s="444"/>
      <c r="D57" s="444"/>
      <c r="E57" s="444"/>
      <c r="F57" s="449"/>
      <c r="G57" s="444"/>
      <c r="H57" s="449"/>
      <c r="I57" s="444"/>
      <c r="J57" s="444"/>
      <c r="K57" s="444"/>
      <c r="L57" s="449"/>
    </row>
    <row r="58" spans="1:20">
      <c r="A58" s="44"/>
      <c r="B58" s="44"/>
      <c r="C58" s="459"/>
      <c r="D58" s="459"/>
      <c r="E58" s="459"/>
      <c r="F58" s="460"/>
      <c r="G58" s="459"/>
      <c r="H58" s="460"/>
      <c r="I58" s="459"/>
      <c r="J58" s="459"/>
      <c r="K58" s="459"/>
      <c r="L58" s="460"/>
    </row>
    <row r="59" spans="1:20">
      <c r="A59" s="44"/>
      <c r="B59" s="44"/>
      <c r="C59" s="459"/>
      <c r="D59" s="459"/>
      <c r="E59" s="459"/>
      <c r="F59" s="460"/>
      <c r="G59" s="459"/>
      <c r="H59" s="460"/>
      <c r="I59" s="459"/>
      <c r="J59" s="459"/>
      <c r="K59" s="459"/>
      <c r="L59" s="460"/>
    </row>
    <row r="60" spans="1:20">
      <c r="A60" s="44"/>
      <c r="B60" s="44"/>
      <c r="C60" s="459"/>
      <c r="D60" s="459"/>
      <c r="E60" s="459"/>
      <c r="F60" s="460"/>
      <c r="G60" s="459"/>
      <c r="H60" s="460"/>
      <c r="I60" s="459"/>
      <c r="J60" s="459"/>
      <c r="K60" s="459"/>
      <c r="L60" s="460"/>
    </row>
  </sheetData>
  <customSheetViews>
    <customSheetView guid="{B321D76C-CDE5-48BB-9CDE-80FF97D58FCF}" scale="70" showPageBreaks="1" fitToPage="1" printArea="1" view="pageBreakPreview" topLeftCell="A43">
      <selection activeCell="D33" sqref="D33"/>
      <pageMargins left="0.45" right="0.45" top="0.25" bottom="0.25" header="0.3" footer="0.3"/>
      <printOptions horizontalCentered="1"/>
      <pageSetup scale="52" orientation="landscape" r:id="rId1"/>
    </customSheetView>
  </customSheetViews>
  <mergeCells count="2">
    <mergeCell ref="N10:T10"/>
    <mergeCell ref="F10:L10"/>
  </mergeCells>
  <printOptions horizontalCentered="1"/>
  <pageMargins left="0.45" right="0.45" top="0.25" bottom="0.25" header="0.3" footer="0.3"/>
  <pageSetup scale="5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tabColor rgb="FF92D050"/>
    <pageSetUpPr fitToPage="1"/>
  </sheetPr>
  <dimension ref="A1:L42"/>
  <sheetViews>
    <sheetView showGridLines="0" tabSelected="1" defaultGridColor="0" view="pageBreakPreview" topLeftCell="A4" colorId="22" zoomScale="71" zoomScaleNormal="80" zoomScaleSheetLayoutView="71" workbookViewId="0">
      <selection activeCell="C30" sqref="C30"/>
    </sheetView>
  </sheetViews>
  <sheetFormatPr defaultColWidth="13.5" defaultRowHeight="12"/>
  <cols>
    <col min="1" max="1" width="4.125" style="13" customWidth="1"/>
    <col min="2" max="2" width="7.75" style="13" bestFit="1" customWidth="1"/>
    <col min="3" max="3" width="13" style="13" customWidth="1"/>
    <col min="4" max="4" width="7.5" style="13" customWidth="1"/>
    <col min="5" max="5" width="14.125" style="13" customWidth="1"/>
    <col min="6" max="6" width="29.5" style="13" customWidth="1"/>
    <col min="7" max="7" width="22.75" style="13" customWidth="1"/>
    <col min="8" max="8" width="18.125" style="13" customWidth="1"/>
    <col min="9" max="9" width="1.75" style="13" customWidth="1"/>
    <col min="10" max="10" width="14.375" style="13" bestFit="1" customWidth="1"/>
    <col min="11" max="11" width="29.125" style="13" customWidth="1"/>
    <col min="12" max="16384" width="13.5" style="13"/>
  </cols>
  <sheetData>
    <row r="1" spans="1:12" s="17" customFormat="1" ht="15.75">
      <c r="A1" s="14" t="s">
        <v>889</v>
      </c>
      <c r="B1" s="101"/>
      <c r="C1" s="20"/>
      <c r="D1" s="20"/>
      <c r="E1" s="20"/>
      <c r="F1" s="20"/>
      <c r="G1" s="20"/>
      <c r="J1" s="159"/>
      <c r="K1" s="60"/>
      <c r="L1" s="20"/>
    </row>
    <row r="2" spans="1:12" ht="18">
      <c r="A2" s="11"/>
      <c r="C2" s="11"/>
      <c r="D2" s="11"/>
      <c r="F2" s="11"/>
      <c r="G2" s="11"/>
      <c r="H2" s="11"/>
      <c r="I2" s="11"/>
      <c r="J2" s="11"/>
      <c r="L2" s="11"/>
    </row>
    <row r="3" spans="1:12" ht="18">
      <c r="A3" s="1788" t="s">
        <v>199</v>
      </c>
      <c r="B3" s="1788"/>
      <c r="C3" s="1788"/>
      <c r="D3" s="1788"/>
      <c r="E3" s="1788"/>
      <c r="F3" s="1788"/>
      <c r="G3" s="1788"/>
      <c r="H3" s="1788"/>
      <c r="I3" s="1788"/>
      <c r="J3" s="1788"/>
      <c r="K3" s="1788"/>
      <c r="L3" s="11"/>
    </row>
    <row r="4" spans="1:12" ht="18">
      <c r="A4" s="1788" t="s">
        <v>103</v>
      </c>
      <c r="B4" s="1788"/>
      <c r="C4" s="1788"/>
      <c r="D4" s="1788"/>
      <c r="E4" s="1788"/>
      <c r="F4" s="1788"/>
      <c r="G4" s="1788"/>
      <c r="H4" s="1788"/>
      <c r="I4" s="1788"/>
      <c r="J4" s="1788"/>
      <c r="K4" s="1788"/>
      <c r="L4" s="11"/>
    </row>
    <row r="5" spans="1:12" ht="18">
      <c r="A5" s="1789" t="s">
        <v>2036</v>
      </c>
      <c r="B5" s="1789"/>
      <c r="C5" s="1789"/>
      <c r="D5" s="1789"/>
      <c r="E5" s="1789"/>
      <c r="F5" s="1789"/>
      <c r="G5" s="1789"/>
      <c r="H5" s="1789"/>
      <c r="I5" s="1789"/>
      <c r="J5" s="1789"/>
      <c r="K5" s="1789"/>
      <c r="L5" s="11"/>
    </row>
    <row r="6" spans="1:12" ht="18">
      <c r="A6" s="117"/>
      <c r="B6" s="11"/>
      <c r="C6" s="11"/>
      <c r="D6" s="11"/>
      <c r="E6" s="11"/>
      <c r="F6" s="11"/>
      <c r="G6" s="11"/>
      <c r="H6" s="11"/>
      <c r="I6" s="11"/>
      <c r="J6" s="11"/>
      <c r="K6" s="11"/>
      <c r="L6" s="11"/>
    </row>
    <row r="7" spans="1:12" ht="18">
      <c r="A7" s="1788" t="s">
        <v>888</v>
      </c>
      <c r="B7" s="1788"/>
      <c r="C7" s="1788"/>
      <c r="D7" s="1788"/>
      <c r="E7" s="1788"/>
      <c r="F7" s="1788"/>
      <c r="G7" s="1788"/>
      <c r="H7" s="1788"/>
      <c r="I7" s="1788"/>
      <c r="J7" s="1788"/>
      <c r="K7" s="1788"/>
      <c r="L7" s="11"/>
    </row>
    <row r="8" spans="1:12" ht="18">
      <c r="A8" s="1788" t="s">
        <v>818</v>
      </c>
      <c r="B8" s="1788"/>
      <c r="C8" s="1788"/>
      <c r="D8" s="1788"/>
      <c r="E8" s="1788"/>
      <c r="F8" s="1788"/>
      <c r="G8" s="1788"/>
      <c r="H8" s="1788"/>
      <c r="I8" s="1788"/>
      <c r="J8" s="1788"/>
      <c r="K8" s="1788"/>
      <c r="L8" s="11"/>
    </row>
    <row r="9" spans="1:12" ht="18">
      <c r="A9" s="153"/>
      <c r="B9" s="153"/>
      <c r="C9" s="153"/>
      <c r="D9" s="153"/>
      <c r="E9" s="153"/>
      <c r="F9" s="153"/>
      <c r="G9" s="207"/>
      <c r="H9" s="153"/>
      <c r="I9" s="180"/>
      <c r="J9" s="153"/>
      <c r="K9" s="153"/>
      <c r="L9" s="11"/>
    </row>
    <row r="10" spans="1:12" s="322" customFormat="1" ht="15.75">
      <c r="A10" s="14"/>
      <c r="B10" s="14"/>
      <c r="C10" s="759" t="s">
        <v>0</v>
      </c>
      <c r="D10" s="14"/>
      <c r="E10" s="14"/>
      <c r="F10" s="14"/>
      <c r="G10" s="14"/>
      <c r="H10" s="14"/>
      <c r="I10" s="14"/>
      <c r="J10" s="14"/>
      <c r="K10" s="14"/>
      <c r="L10" s="14"/>
    </row>
    <row r="11" spans="1:12" s="322" customFormat="1" ht="15.75">
      <c r="A11" s="14"/>
      <c r="B11" s="893" t="s">
        <v>1</v>
      </c>
      <c r="C11" s="893" t="s">
        <v>2</v>
      </c>
      <c r="D11" s="14"/>
      <c r="E11" s="894" t="s">
        <v>3</v>
      </c>
      <c r="F11" s="14"/>
      <c r="G11" s="894" t="s">
        <v>455</v>
      </c>
      <c r="H11" s="893" t="s">
        <v>4</v>
      </c>
      <c r="I11" s="893"/>
      <c r="J11" s="1479" t="s">
        <v>5</v>
      </c>
      <c r="K11" s="894" t="s">
        <v>1773</v>
      </c>
      <c r="L11" s="14"/>
    </row>
    <row r="12" spans="1:12" s="322" customFormat="1" ht="15.75">
      <c r="A12" s="14"/>
      <c r="B12" s="14"/>
      <c r="C12" s="759" t="s">
        <v>6</v>
      </c>
      <c r="D12" s="14"/>
      <c r="E12" s="759" t="s">
        <v>7</v>
      </c>
      <c r="F12" s="759"/>
      <c r="G12" s="759" t="s">
        <v>8</v>
      </c>
      <c r="H12" s="759" t="s">
        <v>9</v>
      </c>
      <c r="I12" s="759"/>
      <c r="J12" s="895" t="s">
        <v>196</v>
      </c>
      <c r="K12" s="895" t="s">
        <v>371</v>
      </c>
      <c r="L12" s="14"/>
    </row>
    <row r="13" spans="1:12" s="322" customFormat="1" ht="15.75">
      <c r="A13" s="14"/>
      <c r="B13" s="14"/>
      <c r="C13" s="14"/>
      <c r="D13" s="14"/>
      <c r="E13" s="14"/>
      <c r="F13" s="14"/>
      <c r="G13" s="14"/>
      <c r="H13" s="14"/>
      <c r="I13" s="14"/>
      <c r="J13" s="14"/>
      <c r="K13" s="14"/>
      <c r="L13" s="14"/>
    </row>
    <row r="14" spans="1:12" s="322" customFormat="1" ht="15.75">
      <c r="A14" s="14"/>
      <c r="B14" s="759"/>
      <c r="C14" s="14" t="s">
        <v>10</v>
      </c>
      <c r="D14" s="14"/>
      <c r="E14" s="14"/>
      <c r="F14" s="14"/>
      <c r="G14" s="14"/>
      <c r="H14" s="14"/>
      <c r="I14" s="14"/>
      <c r="J14" s="14"/>
      <c r="K14" s="14"/>
      <c r="L14" s="14"/>
    </row>
    <row r="15" spans="1:12" s="100" customFormat="1" ht="15.75">
      <c r="A15" s="20"/>
      <c r="B15" s="759"/>
      <c r="C15" s="20"/>
      <c r="D15" s="20" t="s">
        <v>11</v>
      </c>
      <c r="E15" s="14" t="s">
        <v>12</v>
      </c>
      <c r="F15" s="20"/>
      <c r="G15" s="20"/>
      <c r="H15" s="14"/>
      <c r="I15" s="20"/>
      <c r="J15" s="20"/>
      <c r="K15" s="20"/>
      <c r="L15" s="20"/>
    </row>
    <row r="16" spans="1:12" s="100" customFormat="1" ht="15.75">
      <c r="A16" s="20"/>
      <c r="B16" s="759">
        <v>1</v>
      </c>
      <c r="C16" s="21">
        <v>560</v>
      </c>
      <c r="D16" s="20"/>
      <c r="E16" s="896" t="s">
        <v>13</v>
      </c>
      <c r="F16" s="20"/>
      <c r="G16" s="20" t="s">
        <v>1637</v>
      </c>
      <c r="H16" s="1579">
        <f>'WP-AA'!F27</f>
        <v>5080319.9000000004</v>
      </c>
      <c r="I16" s="1579"/>
      <c r="J16" s="1579"/>
      <c r="K16" s="20" t="s">
        <v>1677</v>
      </c>
      <c r="L16" s="20"/>
    </row>
    <row r="17" spans="1:12" s="100" customFormat="1" ht="15.75">
      <c r="A17" s="20"/>
      <c r="B17" s="759">
        <f t="shared" ref="B17:B35" si="0">B16+1</f>
        <v>2</v>
      </c>
      <c r="C17" s="21">
        <v>561</v>
      </c>
      <c r="D17" s="20"/>
      <c r="E17" s="896" t="s">
        <v>14</v>
      </c>
      <c r="F17" s="20"/>
      <c r="G17" s="20" t="s">
        <v>1637</v>
      </c>
      <c r="H17" s="1579">
        <f>'WP-AA'!F28</f>
        <v>2409185.75</v>
      </c>
      <c r="I17" s="1579"/>
      <c r="J17" s="1579"/>
      <c r="K17" s="20" t="s">
        <v>1678</v>
      </c>
      <c r="L17" s="20"/>
    </row>
    <row r="18" spans="1:12" s="100" customFormat="1" ht="15.75">
      <c r="A18" s="20"/>
      <c r="B18" s="759">
        <f t="shared" si="0"/>
        <v>3</v>
      </c>
      <c r="C18" s="21">
        <v>562</v>
      </c>
      <c r="D18" s="20"/>
      <c r="E18" s="896" t="s">
        <v>15</v>
      </c>
      <c r="F18" s="20"/>
      <c r="G18" s="20" t="s">
        <v>1637</v>
      </c>
      <c r="H18" s="1579">
        <f>'WP-AA'!F29</f>
        <v>3894469.16</v>
      </c>
      <c r="I18" s="1579"/>
      <c r="J18" s="1579"/>
      <c r="K18" s="20" t="s">
        <v>1679</v>
      </c>
      <c r="L18" s="20"/>
    </row>
    <row r="19" spans="1:12" s="100" customFormat="1" ht="15.75">
      <c r="A19" s="20"/>
      <c r="B19" s="759">
        <f t="shared" si="0"/>
        <v>4</v>
      </c>
      <c r="C19" s="21">
        <v>566</v>
      </c>
      <c r="D19" s="20"/>
      <c r="E19" s="896" t="s">
        <v>16</v>
      </c>
      <c r="F19" s="20"/>
      <c r="G19" s="20" t="s">
        <v>1637</v>
      </c>
      <c r="H19" s="1589">
        <f>'WP-AA'!F30</f>
        <v>9628925.5099999998</v>
      </c>
      <c r="I19" s="1596"/>
      <c r="J19" s="1579"/>
      <c r="K19" s="20" t="s">
        <v>1680</v>
      </c>
      <c r="L19" s="20"/>
    </row>
    <row r="20" spans="1:12" s="100" customFormat="1" ht="15.75">
      <c r="A20" s="20"/>
      <c r="B20" s="759">
        <f t="shared" si="0"/>
        <v>5</v>
      </c>
      <c r="C20" s="21"/>
      <c r="D20" s="898" t="s">
        <v>250</v>
      </c>
      <c r="F20" s="20"/>
      <c r="G20" s="20" t="s">
        <v>773</v>
      </c>
      <c r="H20" s="1588">
        <f>SUM(H16:H19)</f>
        <v>21012900.32</v>
      </c>
      <c r="I20" s="1588"/>
      <c r="J20" s="1579"/>
      <c r="K20" s="20"/>
      <c r="L20" s="20"/>
    </row>
    <row r="21" spans="1:12" s="100" customFormat="1" ht="15.75">
      <c r="A21" s="20"/>
      <c r="B21" s="759"/>
      <c r="C21" s="21"/>
      <c r="D21" s="20"/>
      <c r="E21" s="900"/>
      <c r="F21" s="20"/>
      <c r="G21" s="20"/>
      <c r="H21" s="1588"/>
      <c r="I21" s="1588"/>
      <c r="J21" s="1579"/>
      <c r="K21" s="20"/>
      <c r="L21" s="20"/>
    </row>
    <row r="22" spans="1:12" s="100" customFormat="1" ht="15.75">
      <c r="A22" s="20"/>
      <c r="B22" s="759"/>
      <c r="C22" s="21"/>
      <c r="D22" s="20"/>
      <c r="E22" s="898" t="s">
        <v>18</v>
      </c>
      <c r="F22" s="20"/>
      <c r="G22" s="20"/>
      <c r="H22" s="1579"/>
      <c r="I22" s="1579"/>
      <c r="J22" s="1579"/>
      <c r="K22" s="20"/>
      <c r="L22" s="20"/>
    </row>
    <row r="23" spans="1:12" s="100" customFormat="1" ht="15.75">
      <c r="A23" s="20"/>
      <c r="B23" s="759">
        <f>B20+1</f>
        <v>6</v>
      </c>
      <c r="C23" s="21">
        <v>568</v>
      </c>
      <c r="D23" s="20"/>
      <c r="E23" s="896" t="s">
        <v>13</v>
      </c>
      <c r="F23" s="20"/>
      <c r="G23" s="20" t="s">
        <v>1637</v>
      </c>
      <c r="H23" s="1579">
        <f>'WP-AA'!F64</f>
        <v>8877105.7599999998</v>
      </c>
      <c r="I23" s="1579"/>
      <c r="J23" s="1579"/>
      <c r="K23" s="20" t="s">
        <v>1681</v>
      </c>
      <c r="L23" s="20"/>
    </row>
    <row r="24" spans="1:12" s="100" customFormat="1" ht="15.75">
      <c r="A24" s="20"/>
      <c r="B24" s="759">
        <f t="shared" si="0"/>
        <v>7</v>
      </c>
      <c r="C24" s="21">
        <v>569</v>
      </c>
      <c r="D24" s="20"/>
      <c r="E24" s="896" t="s">
        <v>19</v>
      </c>
      <c r="F24" s="20"/>
      <c r="G24" s="20" t="s">
        <v>1637</v>
      </c>
      <c r="H24" s="1579">
        <f>'WP-AA'!F65</f>
        <v>5169551.49</v>
      </c>
      <c r="I24" s="1579"/>
      <c r="J24" s="1579"/>
      <c r="K24" s="20" t="s">
        <v>1682</v>
      </c>
      <c r="L24" s="20"/>
    </row>
    <row r="25" spans="1:12" s="100" customFormat="1" ht="15.75">
      <c r="A25" s="20"/>
      <c r="B25" s="759">
        <f t="shared" si="0"/>
        <v>8</v>
      </c>
      <c r="C25" s="21">
        <v>570</v>
      </c>
      <c r="D25" s="20"/>
      <c r="E25" s="896" t="s">
        <v>20</v>
      </c>
      <c r="F25" s="20"/>
      <c r="G25" s="20" t="s">
        <v>1637</v>
      </c>
      <c r="H25" s="1579">
        <f>'WP-AA'!F66</f>
        <v>13913260.030000001</v>
      </c>
      <c r="I25" s="1579"/>
      <c r="J25" s="1579"/>
      <c r="K25" s="20" t="s">
        <v>1683</v>
      </c>
      <c r="L25" s="20"/>
    </row>
    <row r="26" spans="1:12" s="100" customFormat="1" ht="15.75">
      <c r="A26" s="20"/>
      <c r="B26" s="759">
        <f t="shared" si="0"/>
        <v>9</v>
      </c>
      <c r="C26" s="21">
        <v>571</v>
      </c>
      <c r="D26" s="20"/>
      <c r="E26" s="896" t="s">
        <v>21</v>
      </c>
      <c r="F26" s="20"/>
      <c r="G26" s="20" t="s">
        <v>1637</v>
      </c>
      <c r="H26" s="1579">
        <f>'WP-AA'!F67</f>
        <v>13341187.59</v>
      </c>
      <c r="I26" s="1579"/>
      <c r="J26" s="1579"/>
      <c r="K26" s="20" t="s">
        <v>1684</v>
      </c>
      <c r="L26" s="20"/>
    </row>
    <row r="27" spans="1:12" s="100" customFormat="1" ht="15.75">
      <c r="A27" s="20"/>
      <c r="B27" s="759">
        <f t="shared" si="0"/>
        <v>10</v>
      </c>
      <c r="C27" s="21">
        <v>572</v>
      </c>
      <c r="D27" s="20"/>
      <c r="E27" s="896" t="s">
        <v>22</v>
      </c>
      <c r="F27" s="20"/>
      <c r="G27" s="20" t="s">
        <v>1637</v>
      </c>
      <c r="H27" s="1579">
        <f>'WP-AA'!F68</f>
        <v>393798.19</v>
      </c>
      <c r="I27" s="1579"/>
      <c r="J27" s="1579"/>
      <c r="K27" s="20" t="s">
        <v>1685</v>
      </c>
      <c r="L27" s="20"/>
    </row>
    <row r="28" spans="1:12" s="100" customFormat="1" ht="15.75">
      <c r="A28" s="20"/>
      <c r="B28" s="759">
        <f t="shared" si="0"/>
        <v>11</v>
      </c>
      <c r="C28" s="21">
        <v>573</v>
      </c>
      <c r="D28" s="20"/>
      <c r="E28" s="896" t="s">
        <v>23</v>
      </c>
      <c r="F28" s="20"/>
      <c r="G28" s="20" t="s">
        <v>1637</v>
      </c>
      <c r="H28" s="1589">
        <f>'WP-AA'!F69</f>
        <v>148219.53999999998</v>
      </c>
      <c r="I28" s="1596"/>
      <c r="J28" s="1579"/>
      <c r="K28" s="20" t="s">
        <v>1686</v>
      </c>
      <c r="L28" s="20"/>
    </row>
    <row r="29" spans="1:12" s="100" customFormat="1" ht="15.75">
      <c r="A29" s="20"/>
      <c r="B29" s="759">
        <f t="shared" si="0"/>
        <v>12</v>
      </c>
      <c r="C29" s="21"/>
      <c r="D29" s="898" t="s">
        <v>349</v>
      </c>
      <c r="F29" s="20"/>
      <c r="G29" s="20" t="s">
        <v>774</v>
      </c>
      <c r="H29" s="1600">
        <f>SUM(H23:H28)</f>
        <v>41843122.600000001</v>
      </c>
      <c r="I29" s="1588"/>
      <c r="J29" s="1579"/>
      <c r="K29" s="20"/>
      <c r="L29" s="20"/>
    </row>
    <row r="30" spans="1:12" s="100" customFormat="1" ht="15.75">
      <c r="A30" s="20"/>
      <c r="B30" s="759">
        <f t="shared" si="0"/>
        <v>13</v>
      </c>
      <c r="C30" s="21"/>
      <c r="D30" s="20"/>
      <c r="E30" s="898" t="s">
        <v>249</v>
      </c>
      <c r="F30" s="20"/>
      <c r="G30" s="20" t="s">
        <v>775</v>
      </c>
      <c r="H30" s="20"/>
      <c r="I30" s="20"/>
      <c r="J30" s="901">
        <f>H20+H29</f>
        <v>62856022.920000002</v>
      </c>
      <c r="K30" s="20"/>
      <c r="L30" s="20"/>
    </row>
    <row r="31" spans="1:12" s="100" customFormat="1" ht="15.75">
      <c r="A31" s="20"/>
      <c r="B31" s="759"/>
      <c r="C31" s="21"/>
      <c r="D31" s="20"/>
      <c r="E31" s="898"/>
      <c r="F31" s="20"/>
      <c r="G31" s="20"/>
      <c r="H31" s="20"/>
      <c r="I31" s="20"/>
      <c r="J31" s="902"/>
      <c r="K31" s="20"/>
      <c r="L31" s="20"/>
    </row>
    <row r="32" spans="1:12" s="100" customFormat="1" ht="15.75">
      <c r="A32" s="20"/>
      <c r="B32" s="759"/>
      <c r="C32" s="21"/>
      <c r="D32" s="14" t="s">
        <v>839</v>
      </c>
      <c r="F32" s="20"/>
      <c r="G32" s="20"/>
      <c r="H32" s="20"/>
      <c r="I32" s="20"/>
      <c r="J32" s="1579"/>
      <c r="K32" s="20"/>
      <c r="L32" s="20"/>
    </row>
    <row r="33" spans="1:12" s="100" customFormat="1" ht="15.75">
      <c r="A33" s="20"/>
      <c r="B33" s="759">
        <f>+B30+1</f>
        <v>14</v>
      </c>
      <c r="C33" s="21"/>
      <c r="D33" s="20"/>
      <c r="E33" s="20" t="s">
        <v>145</v>
      </c>
      <c r="G33" s="903" t="s">
        <v>1638</v>
      </c>
      <c r="H33" s="20"/>
      <c r="I33" s="20"/>
      <c r="J33" s="1577">
        <f>'WP-AC'!D24</f>
        <v>-731125.30376032216</v>
      </c>
      <c r="L33" s="20"/>
    </row>
    <row r="34" spans="1:12" s="100" customFormat="1" ht="15.75">
      <c r="A34" s="20"/>
      <c r="B34" s="759">
        <f t="shared" si="0"/>
        <v>15</v>
      </c>
      <c r="C34" s="21"/>
      <c r="D34" s="20"/>
      <c r="E34" s="20" t="s">
        <v>769</v>
      </c>
      <c r="G34" s="903" t="s">
        <v>1639</v>
      </c>
      <c r="H34" s="20"/>
      <c r="I34" s="20"/>
      <c r="J34" s="1577">
        <f>'WP-AD'!D24</f>
        <v>-818241.33546066424</v>
      </c>
      <c r="L34" s="20"/>
    </row>
    <row r="35" spans="1:12" s="909" customFormat="1" ht="15.75">
      <c r="A35" s="368"/>
      <c r="B35" s="904">
        <f t="shared" si="0"/>
        <v>16</v>
      </c>
      <c r="C35" s="905"/>
      <c r="D35" s="368"/>
      <c r="E35" s="368" t="s">
        <v>757</v>
      </c>
      <c r="F35" s="906"/>
      <c r="G35" s="907" t="s">
        <v>1640</v>
      </c>
      <c r="H35" s="368"/>
      <c r="I35" s="368"/>
      <c r="J35" s="1591">
        <f>-'WP-AE'!H36</f>
        <v>-117349.97</v>
      </c>
      <c r="K35" s="906"/>
      <c r="L35" s="908"/>
    </row>
    <row r="36" spans="1:12" s="100" customFormat="1" ht="16.5" thickBot="1">
      <c r="A36" s="20"/>
      <c r="B36" s="759"/>
      <c r="C36" s="21"/>
      <c r="D36" s="20"/>
      <c r="E36" s="20"/>
      <c r="F36" s="910"/>
      <c r="G36" s="910"/>
      <c r="H36" s="20"/>
      <c r="I36" s="20"/>
      <c r="J36" s="911"/>
      <c r="K36" s="20"/>
      <c r="L36" s="20"/>
    </row>
    <row r="37" spans="1:12" s="100" customFormat="1" ht="17.25" thickTop="1" thickBot="1">
      <c r="A37" s="20"/>
      <c r="B37" s="912">
        <f>B35+1</f>
        <v>17</v>
      </c>
      <c r="C37" s="913"/>
      <c r="D37" s="914"/>
      <c r="E37" s="915" t="s">
        <v>350</v>
      </c>
      <c r="F37" s="914"/>
      <c r="G37" s="914" t="s">
        <v>819</v>
      </c>
      <c r="H37" s="914"/>
      <c r="I37" s="914"/>
      <c r="J37" s="916">
        <f>SUM(J30:J36)</f>
        <v>61189306.31077902</v>
      </c>
      <c r="K37" s="914"/>
      <c r="L37" s="20"/>
    </row>
    <row r="38" spans="1:12" s="100" customFormat="1" ht="15.75" thickTop="1">
      <c r="A38" s="20"/>
      <c r="B38" s="917" t="s">
        <v>768</v>
      </c>
      <c r="C38" s="158" t="s">
        <v>767</v>
      </c>
      <c r="D38" s="914"/>
      <c r="E38" s="914"/>
      <c r="F38" s="914"/>
      <c r="G38" s="914"/>
      <c r="H38" s="914"/>
      <c r="I38" s="914"/>
      <c r="J38" s="914"/>
      <c r="K38" s="914"/>
      <c r="L38" s="20"/>
    </row>
    <row r="39" spans="1:12" s="27" customFormat="1" ht="15">
      <c r="B39" s="100" t="s">
        <v>838</v>
      </c>
      <c r="C39" s="100" t="s">
        <v>1161</v>
      </c>
      <c r="D39" s="100"/>
      <c r="E39" s="100"/>
      <c r="F39" s="100"/>
      <c r="G39" s="100"/>
      <c r="H39" s="100"/>
      <c r="I39" s="100"/>
      <c r="J39" s="100"/>
      <c r="K39" s="100"/>
    </row>
    <row r="40" spans="1:12" s="63" customFormat="1" ht="15.75">
      <c r="B40" s="64"/>
      <c r="C40" s="64"/>
      <c r="D40" s="64"/>
      <c r="E40" s="64"/>
      <c r="F40" s="64"/>
      <c r="G40" s="64"/>
      <c r="H40" s="64"/>
      <c r="I40" s="64"/>
      <c r="J40" s="64"/>
      <c r="K40" s="64"/>
    </row>
    <row r="41" spans="1:12" s="63" customFormat="1" ht="15.75">
      <c r="B41" s="64"/>
      <c r="C41" s="64"/>
      <c r="D41" s="64"/>
      <c r="E41" s="64"/>
      <c r="F41" s="64"/>
      <c r="G41" s="64"/>
      <c r="H41" s="64"/>
      <c r="I41" s="64"/>
      <c r="J41" s="64"/>
      <c r="K41" s="64"/>
    </row>
    <row r="42" spans="1:12" ht="15.75">
      <c r="B42" s="64"/>
      <c r="C42" s="64"/>
      <c r="D42" s="64"/>
      <c r="E42" s="64"/>
      <c r="F42" s="64"/>
      <c r="G42" s="64"/>
      <c r="H42" s="64"/>
      <c r="I42" s="64"/>
      <c r="J42" s="64"/>
      <c r="K42" s="64"/>
    </row>
  </sheetData>
  <customSheetViews>
    <customSheetView guid="{B321D76C-CDE5-48BB-9CDE-80FF97D58FCF}" scale="90" colorId="22" showPageBreaks="1" showGridLines="0" fitToPage="1" printArea="1" view="pageBreakPreview">
      <selection activeCell="D33" sqref="D33"/>
      <rowBreaks count="1" manualBreakCount="1">
        <brk id="43" max="10" man="1"/>
      </rowBreaks>
      <colBreaks count="2" manualBreakCount="2">
        <brk id="13" max="1048575" man="1"/>
        <brk id="14" max="1048575" man="1"/>
      </colBreaks>
      <pageMargins left="0" right="0" top="0.25" bottom="0.25" header="0.5" footer="0.5"/>
      <printOptions horizontalCentered="1"/>
      <pageSetup scale="87" orientation="landscape" r:id="rId1"/>
      <headerFooter alignWithMargins="0"/>
    </customSheetView>
  </customSheetViews>
  <mergeCells count="5">
    <mergeCell ref="A3:K3"/>
    <mergeCell ref="A4:K4"/>
    <mergeCell ref="A8:K8"/>
    <mergeCell ref="A5:K5"/>
    <mergeCell ref="A7:K7"/>
  </mergeCells>
  <phoneticPr fontId="0" type="noConversion"/>
  <printOptions horizontalCentered="1"/>
  <pageMargins left="0" right="0" top="0.25" bottom="0.25" header="0.5" footer="0.5"/>
  <pageSetup scale="85" orientation="landscape" r:id="rId2"/>
  <headerFooter alignWithMargins="0"/>
  <rowBreaks count="1" manualBreakCount="1">
    <brk id="43" max="10" man="1"/>
  </rowBreaks>
  <colBreaks count="2" manualBreakCount="2">
    <brk id="13" max="1048575" man="1"/>
    <brk id="14" max="1048575" man="1"/>
  </colBreak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pageSetUpPr fitToPage="1"/>
  </sheetPr>
  <dimension ref="A1:S45"/>
  <sheetViews>
    <sheetView tabSelected="1" view="pageBreakPreview" topLeftCell="A9" zoomScale="90" zoomScaleNormal="100" zoomScaleSheetLayoutView="90" workbookViewId="0">
      <selection activeCell="C30" sqref="C30"/>
    </sheetView>
  </sheetViews>
  <sheetFormatPr defaultRowHeight="12.75"/>
  <cols>
    <col min="1" max="1" width="3.125" style="34" customWidth="1"/>
    <col min="2" max="2" width="46" style="34" customWidth="1"/>
    <col min="3" max="3" width="2.375" style="34" customWidth="1"/>
    <col min="4" max="4" width="1.75" style="34" customWidth="1"/>
    <col min="5" max="5" width="18.25" style="34" customWidth="1"/>
    <col min="6" max="6" width="18.375" style="34" bestFit="1" customWidth="1"/>
    <col min="7" max="7" width="17.75" style="34" bestFit="1" customWidth="1"/>
    <col min="8" max="8" width="14.5" style="34" customWidth="1"/>
    <col min="9" max="9" width="18.75" style="34" customWidth="1"/>
    <col min="10" max="10" width="18.375" style="34" bestFit="1" customWidth="1"/>
    <col min="11" max="11" width="24.75" style="34" customWidth="1"/>
    <col min="12" max="12" width="14.5" style="34" customWidth="1"/>
    <col min="13" max="13" width="3.5" style="34" customWidth="1"/>
    <col min="14" max="249" width="9" style="34"/>
    <col min="250" max="250" width="11.5" style="34" bestFit="1" customWidth="1"/>
    <col min="251" max="251" width="1.75" style="34" customWidth="1"/>
    <col min="252" max="252" width="42.5" style="34" bestFit="1" customWidth="1"/>
    <col min="253" max="253" width="2.75" style="34" customWidth="1"/>
    <col min="254" max="254" width="11" style="34" bestFit="1" customWidth="1"/>
    <col min="255" max="255" width="2.75" style="34" customWidth="1"/>
    <col min="256" max="256" width="12.125" style="34" bestFit="1" customWidth="1"/>
    <col min="257" max="257" width="2.5" style="34" customWidth="1"/>
    <col min="258" max="258" width="11.25" style="34" bestFit="1" customWidth="1"/>
    <col min="259" max="259" width="2.75" style="34" customWidth="1"/>
    <col min="260" max="260" width="11.5" style="34" bestFit="1" customWidth="1"/>
    <col min="261" max="261" width="2.5" style="34" customWidth="1"/>
    <col min="262" max="262" width="11" style="34" bestFit="1" customWidth="1"/>
    <col min="263" max="263" width="3.375" style="34" customWidth="1"/>
    <col min="264" max="264" width="10.75" style="34" bestFit="1" customWidth="1"/>
    <col min="265" max="265" width="3.125" style="34" customWidth="1"/>
    <col min="266" max="266" width="11.25" style="34" bestFit="1" customWidth="1"/>
    <col min="267" max="267" width="2.5" style="34" customWidth="1"/>
    <col min="268" max="268" width="11.5" style="34" bestFit="1" customWidth="1"/>
    <col min="269" max="269" width="9.75" style="34" bestFit="1" customWidth="1"/>
    <col min="270" max="505" width="9" style="34"/>
    <col min="506" max="506" width="11.5" style="34" bestFit="1" customWidth="1"/>
    <col min="507" max="507" width="1.75" style="34" customWidth="1"/>
    <col min="508" max="508" width="42.5" style="34" bestFit="1" customWidth="1"/>
    <col min="509" max="509" width="2.75" style="34" customWidth="1"/>
    <col min="510" max="510" width="11" style="34" bestFit="1" customWidth="1"/>
    <col min="511" max="511" width="2.75" style="34" customWidth="1"/>
    <col min="512" max="512" width="12.125" style="34" bestFit="1" customWidth="1"/>
    <col min="513" max="513" width="2.5" style="34" customWidth="1"/>
    <col min="514" max="514" width="11.25" style="34" bestFit="1" customWidth="1"/>
    <col min="515" max="515" width="2.75" style="34" customWidth="1"/>
    <col min="516" max="516" width="11.5" style="34" bestFit="1" customWidth="1"/>
    <col min="517" max="517" width="2.5" style="34" customWidth="1"/>
    <col min="518" max="518" width="11" style="34" bestFit="1" customWidth="1"/>
    <col min="519" max="519" width="3.375" style="34" customWidth="1"/>
    <col min="520" max="520" width="10.75" style="34" bestFit="1" customWidth="1"/>
    <col min="521" max="521" width="3.125" style="34" customWidth="1"/>
    <col min="522" max="522" width="11.25" style="34" bestFit="1" customWidth="1"/>
    <col min="523" max="523" width="2.5" style="34" customWidth="1"/>
    <col min="524" max="524" width="11.5" style="34" bestFit="1" customWidth="1"/>
    <col min="525" max="525" width="9.75" style="34" bestFit="1" customWidth="1"/>
    <col min="526" max="761" width="9" style="34"/>
    <col min="762" max="762" width="11.5" style="34" bestFit="1" customWidth="1"/>
    <col min="763" max="763" width="1.75" style="34" customWidth="1"/>
    <col min="764" max="764" width="42.5" style="34" bestFit="1" customWidth="1"/>
    <col min="765" max="765" width="2.75" style="34" customWidth="1"/>
    <col min="766" max="766" width="11" style="34" bestFit="1" customWidth="1"/>
    <col min="767" max="767" width="2.75" style="34" customWidth="1"/>
    <col min="768" max="768" width="12.125" style="34" bestFit="1" customWidth="1"/>
    <col min="769" max="769" width="2.5" style="34" customWidth="1"/>
    <col min="770" max="770" width="11.25" style="34" bestFit="1" customWidth="1"/>
    <col min="771" max="771" width="2.75" style="34" customWidth="1"/>
    <col min="772" max="772" width="11.5" style="34" bestFit="1" customWidth="1"/>
    <col min="773" max="773" width="2.5" style="34" customWidth="1"/>
    <col min="774" max="774" width="11" style="34" bestFit="1" customWidth="1"/>
    <col min="775" max="775" width="3.375" style="34" customWidth="1"/>
    <col min="776" max="776" width="10.75" style="34" bestFit="1" customWidth="1"/>
    <col min="777" max="777" width="3.125" style="34" customWidth="1"/>
    <col min="778" max="778" width="11.25" style="34" bestFit="1" customWidth="1"/>
    <col min="779" max="779" width="2.5" style="34" customWidth="1"/>
    <col min="780" max="780" width="11.5" style="34" bestFit="1" customWidth="1"/>
    <col min="781" max="781" width="9.75" style="34" bestFit="1" customWidth="1"/>
    <col min="782" max="1017" width="9" style="34"/>
    <col min="1018" max="1018" width="11.5" style="34" bestFit="1" customWidth="1"/>
    <col min="1019" max="1019" width="1.75" style="34" customWidth="1"/>
    <col min="1020" max="1020" width="42.5" style="34" bestFit="1" customWidth="1"/>
    <col min="1021" max="1021" width="2.75" style="34" customWidth="1"/>
    <col min="1022" max="1022" width="11" style="34" bestFit="1" customWidth="1"/>
    <col min="1023" max="1023" width="2.75" style="34" customWidth="1"/>
    <col min="1024" max="1024" width="12.125" style="34" bestFit="1" customWidth="1"/>
    <col min="1025" max="1025" width="2.5" style="34" customWidth="1"/>
    <col min="1026" max="1026" width="11.25" style="34" bestFit="1" customWidth="1"/>
    <col min="1027" max="1027" width="2.75" style="34" customWidth="1"/>
    <col min="1028" max="1028" width="11.5" style="34" bestFit="1" customWidth="1"/>
    <col min="1029" max="1029" width="2.5" style="34" customWidth="1"/>
    <col min="1030" max="1030" width="11" style="34" bestFit="1" customWidth="1"/>
    <col min="1031" max="1031" width="3.375" style="34" customWidth="1"/>
    <col min="1032" max="1032" width="10.75" style="34" bestFit="1" customWidth="1"/>
    <col min="1033" max="1033" width="3.125" style="34" customWidth="1"/>
    <col min="1034" max="1034" width="11.25" style="34" bestFit="1" customWidth="1"/>
    <col min="1035" max="1035" width="2.5" style="34" customWidth="1"/>
    <col min="1036" max="1036" width="11.5" style="34" bestFit="1" customWidth="1"/>
    <col min="1037" max="1037" width="9.75" style="34" bestFit="1" customWidth="1"/>
    <col min="1038" max="1273" width="9" style="34"/>
    <col min="1274" max="1274" width="11.5" style="34" bestFit="1" customWidth="1"/>
    <col min="1275" max="1275" width="1.75" style="34" customWidth="1"/>
    <col min="1276" max="1276" width="42.5" style="34" bestFit="1" customWidth="1"/>
    <col min="1277" max="1277" width="2.75" style="34" customWidth="1"/>
    <col min="1278" max="1278" width="11" style="34" bestFit="1" customWidth="1"/>
    <col min="1279" max="1279" width="2.75" style="34" customWidth="1"/>
    <col min="1280" max="1280" width="12.125" style="34" bestFit="1" customWidth="1"/>
    <col min="1281" max="1281" width="2.5" style="34" customWidth="1"/>
    <col min="1282" max="1282" width="11.25" style="34" bestFit="1" customWidth="1"/>
    <col min="1283" max="1283" width="2.75" style="34" customWidth="1"/>
    <col min="1284" max="1284" width="11.5" style="34" bestFit="1" customWidth="1"/>
    <col min="1285" max="1285" width="2.5" style="34" customWidth="1"/>
    <col min="1286" max="1286" width="11" style="34" bestFit="1" customWidth="1"/>
    <col min="1287" max="1287" width="3.375" style="34" customWidth="1"/>
    <col min="1288" max="1288" width="10.75" style="34" bestFit="1" customWidth="1"/>
    <col min="1289" max="1289" width="3.125" style="34" customWidth="1"/>
    <col min="1290" max="1290" width="11.25" style="34" bestFit="1" customWidth="1"/>
    <col min="1291" max="1291" width="2.5" style="34" customWidth="1"/>
    <col min="1292" max="1292" width="11.5" style="34" bestFit="1" customWidth="1"/>
    <col min="1293" max="1293" width="9.75" style="34" bestFit="1" customWidth="1"/>
    <col min="1294" max="1529" width="9" style="34"/>
    <col min="1530" max="1530" width="11.5" style="34" bestFit="1" customWidth="1"/>
    <col min="1531" max="1531" width="1.75" style="34" customWidth="1"/>
    <col min="1532" max="1532" width="42.5" style="34" bestFit="1" customWidth="1"/>
    <col min="1533" max="1533" width="2.75" style="34" customWidth="1"/>
    <col min="1534" max="1534" width="11" style="34" bestFit="1" customWidth="1"/>
    <col min="1535" max="1535" width="2.75" style="34" customWidth="1"/>
    <col min="1536" max="1536" width="12.125" style="34" bestFit="1" customWidth="1"/>
    <col min="1537" max="1537" width="2.5" style="34" customWidth="1"/>
    <col min="1538" max="1538" width="11.25" style="34" bestFit="1" customWidth="1"/>
    <col min="1539" max="1539" width="2.75" style="34" customWidth="1"/>
    <col min="1540" max="1540" width="11.5" style="34" bestFit="1" customWidth="1"/>
    <col min="1541" max="1541" width="2.5" style="34" customWidth="1"/>
    <col min="1542" max="1542" width="11" style="34" bestFit="1" customWidth="1"/>
    <col min="1543" max="1543" width="3.375" style="34" customWidth="1"/>
    <col min="1544" max="1544" width="10.75" style="34" bestFit="1" customWidth="1"/>
    <col min="1545" max="1545" width="3.125" style="34" customWidth="1"/>
    <col min="1546" max="1546" width="11.25" style="34" bestFit="1" customWidth="1"/>
    <col min="1547" max="1547" width="2.5" style="34" customWidth="1"/>
    <col min="1548" max="1548" width="11.5" style="34" bestFit="1" customWidth="1"/>
    <col min="1549" max="1549" width="9.75" style="34" bestFit="1" customWidth="1"/>
    <col min="1550" max="1785" width="9" style="34"/>
    <col min="1786" max="1786" width="11.5" style="34" bestFit="1" customWidth="1"/>
    <col min="1787" max="1787" width="1.75" style="34" customWidth="1"/>
    <col min="1788" max="1788" width="42.5" style="34" bestFit="1" customWidth="1"/>
    <col min="1789" max="1789" width="2.75" style="34" customWidth="1"/>
    <col min="1790" max="1790" width="11" style="34" bestFit="1" customWidth="1"/>
    <col min="1791" max="1791" width="2.75" style="34" customWidth="1"/>
    <col min="1792" max="1792" width="12.125" style="34" bestFit="1" customWidth="1"/>
    <col min="1793" max="1793" width="2.5" style="34" customWidth="1"/>
    <col min="1794" max="1794" width="11.25" style="34" bestFit="1" customWidth="1"/>
    <col min="1795" max="1795" width="2.75" style="34" customWidth="1"/>
    <col min="1796" max="1796" width="11.5" style="34" bestFit="1" customWidth="1"/>
    <col min="1797" max="1797" width="2.5" style="34" customWidth="1"/>
    <col min="1798" max="1798" width="11" style="34" bestFit="1" customWidth="1"/>
    <col min="1799" max="1799" width="3.375" style="34" customWidth="1"/>
    <col min="1800" max="1800" width="10.75" style="34" bestFit="1" customWidth="1"/>
    <col min="1801" max="1801" width="3.125" style="34" customWidth="1"/>
    <col min="1802" max="1802" width="11.25" style="34" bestFit="1" customWidth="1"/>
    <col min="1803" max="1803" width="2.5" style="34" customWidth="1"/>
    <col min="1804" max="1804" width="11.5" style="34" bestFit="1" customWidth="1"/>
    <col min="1805" max="1805" width="9.75" style="34" bestFit="1" customWidth="1"/>
    <col min="1806" max="2041" width="9" style="34"/>
    <col min="2042" max="2042" width="11.5" style="34" bestFit="1" customWidth="1"/>
    <col min="2043" max="2043" width="1.75" style="34" customWidth="1"/>
    <col min="2044" max="2044" width="42.5" style="34" bestFit="1" customWidth="1"/>
    <col min="2045" max="2045" width="2.75" style="34" customWidth="1"/>
    <col min="2046" max="2046" width="11" style="34" bestFit="1" customWidth="1"/>
    <col min="2047" max="2047" width="2.75" style="34" customWidth="1"/>
    <col min="2048" max="2048" width="12.125" style="34" bestFit="1" customWidth="1"/>
    <col min="2049" max="2049" width="2.5" style="34" customWidth="1"/>
    <col min="2050" max="2050" width="11.25" style="34" bestFit="1" customWidth="1"/>
    <col min="2051" max="2051" width="2.75" style="34" customWidth="1"/>
    <col min="2052" max="2052" width="11.5" style="34" bestFit="1" customWidth="1"/>
    <col min="2053" max="2053" width="2.5" style="34" customWidth="1"/>
    <col min="2054" max="2054" width="11" style="34" bestFit="1" customWidth="1"/>
    <col min="2055" max="2055" width="3.375" style="34" customWidth="1"/>
    <col min="2056" max="2056" width="10.75" style="34" bestFit="1" customWidth="1"/>
    <col min="2057" max="2057" width="3.125" style="34" customWidth="1"/>
    <col min="2058" max="2058" width="11.25" style="34" bestFit="1" customWidth="1"/>
    <col min="2059" max="2059" width="2.5" style="34" customWidth="1"/>
    <col min="2060" max="2060" width="11.5" style="34" bestFit="1" customWidth="1"/>
    <col min="2061" max="2061" width="9.75" style="34" bestFit="1" customWidth="1"/>
    <col min="2062" max="2297" width="9" style="34"/>
    <col min="2298" max="2298" width="11.5" style="34" bestFit="1" customWidth="1"/>
    <col min="2299" max="2299" width="1.75" style="34" customWidth="1"/>
    <col min="2300" max="2300" width="42.5" style="34" bestFit="1" customWidth="1"/>
    <col min="2301" max="2301" width="2.75" style="34" customWidth="1"/>
    <col min="2302" max="2302" width="11" style="34" bestFit="1" customWidth="1"/>
    <col min="2303" max="2303" width="2.75" style="34" customWidth="1"/>
    <col min="2304" max="2304" width="12.125" style="34" bestFit="1" customWidth="1"/>
    <col min="2305" max="2305" width="2.5" style="34" customWidth="1"/>
    <col min="2306" max="2306" width="11.25" style="34" bestFit="1" customWidth="1"/>
    <col min="2307" max="2307" width="2.75" style="34" customWidth="1"/>
    <col min="2308" max="2308" width="11.5" style="34" bestFit="1" customWidth="1"/>
    <col min="2309" max="2309" width="2.5" style="34" customWidth="1"/>
    <col min="2310" max="2310" width="11" style="34" bestFit="1" customWidth="1"/>
    <col min="2311" max="2311" width="3.375" style="34" customWidth="1"/>
    <col min="2312" max="2312" width="10.75" style="34" bestFit="1" customWidth="1"/>
    <col min="2313" max="2313" width="3.125" style="34" customWidth="1"/>
    <col min="2314" max="2314" width="11.25" style="34" bestFit="1" customWidth="1"/>
    <col min="2315" max="2315" width="2.5" style="34" customWidth="1"/>
    <col min="2316" max="2316" width="11.5" style="34" bestFit="1" customWidth="1"/>
    <col min="2317" max="2317" width="9.75" style="34" bestFit="1" customWidth="1"/>
    <col min="2318" max="2553" width="9" style="34"/>
    <col min="2554" max="2554" width="11.5" style="34" bestFit="1" customWidth="1"/>
    <col min="2555" max="2555" width="1.75" style="34" customWidth="1"/>
    <col min="2556" max="2556" width="42.5" style="34" bestFit="1" customWidth="1"/>
    <col min="2557" max="2557" width="2.75" style="34" customWidth="1"/>
    <col min="2558" max="2558" width="11" style="34" bestFit="1" customWidth="1"/>
    <col min="2559" max="2559" width="2.75" style="34" customWidth="1"/>
    <col min="2560" max="2560" width="12.125" style="34" bestFit="1" customWidth="1"/>
    <col min="2561" max="2561" width="2.5" style="34" customWidth="1"/>
    <col min="2562" max="2562" width="11.25" style="34" bestFit="1" customWidth="1"/>
    <col min="2563" max="2563" width="2.75" style="34" customWidth="1"/>
    <col min="2564" max="2564" width="11.5" style="34" bestFit="1" customWidth="1"/>
    <col min="2565" max="2565" width="2.5" style="34" customWidth="1"/>
    <col min="2566" max="2566" width="11" style="34" bestFit="1" customWidth="1"/>
    <col min="2567" max="2567" width="3.375" style="34" customWidth="1"/>
    <col min="2568" max="2568" width="10.75" style="34" bestFit="1" customWidth="1"/>
    <col min="2569" max="2569" width="3.125" style="34" customWidth="1"/>
    <col min="2570" max="2570" width="11.25" style="34" bestFit="1" customWidth="1"/>
    <col min="2571" max="2571" width="2.5" style="34" customWidth="1"/>
    <col min="2572" max="2572" width="11.5" style="34" bestFit="1" customWidth="1"/>
    <col min="2573" max="2573" width="9.75" style="34" bestFit="1" customWidth="1"/>
    <col min="2574" max="2809" width="9" style="34"/>
    <col min="2810" max="2810" width="11.5" style="34" bestFit="1" customWidth="1"/>
    <col min="2811" max="2811" width="1.75" style="34" customWidth="1"/>
    <col min="2812" max="2812" width="42.5" style="34" bestFit="1" customWidth="1"/>
    <col min="2813" max="2813" width="2.75" style="34" customWidth="1"/>
    <col min="2814" max="2814" width="11" style="34" bestFit="1" customWidth="1"/>
    <col min="2815" max="2815" width="2.75" style="34" customWidth="1"/>
    <col min="2816" max="2816" width="12.125" style="34" bestFit="1" customWidth="1"/>
    <col min="2817" max="2817" width="2.5" style="34" customWidth="1"/>
    <col min="2818" max="2818" width="11.25" style="34" bestFit="1" customWidth="1"/>
    <col min="2819" max="2819" width="2.75" style="34" customWidth="1"/>
    <col min="2820" max="2820" width="11.5" style="34" bestFit="1" customWidth="1"/>
    <col min="2821" max="2821" width="2.5" style="34" customWidth="1"/>
    <col min="2822" max="2822" width="11" style="34" bestFit="1" customWidth="1"/>
    <col min="2823" max="2823" width="3.375" style="34" customWidth="1"/>
    <col min="2824" max="2824" width="10.75" style="34" bestFit="1" customWidth="1"/>
    <col min="2825" max="2825" width="3.125" style="34" customWidth="1"/>
    <col min="2826" max="2826" width="11.25" style="34" bestFit="1" customWidth="1"/>
    <col min="2827" max="2827" width="2.5" style="34" customWidth="1"/>
    <col min="2828" max="2828" width="11.5" style="34" bestFit="1" customWidth="1"/>
    <col min="2829" max="2829" width="9.75" style="34" bestFit="1" customWidth="1"/>
    <col min="2830" max="3065" width="9" style="34"/>
    <col min="3066" max="3066" width="11.5" style="34" bestFit="1" customWidth="1"/>
    <col min="3067" max="3067" width="1.75" style="34" customWidth="1"/>
    <col min="3068" max="3068" width="42.5" style="34" bestFit="1" customWidth="1"/>
    <col min="3069" max="3069" width="2.75" style="34" customWidth="1"/>
    <col min="3070" max="3070" width="11" style="34" bestFit="1" customWidth="1"/>
    <col min="3071" max="3071" width="2.75" style="34" customWidth="1"/>
    <col min="3072" max="3072" width="12.125" style="34" bestFit="1" customWidth="1"/>
    <col min="3073" max="3073" width="2.5" style="34" customWidth="1"/>
    <col min="3074" max="3074" width="11.25" style="34" bestFit="1" customWidth="1"/>
    <col min="3075" max="3075" width="2.75" style="34" customWidth="1"/>
    <col min="3076" max="3076" width="11.5" style="34" bestFit="1" customWidth="1"/>
    <col min="3077" max="3077" width="2.5" style="34" customWidth="1"/>
    <col min="3078" max="3078" width="11" style="34" bestFit="1" customWidth="1"/>
    <col min="3079" max="3079" width="3.375" style="34" customWidth="1"/>
    <col min="3080" max="3080" width="10.75" style="34" bestFit="1" customWidth="1"/>
    <col min="3081" max="3081" width="3.125" style="34" customWidth="1"/>
    <col min="3082" max="3082" width="11.25" style="34" bestFit="1" customWidth="1"/>
    <col min="3083" max="3083" width="2.5" style="34" customWidth="1"/>
    <col min="3084" max="3084" width="11.5" style="34" bestFit="1" customWidth="1"/>
    <col min="3085" max="3085" width="9.75" style="34" bestFit="1" customWidth="1"/>
    <col min="3086" max="3321" width="9" style="34"/>
    <col min="3322" max="3322" width="11.5" style="34" bestFit="1" customWidth="1"/>
    <col min="3323" max="3323" width="1.75" style="34" customWidth="1"/>
    <col min="3324" max="3324" width="42.5" style="34" bestFit="1" customWidth="1"/>
    <col min="3325" max="3325" width="2.75" style="34" customWidth="1"/>
    <col min="3326" max="3326" width="11" style="34" bestFit="1" customWidth="1"/>
    <col min="3327" max="3327" width="2.75" style="34" customWidth="1"/>
    <col min="3328" max="3328" width="12.125" style="34" bestFit="1" customWidth="1"/>
    <col min="3329" max="3329" width="2.5" style="34" customWidth="1"/>
    <col min="3330" max="3330" width="11.25" style="34" bestFit="1" customWidth="1"/>
    <col min="3331" max="3331" width="2.75" style="34" customWidth="1"/>
    <col min="3332" max="3332" width="11.5" style="34" bestFit="1" customWidth="1"/>
    <col min="3333" max="3333" width="2.5" style="34" customWidth="1"/>
    <col min="3334" max="3334" width="11" style="34" bestFit="1" customWidth="1"/>
    <col min="3335" max="3335" width="3.375" style="34" customWidth="1"/>
    <col min="3336" max="3336" width="10.75" style="34" bestFit="1" customWidth="1"/>
    <col min="3337" max="3337" width="3.125" style="34" customWidth="1"/>
    <col min="3338" max="3338" width="11.25" style="34" bestFit="1" customWidth="1"/>
    <col min="3339" max="3339" width="2.5" style="34" customWidth="1"/>
    <col min="3340" max="3340" width="11.5" style="34" bestFit="1" customWidth="1"/>
    <col min="3341" max="3341" width="9.75" style="34" bestFit="1" customWidth="1"/>
    <col min="3342" max="3577" width="9" style="34"/>
    <col min="3578" max="3578" width="11.5" style="34" bestFit="1" customWidth="1"/>
    <col min="3579" max="3579" width="1.75" style="34" customWidth="1"/>
    <col min="3580" max="3580" width="42.5" style="34" bestFit="1" customWidth="1"/>
    <col min="3581" max="3581" width="2.75" style="34" customWidth="1"/>
    <col min="3582" max="3582" width="11" style="34" bestFit="1" customWidth="1"/>
    <col min="3583" max="3583" width="2.75" style="34" customWidth="1"/>
    <col min="3584" max="3584" width="12.125" style="34" bestFit="1" customWidth="1"/>
    <col min="3585" max="3585" width="2.5" style="34" customWidth="1"/>
    <col min="3586" max="3586" width="11.25" style="34" bestFit="1" customWidth="1"/>
    <col min="3587" max="3587" width="2.75" style="34" customWidth="1"/>
    <col min="3588" max="3588" width="11.5" style="34" bestFit="1" customWidth="1"/>
    <col min="3589" max="3589" width="2.5" style="34" customWidth="1"/>
    <col min="3590" max="3590" width="11" style="34" bestFit="1" customWidth="1"/>
    <col min="3591" max="3591" width="3.375" style="34" customWidth="1"/>
    <col min="3592" max="3592" width="10.75" style="34" bestFit="1" customWidth="1"/>
    <col min="3593" max="3593" width="3.125" style="34" customWidth="1"/>
    <col min="3594" max="3594" width="11.25" style="34" bestFit="1" customWidth="1"/>
    <col min="3595" max="3595" width="2.5" style="34" customWidth="1"/>
    <col min="3596" max="3596" width="11.5" style="34" bestFit="1" customWidth="1"/>
    <col min="3597" max="3597" width="9.75" style="34" bestFit="1" customWidth="1"/>
    <col min="3598" max="3833" width="9" style="34"/>
    <col min="3834" max="3834" width="11.5" style="34" bestFit="1" customWidth="1"/>
    <col min="3835" max="3835" width="1.75" style="34" customWidth="1"/>
    <col min="3836" max="3836" width="42.5" style="34" bestFit="1" customWidth="1"/>
    <col min="3837" max="3837" width="2.75" style="34" customWidth="1"/>
    <col min="3838" max="3838" width="11" style="34" bestFit="1" customWidth="1"/>
    <col min="3839" max="3839" width="2.75" style="34" customWidth="1"/>
    <col min="3840" max="3840" width="12.125" style="34" bestFit="1" customWidth="1"/>
    <col min="3841" max="3841" width="2.5" style="34" customWidth="1"/>
    <col min="3842" max="3842" width="11.25" style="34" bestFit="1" customWidth="1"/>
    <col min="3843" max="3843" width="2.75" style="34" customWidth="1"/>
    <col min="3844" max="3844" width="11.5" style="34" bestFit="1" customWidth="1"/>
    <col min="3845" max="3845" width="2.5" style="34" customWidth="1"/>
    <col min="3846" max="3846" width="11" style="34" bestFit="1" customWidth="1"/>
    <col min="3847" max="3847" width="3.375" style="34" customWidth="1"/>
    <col min="3848" max="3848" width="10.75" style="34" bestFit="1" customWidth="1"/>
    <col min="3849" max="3849" width="3.125" style="34" customWidth="1"/>
    <col min="3850" max="3850" width="11.25" style="34" bestFit="1" customWidth="1"/>
    <col min="3851" max="3851" width="2.5" style="34" customWidth="1"/>
    <col min="3852" max="3852" width="11.5" style="34" bestFit="1" customWidth="1"/>
    <col min="3853" max="3853" width="9.75" style="34" bestFit="1" customWidth="1"/>
    <col min="3854" max="4089" width="9" style="34"/>
    <col min="4090" max="4090" width="11.5" style="34" bestFit="1" customWidth="1"/>
    <col min="4091" max="4091" width="1.75" style="34" customWidth="1"/>
    <col min="4092" max="4092" width="42.5" style="34" bestFit="1" customWidth="1"/>
    <col min="4093" max="4093" width="2.75" style="34" customWidth="1"/>
    <col min="4094" max="4094" width="11" style="34" bestFit="1" customWidth="1"/>
    <col min="4095" max="4095" width="2.75" style="34" customWidth="1"/>
    <col min="4096" max="4096" width="12.125" style="34" bestFit="1" customWidth="1"/>
    <col min="4097" max="4097" width="2.5" style="34" customWidth="1"/>
    <col min="4098" max="4098" width="11.25" style="34" bestFit="1" customWidth="1"/>
    <col min="4099" max="4099" width="2.75" style="34" customWidth="1"/>
    <col min="4100" max="4100" width="11.5" style="34" bestFit="1" customWidth="1"/>
    <col min="4101" max="4101" width="2.5" style="34" customWidth="1"/>
    <col min="4102" max="4102" width="11" style="34" bestFit="1" customWidth="1"/>
    <col min="4103" max="4103" width="3.375" style="34" customWidth="1"/>
    <col min="4104" max="4104" width="10.75" style="34" bestFit="1" customWidth="1"/>
    <col min="4105" max="4105" width="3.125" style="34" customWidth="1"/>
    <col min="4106" max="4106" width="11.25" style="34" bestFit="1" customWidth="1"/>
    <col min="4107" max="4107" width="2.5" style="34" customWidth="1"/>
    <col min="4108" max="4108" width="11.5" style="34" bestFit="1" customWidth="1"/>
    <col min="4109" max="4109" width="9.75" style="34" bestFit="1" customWidth="1"/>
    <col min="4110" max="4345" width="9" style="34"/>
    <col min="4346" max="4346" width="11.5" style="34" bestFit="1" customWidth="1"/>
    <col min="4347" max="4347" width="1.75" style="34" customWidth="1"/>
    <col min="4348" max="4348" width="42.5" style="34" bestFit="1" customWidth="1"/>
    <col min="4349" max="4349" width="2.75" style="34" customWidth="1"/>
    <col min="4350" max="4350" width="11" style="34" bestFit="1" customWidth="1"/>
    <col min="4351" max="4351" width="2.75" style="34" customWidth="1"/>
    <col min="4352" max="4352" width="12.125" style="34" bestFit="1" customWidth="1"/>
    <col min="4353" max="4353" width="2.5" style="34" customWidth="1"/>
    <col min="4354" max="4354" width="11.25" style="34" bestFit="1" customWidth="1"/>
    <col min="4355" max="4355" width="2.75" style="34" customWidth="1"/>
    <col min="4356" max="4356" width="11.5" style="34" bestFit="1" customWidth="1"/>
    <col min="4357" max="4357" width="2.5" style="34" customWidth="1"/>
    <col min="4358" max="4358" width="11" style="34" bestFit="1" customWidth="1"/>
    <col min="4359" max="4359" width="3.375" style="34" customWidth="1"/>
    <col min="4360" max="4360" width="10.75" style="34" bestFit="1" customWidth="1"/>
    <col min="4361" max="4361" width="3.125" style="34" customWidth="1"/>
    <col min="4362" max="4362" width="11.25" style="34" bestFit="1" customWidth="1"/>
    <col min="4363" max="4363" width="2.5" style="34" customWidth="1"/>
    <col min="4364" max="4364" width="11.5" style="34" bestFit="1" customWidth="1"/>
    <col min="4365" max="4365" width="9.75" style="34" bestFit="1" customWidth="1"/>
    <col min="4366" max="4601" width="9" style="34"/>
    <col min="4602" max="4602" width="11.5" style="34" bestFit="1" customWidth="1"/>
    <col min="4603" max="4603" width="1.75" style="34" customWidth="1"/>
    <col min="4604" max="4604" width="42.5" style="34" bestFit="1" customWidth="1"/>
    <col min="4605" max="4605" width="2.75" style="34" customWidth="1"/>
    <col min="4606" max="4606" width="11" style="34" bestFit="1" customWidth="1"/>
    <col min="4607" max="4607" width="2.75" style="34" customWidth="1"/>
    <col min="4608" max="4608" width="12.125" style="34" bestFit="1" customWidth="1"/>
    <col min="4609" max="4609" width="2.5" style="34" customWidth="1"/>
    <col min="4610" max="4610" width="11.25" style="34" bestFit="1" customWidth="1"/>
    <col min="4611" max="4611" width="2.75" style="34" customWidth="1"/>
    <col min="4612" max="4612" width="11.5" style="34" bestFit="1" customWidth="1"/>
    <col min="4613" max="4613" width="2.5" style="34" customWidth="1"/>
    <col min="4614" max="4614" width="11" style="34" bestFit="1" customWidth="1"/>
    <col min="4615" max="4615" width="3.375" style="34" customWidth="1"/>
    <col min="4616" max="4616" width="10.75" style="34" bestFit="1" customWidth="1"/>
    <col min="4617" max="4617" width="3.125" style="34" customWidth="1"/>
    <col min="4618" max="4618" width="11.25" style="34" bestFit="1" customWidth="1"/>
    <col min="4619" max="4619" width="2.5" style="34" customWidth="1"/>
    <col min="4620" max="4620" width="11.5" style="34" bestFit="1" customWidth="1"/>
    <col min="4621" max="4621" width="9.75" style="34" bestFit="1" customWidth="1"/>
    <col min="4622" max="4857" width="9" style="34"/>
    <col min="4858" max="4858" width="11.5" style="34" bestFit="1" customWidth="1"/>
    <col min="4859" max="4859" width="1.75" style="34" customWidth="1"/>
    <col min="4860" max="4860" width="42.5" style="34" bestFit="1" customWidth="1"/>
    <col min="4861" max="4861" width="2.75" style="34" customWidth="1"/>
    <col min="4862" max="4862" width="11" style="34" bestFit="1" customWidth="1"/>
    <col min="4863" max="4863" width="2.75" style="34" customWidth="1"/>
    <col min="4864" max="4864" width="12.125" style="34" bestFit="1" customWidth="1"/>
    <col min="4865" max="4865" width="2.5" style="34" customWidth="1"/>
    <col min="4866" max="4866" width="11.25" style="34" bestFit="1" customWidth="1"/>
    <col min="4867" max="4867" width="2.75" style="34" customWidth="1"/>
    <col min="4868" max="4868" width="11.5" style="34" bestFit="1" customWidth="1"/>
    <col min="4869" max="4869" width="2.5" style="34" customWidth="1"/>
    <col min="4870" max="4870" width="11" style="34" bestFit="1" customWidth="1"/>
    <col min="4871" max="4871" width="3.375" style="34" customWidth="1"/>
    <col min="4872" max="4872" width="10.75" style="34" bestFit="1" customWidth="1"/>
    <col min="4873" max="4873" width="3.125" style="34" customWidth="1"/>
    <col min="4874" max="4874" width="11.25" style="34" bestFit="1" customWidth="1"/>
    <col min="4875" max="4875" width="2.5" style="34" customWidth="1"/>
    <col min="4876" max="4876" width="11.5" style="34" bestFit="1" customWidth="1"/>
    <col min="4877" max="4877" width="9.75" style="34" bestFit="1" customWidth="1"/>
    <col min="4878" max="5113" width="9" style="34"/>
    <col min="5114" max="5114" width="11.5" style="34" bestFit="1" customWidth="1"/>
    <col min="5115" max="5115" width="1.75" style="34" customWidth="1"/>
    <col min="5116" max="5116" width="42.5" style="34" bestFit="1" customWidth="1"/>
    <col min="5117" max="5117" width="2.75" style="34" customWidth="1"/>
    <col min="5118" max="5118" width="11" style="34" bestFit="1" customWidth="1"/>
    <col min="5119" max="5119" width="2.75" style="34" customWidth="1"/>
    <col min="5120" max="5120" width="12.125" style="34" bestFit="1" customWidth="1"/>
    <col min="5121" max="5121" width="2.5" style="34" customWidth="1"/>
    <col min="5122" max="5122" width="11.25" style="34" bestFit="1" customWidth="1"/>
    <col min="5123" max="5123" width="2.75" style="34" customWidth="1"/>
    <col min="5124" max="5124" width="11.5" style="34" bestFit="1" customWidth="1"/>
    <col min="5125" max="5125" width="2.5" style="34" customWidth="1"/>
    <col min="5126" max="5126" width="11" style="34" bestFit="1" customWidth="1"/>
    <col min="5127" max="5127" width="3.375" style="34" customWidth="1"/>
    <col min="5128" max="5128" width="10.75" style="34" bestFit="1" customWidth="1"/>
    <col min="5129" max="5129" width="3.125" style="34" customWidth="1"/>
    <col min="5130" max="5130" width="11.25" style="34" bestFit="1" customWidth="1"/>
    <col min="5131" max="5131" width="2.5" style="34" customWidth="1"/>
    <col min="5132" max="5132" width="11.5" style="34" bestFit="1" customWidth="1"/>
    <col min="5133" max="5133" width="9.75" style="34" bestFit="1" customWidth="1"/>
    <col min="5134" max="5369" width="9" style="34"/>
    <col min="5370" max="5370" width="11.5" style="34" bestFit="1" customWidth="1"/>
    <col min="5371" max="5371" width="1.75" style="34" customWidth="1"/>
    <col min="5372" max="5372" width="42.5" style="34" bestFit="1" customWidth="1"/>
    <col min="5373" max="5373" width="2.75" style="34" customWidth="1"/>
    <col min="5374" max="5374" width="11" style="34" bestFit="1" customWidth="1"/>
    <col min="5375" max="5375" width="2.75" style="34" customWidth="1"/>
    <col min="5376" max="5376" width="12.125" style="34" bestFit="1" customWidth="1"/>
    <col min="5377" max="5377" width="2.5" style="34" customWidth="1"/>
    <col min="5378" max="5378" width="11.25" style="34" bestFit="1" customWidth="1"/>
    <col min="5379" max="5379" width="2.75" style="34" customWidth="1"/>
    <col min="5380" max="5380" width="11.5" style="34" bestFit="1" customWidth="1"/>
    <col min="5381" max="5381" width="2.5" style="34" customWidth="1"/>
    <col min="5382" max="5382" width="11" style="34" bestFit="1" customWidth="1"/>
    <col min="5383" max="5383" width="3.375" style="34" customWidth="1"/>
    <col min="5384" max="5384" width="10.75" style="34" bestFit="1" customWidth="1"/>
    <col min="5385" max="5385" width="3.125" style="34" customWidth="1"/>
    <col min="5386" max="5386" width="11.25" style="34" bestFit="1" customWidth="1"/>
    <col min="5387" max="5387" width="2.5" style="34" customWidth="1"/>
    <col min="5388" max="5388" width="11.5" style="34" bestFit="1" customWidth="1"/>
    <col min="5389" max="5389" width="9.75" style="34" bestFit="1" customWidth="1"/>
    <col min="5390" max="5625" width="9" style="34"/>
    <col min="5626" max="5626" width="11.5" style="34" bestFit="1" customWidth="1"/>
    <col min="5627" max="5627" width="1.75" style="34" customWidth="1"/>
    <col min="5628" max="5628" width="42.5" style="34" bestFit="1" customWidth="1"/>
    <col min="5629" max="5629" width="2.75" style="34" customWidth="1"/>
    <col min="5630" max="5630" width="11" style="34" bestFit="1" customWidth="1"/>
    <col min="5631" max="5631" width="2.75" style="34" customWidth="1"/>
    <col min="5632" max="5632" width="12.125" style="34" bestFit="1" customWidth="1"/>
    <col min="5633" max="5633" width="2.5" style="34" customWidth="1"/>
    <col min="5634" max="5634" width="11.25" style="34" bestFit="1" customWidth="1"/>
    <col min="5635" max="5635" width="2.75" style="34" customWidth="1"/>
    <col min="5636" max="5636" width="11.5" style="34" bestFit="1" customWidth="1"/>
    <col min="5637" max="5637" width="2.5" style="34" customWidth="1"/>
    <col min="5638" max="5638" width="11" style="34" bestFit="1" customWidth="1"/>
    <col min="5639" max="5639" width="3.375" style="34" customWidth="1"/>
    <col min="5640" max="5640" width="10.75" style="34" bestFit="1" customWidth="1"/>
    <col min="5641" max="5641" width="3.125" style="34" customWidth="1"/>
    <col min="5642" max="5642" width="11.25" style="34" bestFit="1" customWidth="1"/>
    <col min="5643" max="5643" width="2.5" style="34" customWidth="1"/>
    <col min="5644" max="5644" width="11.5" style="34" bestFit="1" customWidth="1"/>
    <col min="5645" max="5645" width="9.75" style="34" bestFit="1" customWidth="1"/>
    <col min="5646" max="5881" width="9" style="34"/>
    <col min="5882" max="5882" width="11.5" style="34" bestFit="1" customWidth="1"/>
    <col min="5883" max="5883" width="1.75" style="34" customWidth="1"/>
    <col min="5884" max="5884" width="42.5" style="34" bestFit="1" customWidth="1"/>
    <col min="5885" max="5885" width="2.75" style="34" customWidth="1"/>
    <col min="5886" max="5886" width="11" style="34" bestFit="1" customWidth="1"/>
    <col min="5887" max="5887" width="2.75" style="34" customWidth="1"/>
    <col min="5888" max="5888" width="12.125" style="34" bestFit="1" customWidth="1"/>
    <col min="5889" max="5889" width="2.5" style="34" customWidth="1"/>
    <col min="5890" max="5890" width="11.25" style="34" bestFit="1" customWidth="1"/>
    <col min="5891" max="5891" width="2.75" style="34" customWidth="1"/>
    <col min="5892" max="5892" width="11.5" style="34" bestFit="1" customWidth="1"/>
    <col min="5893" max="5893" width="2.5" style="34" customWidth="1"/>
    <col min="5894" max="5894" width="11" style="34" bestFit="1" customWidth="1"/>
    <col min="5895" max="5895" width="3.375" style="34" customWidth="1"/>
    <col min="5896" max="5896" width="10.75" style="34" bestFit="1" customWidth="1"/>
    <col min="5897" max="5897" width="3.125" style="34" customWidth="1"/>
    <col min="5898" max="5898" width="11.25" style="34" bestFit="1" customWidth="1"/>
    <col min="5899" max="5899" width="2.5" style="34" customWidth="1"/>
    <col min="5900" max="5900" width="11.5" style="34" bestFit="1" customWidth="1"/>
    <col min="5901" max="5901" width="9.75" style="34" bestFit="1" customWidth="1"/>
    <col min="5902" max="6137" width="9" style="34"/>
    <col min="6138" max="6138" width="11.5" style="34" bestFit="1" customWidth="1"/>
    <col min="6139" max="6139" width="1.75" style="34" customWidth="1"/>
    <col min="6140" max="6140" width="42.5" style="34" bestFit="1" customWidth="1"/>
    <col min="6141" max="6141" width="2.75" style="34" customWidth="1"/>
    <col min="6142" max="6142" width="11" style="34" bestFit="1" customWidth="1"/>
    <col min="6143" max="6143" width="2.75" style="34" customWidth="1"/>
    <col min="6144" max="6144" width="12.125" style="34" bestFit="1" customWidth="1"/>
    <col min="6145" max="6145" width="2.5" style="34" customWidth="1"/>
    <col min="6146" max="6146" width="11.25" style="34" bestFit="1" customWidth="1"/>
    <col min="6147" max="6147" width="2.75" style="34" customWidth="1"/>
    <col min="6148" max="6148" width="11.5" style="34" bestFit="1" customWidth="1"/>
    <col min="6149" max="6149" width="2.5" style="34" customWidth="1"/>
    <col min="6150" max="6150" width="11" style="34" bestFit="1" customWidth="1"/>
    <col min="6151" max="6151" width="3.375" style="34" customWidth="1"/>
    <col min="6152" max="6152" width="10.75" style="34" bestFit="1" customWidth="1"/>
    <col min="6153" max="6153" width="3.125" style="34" customWidth="1"/>
    <col min="6154" max="6154" width="11.25" style="34" bestFit="1" customWidth="1"/>
    <col min="6155" max="6155" width="2.5" style="34" customWidth="1"/>
    <col min="6156" max="6156" width="11.5" style="34" bestFit="1" customWidth="1"/>
    <col min="6157" max="6157" width="9.75" style="34" bestFit="1" customWidth="1"/>
    <col min="6158" max="6393" width="9" style="34"/>
    <col min="6394" max="6394" width="11.5" style="34" bestFit="1" customWidth="1"/>
    <col min="6395" max="6395" width="1.75" style="34" customWidth="1"/>
    <col min="6396" max="6396" width="42.5" style="34" bestFit="1" customWidth="1"/>
    <col min="6397" max="6397" width="2.75" style="34" customWidth="1"/>
    <col min="6398" max="6398" width="11" style="34" bestFit="1" customWidth="1"/>
    <col min="6399" max="6399" width="2.75" style="34" customWidth="1"/>
    <col min="6400" max="6400" width="12.125" style="34" bestFit="1" customWidth="1"/>
    <col min="6401" max="6401" width="2.5" style="34" customWidth="1"/>
    <col min="6402" max="6402" width="11.25" style="34" bestFit="1" customWidth="1"/>
    <col min="6403" max="6403" width="2.75" style="34" customWidth="1"/>
    <col min="6404" max="6404" width="11.5" style="34" bestFit="1" customWidth="1"/>
    <col min="6405" max="6405" width="2.5" style="34" customWidth="1"/>
    <col min="6406" max="6406" width="11" style="34" bestFit="1" customWidth="1"/>
    <col min="6407" max="6407" width="3.375" style="34" customWidth="1"/>
    <col min="6408" max="6408" width="10.75" style="34" bestFit="1" customWidth="1"/>
    <col min="6409" max="6409" width="3.125" style="34" customWidth="1"/>
    <col min="6410" max="6410" width="11.25" style="34" bestFit="1" customWidth="1"/>
    <col min="6411" max="6411" width="2.5" style="34" customWidth="1"/>
    <col min="6412" max="6412" width="11.5" style="34" bestFit="1" customWidth="1"/>
    <col min="6413" max="6413" width="9.75" style="34" bestFit="1" customWidth="1"/>
    <col min="6414" max="6649" width="9" style="34"/>
    <col min="6650" max="6650" width="11.5" style="34" bestFit="1" customWidth="1"/>
    <col min="6651" max="6651" width="1.75" style="34" customWidth="1"/>
    <col min="6652" max="6652" width="42.5" style="34" bestFit="1" customWidth="1"/>
    <col min="6653" max="6653" width="2.75" style="34" customWidth="1"/>
    <col min="6654" max="6654" width="11" style="34" bestFit="1" customWidth="1"/>
    <col min="6655" max="6655" width="2.75" style="34" customWidth="1"/>
    <col min="6656" max="6656" width="12.125" style="34" bestFit="1" customWidth="1"/>
    <col min="6657" max="6657" width="2.5" style="34" customWidth="1"/>
    <col min="6658" max="6658" width="11.25" style="34" bestFit="1" customWidth="1"/>
    <col min="6659" max="6659" width="2.75" style="34" customWidth="1"/>
    <col min="6660" max="6660" width="11.5" style="34" bestFit="1" customWidth="1"/>
    <col min="6661" max="6661" width="2.5" style="34" customWidth="1"/>
    <col min="6662" max="6662" width="11" style="34" bestFit="1" customWidth="1"/>
    <col min="6663" max="6663" width="3.375" style="34" customWidth="1"/>
    <col min="6664" max="6664" width="10.75" style="34" bestFit="1" customWidth="1"/>
    <col min="6665" max="6665" width="3.125" style="34" customWidth="1"/>
    <col min="6666" max="6666" width="11.25" style="34" bestFit="1" customWidth="1"/>
    <col min="6667" max="6667" width="2.5" style="34" customWidth="1"/>
    <col min="6668" max="6668" width="11.5" style="34" bestFit="1" customWidth="1"/>
    <col min="6669" max="6669" width="9.75" style="34" bestFit="1" customWidth="1"/>
    <col min="6670" max="6905" width="9" style="34"/>
    <col min="6906" max="6906" width="11.5" style="34" bestFit="1" customWidth="1"/>
    <col min="6907" max="6907" width="1.75" style="34" customWidth="1"/>
    <col min="6908" max="6908" width="42.5" style="34" bestFit="1" customWidth="1"/>
    <col min="6909" max="6909" width="2.75" style="34" customWidth="1"/>
    <col min="6910" max="6910" width="11" style="34" bestFit="1" customWidth="1"/>
    <col min="6911" max="6911" width="2.75" style="34" customWidth="1"/>
    <col min="6912" max="6912" width="12.125" style="34" bestFit="1" customWidth="1"/>
    <col min="6913" max="6913" width="2.5" style="34" customWidth="1"/>
    <col min="6914" max="6914" width="11.25" style="34" bestFit="1" customWidth="1"/>
    <col min="6915" max="6915" width="2.75" style="34" customWidth="1"/>
    <col min="6916" max="6916" width="11.5" style="34" bestFit="1" customWidth="1"/>
    <col min="6917" max="6917" width="2.5" style="34" customWidth="1"/>
    <col min="6918" max="6918" width="11" style="34" bestFit="1" customWidth="1"/>
    <col min="6919" max="6919" width="3.375" style="34" customWidth="1"/>
    <col min="6920" max="6920" width="10.75" style="34" bestFit="1" customWidth="1"/>
    <col min="6921" max="6921" width="3.125" style="34" customWidth="1"/>
    <col min="6922" max="6922" width="11.25" style="34" bestFit="1" customWidth="1"/>
    <col min="6923" max="6923" width="2.5" style="34" customWidth="1"/>
    <col min="6924" max="6924" width="11.5" style="34" bestFit="1" customWidth="1"/>
    <col min="6925" max="6925" width="9.75" style="34" bestFit="1" customWidth="1"/>
    <col min="6926" max="7161" width="9" style="34"/>
    <col min="7162" max="7162" width="11.5" style="34" bestFit="1" customWidth="1"/>
    <col min="7163" max="7163" width="1.75" style="34" customWidth="1"/>
    <col min="7164" max="7164" width="42.5" style="34" bestFit="1" customWidth="1"/>
    <col min="7165" max="7165" width="2.75" style="34" customWidth="1"/>
    <col min="7166" max="7166" width="11" style="34" bestFit="1" customWidth="1"/>
    <col min="7167" max="7167" width="2.75" style="34" customWidth="1"/>
    <col min="7168" max="7168" width="12.125" style="34" bestFit="1" customWidth="1"/>
    <col min="7169" max="7169" width="2.5" style="34" customWidth="1"/>
    <col min="7170" max="7170" width="11.25" style="34" bestFit="1" customWidth="1"/>
    <col min="7171" max="7171" width="2.75" style="34" customWidth="1"/>
    <col min="7172" max="7172" width="11.5" style="34" bestFit="1" customWidth="1"/>
    <col min="7173" max="7173" width="2.5" style="34" customWidth="1"/>
    <col min="7174" max="7174" width="11" style="34" bestFit="1" customWidth="1"/>
    <col min="7175" max="7175" width="3.375" style="34" customWidth="1"/>
    <col min="7176" max="7176" width="10.75" style="34" bestFit="1" customWidth="1"/>
    <col min="7177" max="7177" width="3.125" style="34" customWidth="1"/>
    <col min="7178" max="7178" width="11.25" style="34" bestFit="1" customWidth="1"/>
    <col min="7179" max="7179" width="2.5" style="34" customWidth="1"/>
    <col min="7180" max="7180" width="11.5" style="34" bestFit="1" customWidth="1"/>
    <col min="7181" max="7181" width="9.75" style="34" bestFit="1" customWidth="1"/>
    <col min="7182" max="7417" width="9" style="34"/>
    <col min="7418" max="7418" width="11.5" style="34" bestFit="1" customWidth="1"/>
    <col min="7419" max="7419" width="1.75" style="34" customWidth="1"/>
    <col min="7420" max="7420" width="42.5" style="34" bestFit="1" customWidth="1"/>
    <col min="7421" max="7421" width="2.75" style="34" customWidth="1"/>
    <col min="7422" max="7422" width="11" style="34" bestFit="1" customWidth="1"/>
    <col min="7423" max="7423" width="2.75" style="34" customWidth="1"/>
    <col min="7424" max="7424" width="12.125" style="34" bestFit="1" customWidth="1"/>
    <col min="7425" max="7425" width="2.5" style="34" customWidth="1"/>
    <col min="7426" max="7426" width="11.25" style="34" bestFit="1" customWidth="1"/>
    <col min="7427" max="7427" width="2.75" style="34" customWidth="1"/>
    <col min="7428" max="7428" width="11.5" style="34" bestFit="1" customWidth="1"/>
    <col min="7429" max="7429" width="2.5" style="34" customWidth="1"/>
    <col min="7430" max="7430" width="11" style="34" bestFit="1" customWidth="1"/>
    <col min="7431" max="7431" width="3.375" style="34" customWidth="1"/>
    <col min="7432" max="7432" width="10.75" style="34" bestFit="1" customWidth="1"/>
    <col min="7433" max="7433" width="3.125" style="34" customWidth="1"/>
    <col min="7434" max="7434" width="11.25" style="34" bestFit="1" customWidth="1"/>
    <col min="7435" max="7435" width="2.5" style="34" customWidth="1"/>
    <col min="7436" max="7436" width="11.5" style="34" bestFit="1" customWidth="1"/>
    <col min="7437" max="7437" width="9.75" style="34" bestFit="1" customWidth="1"/>
    <col min="7438" max="7673" width="9" style="34"/>
    <col min="7674" max="7674" width="11.5" style="34" bestFit="1" customWidth="1"/>
    <col min="7675" max="7675" width="1.75" style="34" customWidth="1"/>
    <col min="7676" max="7676" width="42.5" style="34" bestFit="1" customWidth="1"/>
    <col min="7677" max="7677" width="2.75" style="34" customWidth="1"/>
    <col min="7678" max="7678" width="11" style="34" bestFit="1" customWidth="1"/>
    <col min="7679" max="7679" width="2.75" style="34" customWidth="1"/>
    <col min="7680" max="7680" width="12.125" style="34" bestFit="1" customWidth="1"/>
    <col min="7681" max="7681" width="2.5" style="34" customWidth="1"/>
    <col min="7682" max="7682" width="11.25" style="34" bestFit="1" customWidth="1"/>
    <col min="7683" max="7683" width="2.75" style="34" customWidth="1"/>
    <col min="7684" max="7684" width="11.5" style="34" bestFit="1" customWidth="1"/>
    <col min="7685" max="7685" width="2.5" style="34" customWidth="1"/>
    <col min="7686" max="7686" width="11" style="34" bestFit="1" customWidth="1"/>
    <col min="7687" max="7687" width="3.375" style="34" customWidth="1"/>
    <col min="7688" max="7688" width="10.75" style="34" bestFit="1" customWidth="1"/>
    <col min="7689" max="7689" width="3.125" style="34" customWidth="1"/>
    <col min="7690" max="7690" width="11.25" style="34" bestFit="1" customWidth="1"/>
    <col min="7691" max="7691" width="2.5" style="34" customWidth="1"/>
    <col min="7692" max="7692" width="11.5" style="34" bestFit="1" customWidth="1"/>
    <col min="7693" max="7693" width="9.75" style="34" bestFit="1" customWidth="1"/>
    <col min="7694" max="7929" width="9" style="34"/>
    <col min="7930" max="7930" width="11.5" style="34" bestFit="1" customWidth="1"/>
    <col min="7931" max="7931" width="1.75" style="34" customWidth="1"/>
    <col min="7932" max="7932" width="42.5" style="34" bestFit="1" customWidth="1"/>
    <col min="7933" max="7933" width="2.75" style="34" customWidth="1"/>
    <col min="7934" max="7934" width="11" style="34" bestFit="1" customWidth="1"/>
    <col min="7935" max="7935" width="2.75" style="34" customWidth="1"/>
    <col min="7936" max="7936" width="12.125" style="34" bestFit="1" customWidth="1"/>
    <col min="7937" max="7937" width="2.5" style="34" customWidth="1"/>
    <col min="7938" max="7938" width="11.25" style="34" bestFit="1" customWidth="1"/>
    <col min="7939" max="7939" width="2.75" style="34" customWidth="1"/>
    <col min="7940" max="7940" width="11.5" style="34" bestFit="1" customWidth="1"/>
    <col min="7941" max="7941" width="2.5" style="34" customWidth="1"/>
    <col min="7942" max="7942" width="11" style="34" bestFit="1" customWidth="1"/>
    <col min="7943" max="7943" width="3.375" style="34" customWidth="1"/>
    <col min="7944" max="7944" width="10.75" style="34" bestFit="1" customWidth="1"/>
    <col min="7945" max="7945" width="3.125" style="34" customWidth="1"/>
    <col min="7946" max="7946" width="11.25" style="34" bestFit="1" customWidth="1"/>
    <col min="7947" max="7947" width="2.5" style="34" customWidth="1"/>
    <col min="7948" max="7948" width="11.5" style="34" bestFit="1" customWidth="1"/>
    <col min="7949" max="7949" width="9.75" style="34" bestFit="1" customWidth="1"/>
    <col min="7950" max="8185" width="9" style="34"/>
    <col min="8186" max="8186" width="11.5" style="34" bestFit="1" customWidth="1"/>
    <col min="8187" max="8187" width="1.75" style="34" customWidth="1"/>
    <col min="8188" max="8188" width="42.5" style="34" bestFit="1" customWidth="1"/>
    <col min="8189" max="8189" width="2.75" style="34" customWidth="1"/>
    <col min="8190" max="8190" width="11" style="34" bestFit="1" customWidth="1"/>
    <col min="8191" max="8191" width="2.75" style="34" customWidth="1"/>
    <col min="8192" max="8192" width="12.125" style="34" bestFit="1" customWidth="1"/>
    <col min="8193" max="8193" width="2.5" style="34" customWidth="1"/>
    <col min="8194" max="8194" width="11.25" style="34" bestFit="1" customWidth="1"/>
    <col min="8195" max="8195" width="2.75" style="34" customWidth="1"/>
    <col min="8196" max="8196" width="11.5" style="34" bestFit="1" customWidth="1"/>
    <col min="8197" max="8197" width="2.5" style="34" customWidth="1"/>
    <col min="8198" max="8198" width="11" style="34" bestFit="1" customWidth="1"/>
    <col min="8199" max="8199" width="3.375" style="34" customWidth="1"/>
    <col min="8200" max="8200" width="10.75" style="34" bestFit="1" customWidth="1"/>
    <col min="8201" max="8201" width="3.125" style="34" customWidth="1"/>
    <col min="8202" max="8202" width="11.25" style="34" bestFit="1" customWidth="1"/>
    <col min="8203" max="8203" width="2.5" style="34" customWidth="1"/>
    <col min="8204" max="8204" width="11.5" style="34" bestFit="1" customWidth="1"/>
    <col min="8205" max="8205" width="9.75" style="34" bestFit="1" customWidth="1"/>
    <col min="8206" max="8441" width="9" style="34"/>
    <col min="8442" max="8442" width="11.5" style="34" bestFit="1" customWidth="1"/>
    <col min="8443" max="8443" width="1.75" style="34" customWidth="1"/>
    <col min="8444" max="8444" width="42.5" style="34" bestFit="1" customWidth="1"/>
    <col min="8445" max="8445" width="2.75" style="34" customWidth="1"/>
    <col min="8446" max="8446" width="11" style="34" bestFit="1" customWidth="1"/>
    <col min="8447" max="8447" width="2.75" style="34" customWidth="1"/>
    <col min="8448" max="8448" width="12.125" style="34" bestFit="1" customWidth="1"/>
    <col min="8449" max="8449" width="2.5" style="34" customWidth="1"/>
    <col min="8450" max="8450" width="11.25" style="34" bestFit="1" customWidth="1"/>
    <col min="8451" max="8451" width="2.75" style="34" customWidth="1"/>
    <col min="8452" max="8452" width="11.5" style="34" bestFit="1" customWidth="1"/>
    <col min="8453" max="8453" width="2.5" style="34" customWidth="1"/>
    <col min="8454" max="8454" width="11" style="34" bestFit="1" customWidth="1"/>
    <col min="8455" max="8455" width="3.375" style="34" customWidth="1"/>
    <col min="8456" max="8456" width="10.75" style="34" bestFit="1" customWidth="1"/>
    <col min="8457" max="8457" width="3.125" style="34" customWidth="1"/>
    <col min="8458" max="8458" width="11.25" style="34" bestFit="1" customWidth="1"/>
    <col min="8459" max="8459" width="2.5" style="34" customWidth="1"/>
    <col min="8460" max="8460" width="11.5" style="34" bestFit="1" customWidth="1"/>
    <col min="8461" max="8461" width="9.75" style="34" bestFit="1" customWidth="1"/>
    <col min="8462" max="8697" width="9" style="34"/>
    <col min="8698" max="8698" width="11.5" style="34" bestFit="1" customWidth="1"/>
    <col min="8699" max="8699" width="1.75" style="34" customWidth="1"/>
    <col min="8700" max="8700" width="42.5" style="34" bestFit="1" customWidth="1"/>
    <col min="8701" max="8701" width="2.75" style="34" customWidth="1"/>
    <col min="8702" max="8702" width="11" style="34" bestFit="1" customWidth="1"/>
    <col min="8703" max="8703" width="2.75" style="34" customWidth="1"/>
    <col min="8704" max="8704" width="12.125" style="34" bestFit="1" customWidth="1"/>
    <col min="8705" max="8705" width="2.5" style="34" customWidth="1"/>
    <col min="8706" max="8706" width="11.25" style="34" bestFit="1" customWidth="1"/>
    <col min="8707" max="8707" width="2.75" style="34" customWidth="1"/>
    <col min="8708" max="8708" width="11.5" style="34" bestFit="1" customWidth="1"/>
    <col min="8709" max="8709" width="2.5" style="34" customWidth="1"/>
    <col min="8710" max="8710" width="11" style="34" bestFit="1" customWidth="1"/>
    <col min="8711" max="8711" width="3.375" style="34" customWidth="1"/>
    <col min="8712" max="8712" width="10.75" style="34" bestFit="1" customWidth="1"/>
    <col min="8713" max="8713" width="3.125" style="34" customWidth="1"/>
    <col min="8714" max="8714" width="11.25" style="34" bestFit="1" customWidth="1"/>
    <col min="8715" max="8715" width="2.5" style="34" customWidth="1"/>
    <col min="8716" max="8716" width="11.5" style="34" bestFit="1" customWidth="1"/>
    <col min="8717" max="8717" width="9.75" style="34" bestFit="1" customWidth="1"/>
    <col min="8718" max="8953" width="9" style="34"/>
    <col min="8954" max="8954" width="11.5" style="34" bestFit="1" customWidth="1"/>
    <col min="8955" max="8955" width="1.75" style="34" customWidth="1"/>
    <col min="8956" max="8956" width="42.5" style="34" bestFit="1" customWidth="1"/>
    <col min="8957" max="8957" width="2.75" style="34" customWidth="1"/>
    <col min="8958" max="8958" width="11" style="34" bestFit="1" customWidth="1"/>
    <col min="8959" max="8959" width="2.75" style="34" customWidth="1"/>
    <col min="8960" max="8960" width="12.125" style="34" bestFit="1" customWidth="1"/>
    <col min="8961" max="8961" width="2.5" style="34" customWidth="1"/>
    <col min="8962" max="8962" width="11.25" style="34" bestFit="1" customWidth="1"/>
    <col min="8963" max="8963" width="2.75" style="34" customWidth="1"/>
    <col min="8964" max="8964" width="11.5" style="34" bestFit="1" customWidth="1"/>
    <col min="8965" max="8965" width="2.5" style="34" customWidth="1"/>
    <col min="8966" max="8966" width="11" style="34" bestFit="1" customWidth="1"/>
    <col min="8967" max="8967" width="3.375" style="34" customWidth="1"/>
    <col min="8968" max="8968" width="10.75" style="34" bestFit="1" customWidth="1"/>
    <col min="8969" max="8969" width="3.125" style="34" customWidth="1"/>
    <col min="8970" max="8970" width="11.25" style="34" bestFit="1" customWidth="1"/>
    <col min="8971" max="8971" width="2.5" style="34" customWidth="1"/>
    <col min="8972" max="8972" width="11.5" style="34" bestFit="1" customWidth="1"/>
    <col min="8973" max="8973" width="9.75" style="34" bestFit="1" customWidth="1"/>
    <col min="8974" max="9209" width="9" style="34"/>
    <col min="9210" max="9210" width="11.5" style="34" bestFit="1" customWidth="1"/>
    <col min="9211" max="9211" width="1.75" style="34" customWidth="1"/>
    <col min="9212" max="9212" width="42.5" style="34" bestFit="1" customWidth="1"/>
    <col min="9213" max="9213" width="2.75" style="34" customWidth="1"/>
    <col min="9214" max="9214" width="11" style="34" bestFit="1" customWidth="1"/>
    <col min="9215" max="9215" width="2.75" style="34" customWidth="1"/>
    <col min="9216" max="9216" width="12.125" style="34" bestFit="1" customWidth="1"/>
    <col min="9217" max="9217" width="2.5" style="34" customWidth="1"/>
    <col min="9218" max="9218" width="11.25" style="34" bestFit="1" customWidth="1"/>
    <col min="9219" max="9219" width="2.75" style="34" customWidth="1"/>
    <col min="9220" max="9220" width="11.5" style="34" bestFit="1" customWidth="1"/>
    <col min="9221" max="9221" width="2.5" style="34" customWidth="1"/>
    <col min="9222" max="9222" width="11" style="34" bestFit="1" customWidth="1"/>
    <col min="9223" max="9223" width="3.375" style="34" customWidth="1"/>
    <col min="9224" max="9224" width="10.75" style="34" bestFit="1" customWidth="1"/>
    <col min="9225" max="9225" width="3.125" style="34" customWidth="1"/>
    <col min="9226" max="9226" width="11.25" style="34" bestFit="1" customWidth="1"/>
    <col min="9227" max="9227" width="2.5" style="34" customWidth="1"/>
    <col min="9228" max="9228" width="11.5" style="34" bestFit="1" customWidth="1"/>
    <col min="9229" max="9229" width="9.75" style="34" bestFit="1" customWidth="1"/>
    <col min="9230" max="9465" width="9" style="34"/>
    <col min="9466" max="9466" width="11.5" style="34" bestFit="1" customWidth="1"/>
    <col min="9467" max="9467" width="1.75" style="34" customWidth="1"/>
    <col min="9468" max="9468" width="42.5" style="34" bestFit="1" customWidth="1"/>
    <col min="9469" max="9469" width="2.75" style="34" customWidth="1"/>
    <col min="9470" max="9470" width="11" style="34" bestFit="1" customWidth="1"/>
    <col min="9471" max="9471" width="2.75" style="34" customWidth="1"/>
    <col min="9472" max="9472" width="12.125" style="34" bestFit="1" customWidth="1"/>
    <col min="9473" max="9473" width="2.5" style="34" customWidth="1"/>
    <col min="9474" max="9474" width="11.25" style="34" bestFit="1" customWidth="1"/>
    <col min="9475" max="9475" width="2.75" style="34" customWidth="1"/>
    <col min="9476" max="9476" width="11.5" style="34" bestFit="1" customWidth="1"/>
    <col min="9477" max="9477" width="2.5" style="34" customWidth="1"/>
    <col min="9478" max="9478" width="11" style="34" bestFit="1" customWidth="1"/>
    <col min="9479" max="9479" width="3.375" style="34" customWidth="1"/>
    <col min="9480" max="9480" width="10.75" style="34" bestFit="1" customWidth="1"/>
    <col min="9481" max="9481" width="3.125" style="34" customWidth="1"/>
    <col min="9482" max="9482" width="11.25" style="34" bestFit="1" customWidth="1"/>
    <col min="9483" max="9483" width="2.5" style="34" customWidth="1"/>
    <col min="9484" max="9484" width="11.5" style="34" bestFit="1" customWidth="1"/>
    <col min="9485" max="9485" width="9.75" style="34" bestFit="1" customWidth="1"/>
    <col min="9486" max="9721" width="9" style="34"/>
    <col min="9722" max="9722" width="11.5" style="34" bestFit="1" customWidth="1"/>
    <col min="9723" max="9723" width="1.75" style="34" customWidth="1"/>
    <col min="9724" max="9724" width="42.5" style="34" bestFit="1" customWidth="1"/>
    <col min="9725" max="9725" width="2.75" style="34" customWidth="1"/>
    <col min="9726" max="9726" width="11" style="34" bestFit="1" customWidth="1"/>
    <col min="9727" max="9727" width="2.75" style="34" customWidth="1"/>
    <col min="9728" max="9728" width="12.125" style="34" bestFit="1" customWidth="1"/>
    <col min="9729" max="9729" width="2.5" style="34" customWidth="1"/>
    <col min="9730" max="9730" width="11.25" style="34" bestFit="1" customWidth="1"/>
    <col min="9731" max="9731" width="2.75" style="34" customWidth="1"/>
    <col min="9732" max="9732" width="11.5" style="34" bestFit="1" customWidth="1"/>
    <col min="9733" max="9733" width="2.5" style="34" customWidth="1"/>
    <col min="9734" max="9734" width="11" style="34" bestFit="1" customWidth="1"/>
    <col min="9735" max="9735" width="3.375" style="34" customWidth="1"/>
    <col min="9736" max="9736" width="10.75" style="34" bestFit="1" customWidth="1"/>
    <col min="9737" max="9737" width="3.125" style="34" customWidth="1"/>
    <col min="9738" max="9738" width="11.25" style="34" bestFit="1" customWidth="1"/>
    <col min="9739" max="9739" width="2.5" style="34" customWidth="1"/>
    <col min="9740" max="9740" width="11.5" style="34" bestFit="1" customWidth="1"/>
    <col min="9741" max="9741" width="9.75" style="34" bestFit="1" customWidth="1"/>
    <col min="9742" max="9977" width="9" style="34"/>
    <col min="9978" max="9978" width="11.5" style="34" bestFit="1" customWidth="1"/>
    <col min="9979" max="9979" width="1.75" style="34" customWidth="1"/>
    <col min="9980" max="9980" width="42.5" style="34" bestFit="1" customWidth="1"/>
    <col min="9981" max="9981" width="2.75" style="34" customWidth="1"/>
    <col min="9982" max="9982" width="11" style="34" bestFit="1" customWidth="1"/>
    <col min="9983" max="9983" width="2.75" style="34" customWidth="1"/>
    <col min="9984" max="9984" width="12.125" style="34" bestFit="1" customWidth="1"/>
    <col min="9985" max="9985" width="2.5" style="34" customWidth="1"/>
    <col min="9986" max="9986" width="11.25" style="34" bestFit="1" customWidth="1"/>
    <col min="9987" max="9987" width="2.75" style="34" customWidth="1"/>
    <col min="9988" max="9988" width="11.5" style="34" bestFit="1" customWidth="1"/>
    <col min="9989" max="9989" width="2.5" style="34" customWidth="1"/>
    <col min="9990" max="9990" width="11" style="34" bestFit="1" customWidth="1"/>
    <col min="9991" max="9991" width="3.375" style="34" customWidth="1"/>
    <col min="9992" max="9992" width="10.75" style="34" bestFit="1" customWidth="1"/>
    <col min="9993" max="9993" width="3.125" style="34" customWidth="1"/>
    <col min="9994" max="9994" width="11.25" style="34" bestFit="1" customWidth="1"/>
    <col min="9995" max="9995" width="2.5" style="34" customWidth="1"/>
    <col min="9996" max="9996" width="11.5" style="34" bestFit="1" customWidth="1"/>
    <col min="9997" max="9997" width="9.75" style="34" bestFit="1" customWidth="1"/>
    <col min="9998" max="10233" width="9" style="34"/>
    <col min="10234" max="10234" width="11.5" style="34" bestFit="1" customWidth="1"/>
    <col min="10235" max="10235" width="1.75" style="34" customWidth="1"/>
    <col min="10236" max="10236" width="42.5" style="34" bestFit="1" customWidth="1"/>
    <col min="10237" max="10237" width="2.75" style="34" customWidth="1"/>
    <col min="10238" max="10238" width="11" style="34" bestFit="1" customWidth="1"/>
    <col min="10239" max="10239" width="2.75" style="34" customWidth="1"/>
    <col min="10240" max="10240" width="12.125" style="34" bestFit="1" customWidth="1"/>
    <col min="10241" max="10241" width="2.5" style="34" customWidth="1"/>
    <col min="10242" max="10242" width="11.25" style="34" bestFit="1" customWidth="1"/>
    <col min="10243" max="10243" width="2.75" style="34" customWidth="1"/>
    <col min="10244" max="10244" width="11.5" style="34" bestFit="1" customWidth="1"/>
    <col min="10245" max="10245" width="2.5" style="34" customWidth="1"/>
    <col min="10246" max="10246" width="11" style="34" bestFit="1" customWidth="1"/>
    <col min="10247" max="10247" width="3.375" style="34" customWidth="1"/>
    <col min="10248" max="10248" width="10.75" style="34" bestFit="1" customWidth="1"/>
    <col min="10249" max="10249" width="3.125" style="34" customWidth="1"/>
    <col min="10250" max="10250" width="11.25" style="34" bestFit="1" customWidth="1"/>
    <col min="10251" max="10251" width="2.5" style="34" customWidth="1"/>
    <col min="10252" max="10252" width="11.5" style="34" bestFit="1" customWidth="1"/>
    <col min="10253" max="10253" width="9.75" style="34" bestFit="1" customWidth="1"/>
    <col min="10254" max="10489" width="9" style="34"/>
    <col min="10490" max="10490" width="11.5" style="34" bestFit="1" customWidth="1"/>
    <col min="10491" max="10491" width="1.75" style="34" customWidth="1"/>
    <col min="10492" max="10492" width="42.5" style="34" bestFit="1" customWidth="1"/>
    <col min="10493" max="10493" width="2.75" style="34" customWidth="1"/>
    <col min="10494" max="10494" width="11" style="34" bestFit="1" customWidth="1"/>
    <col min="10495" max="10495" width="2.75" style="34" customWidth="1"/>
    <col min="10496" max="10496" width="12.125" style="34" bestFit="1" customWidth="1"/>
    <col min="10497" max="10497" width="2.5" style="34" customWidth="1"/>
    <col min="10498" max="10498" width="11.25" style="34" bestFit="1" customWidth="1"/>
    <col min="10499" max="10499" width="2.75" style="34" customWidth="1"/>
    <col min="10500" max="10500" width="11.5" style="34" bestFit="1" customWidth="1"/>
    <col min="10501" max="10501" width="2.5" style="34" customWidth="1"/>
    <col min="10502" max="10502" width="11" style="34" bestFit="1" customWidth="1"/>
    <col min="10503" max="10503" width="3.375" style="34" customWidth="1"/>
    <col min="10504" max="10504" width="10.75" style="34" bestFit="1" customWidth="1"/>
    <col min="10505" max="10505" width="3.125" style="34" customWidth="1"/>
    <col min="10506" max="10506" width="11.25" style="34" bestFit="1" customWidth="1"/>
    <col min="10507" max="10507" width="2.5" style="34" customWidth="1"/>
    <col min="10508" max="10508" width="11.5" style="34" bestFit="1" customWidth="1"/>
    <col min="10509" max="10509" width="9.75" style="34" bestFit="1" customWidth="1"/>
    <col min="10510" max="10745" width="9" style="34"/>
    <col min="10746" max="10746" width="11.5" style="34" bestFit="1" customWidth="1"/>
    <col min="10747" max="10747" width="1.75" style="34" customWidth="1"/>
    <col min="10748" max="10748" width="42.5" style="34" bestFit="1" customWidth="1"/>
    <col min="10749" max="10749" width="2.75" style="34" customWidth="1"/>
    <col min="10750" max="10750" width="11" style="34" bestFit="1" customWidth="1"/>
    <col min="10751" max="10751" width="2.75" style="34" customWidth="1"/>
    <col min="10752" max="10752" width="12.125" style="34" bestFit="1" customWidth="1"/>
    <col min="10753" max="10753" width="2.5" style="34" customWidth="1"/>
    <col min="10754" max="10754" width="11.25" style="34" bestFit="1" customWidth="1"/>
    <col min="10755" max="10755" width="2.75" style="34" customWidth="1"/>
    <col min="10756" max="10756" width="11.5" style="34" bestFit="1" customWidth="1"/>
    <col min="10757" max="10757" width="2.5" style="34" customWidth="1"/>
    <col min="10758" max="10758" width="11" style="34" bestFit="1" customWidth="1"/>
    <col min="10759" max="10759" width="3.375" style="34" customWidth="1"/>
    <col min="10760" max="10760" width="10.75" style="34" bestFit="1" customWidth="1"/>
    <col min="10761" max="10761" width="3.125" style="34" customWidth="1"/>
    <col min="10762" max="10762" width="11.25" style="34" bestFit="1" customWidth="1"/>
    <col min="10763" max="10763" width="2.5" style="34" customWidth="1"/>
    <col min="10764" max="10764" width="11.5" style="34" bestFit="1" customWidth="1"/>
    <col min="10765" max="10765" width="9.75" style="34" bestFit="1" customWidth="1"/>
    <col min="10766" max="11001" width="9" style="34"/>
    <col min="11002" max="11002" width="11.5" style="34" bestFit="1" customWidth="1"/>
    <col min="11003" max="11003" width="1.75" style="34" customWidth="1"/>
    <col min="11004" max="11004" width="42.5" style="34" bestFit="1" customWidth="1"/>
    <col min="11005" max="11005" width="2.75" style="34" customWidth="1"/>
    <col min="11006" max="11006" width="11" style="34" bestFit="1" customWidth="1"/>
    <col min="11007" max="11007" width="2.75" style="34" customWidth="1"/>
    <col min="11008" max="11008" width="12.125" style="34" bestFit="1" customWidth="1"/>
    <col min="11009" max="11009" width="2.5" style="34" customWidth="1"/>
    <col min="11010" max="11010" width="11.25" style="34" bestFit="1" customWidth="1"/>
    <col min="11011" max="11011" width="2.75" style="34" customWidth="1"/>
    <col min="11012" max="11012" width="11.5" style="34" bestFit="1" customWidth="1"/>
    <col min="11013" max="11013" width="2.5" style="34" customWidth="1"/>
    <col min="11014" max="11014" width="11" style="34" bestFit="1" customWidth="1"/>
    <col min="11015" max="11015" width="3.375" style="34" customWidth="1"/>
    <col min="11016" max="11016" width="10.75" style="34" bestFit="1" customWidth="1"/>
    <col min="11017" max="11017" width="3.125" style="34" customWidth="1"/>
    <col min="11018" max="11018" width="11.25" style="34" bestFit="1" customWidth="1"/>
    <col min="11019" max="11019" width="2.5" style="34" customWidth="1"/>
    <col min="11020" max="11020" width="11.5" style="34" bestFit="1" customWidth="1"/>
    <col min="11021" max="11021" width="9.75" style="34" bestFit="1" customWidth="1"/>
    <col min="11022" max="11257" width="9" style="34"/>
    <col min="11258" max="11258" width="11.5" style="34" bestFit="1" customWidth="1"/>
    <col min="11259" max="11259" width="1.75" style="34" customWidth="1"/>
    <col min="11260" max="11260" width="42.5" style="34" bestFit="1" customWidth="1"/>
    <col min="11261" max="11261" width="2.75" style="34" customWidth="1"/>
    <col min="11262" max="11262" width="11" style="34" bestFit="1" customWidth="1"/>
    <col min="11263" max="11263" width="2.75" style="34" customWidth="1"/>
    <col min="11264" max="11264" width="12.125" style="34" bestFit="1" customWidth="1"/>
    <col min="11265" max="11265" width="2.5" style="34" customWidth="1"/>
    <col min="11266" max="11266" width="11.25" style="34" bestFit="1" customWidth="1"/>
    <col min="11267" max="11267" width="2.75" style="34" customWidth="1"/>
    <col min="11268" max="11268" width="11.5" style="34" bestFit="1" customWidth="1"/>
    <col min="11269" max="11269" width="2.5" style="34" customWidth="1"/>
    <col min="11270" max="11270" width="11" style="34" bestFit="1" customWidth="1"/>
    <col min="11271" max="11271" width="3.375" style="34" customWidth="1"/>
    <col min="11272" max="11272" width="10.75" style="34" bestFit="1" customWidth="1"/>
    <col min="11273" max="11273" width="3.125" style="34" customWidth="1"/>
    <col min="11274" max="11274" width="11.25" style="34" bestFit="1" customWidth="1"/>
    <col min="11275" max="11275" width="2.5" style="34" customWidth="1"/>
    <col min="11276" max="11276" width="11.5" style="34" bestFit="1" customWidth="1"/>
    <col min="11277" max="11277" width="9.75" style="34" bestFit="1" customWidth="1"/>
    <col min="11278" max="11513" width="9" style="34"/>
    <col min="11514" max="11514" width="11.5" style="34" bestFit="1" customWidth="1"/>
    <col min="11515" max="11515" width="1.75" style="34" customWidth="1"/>
    <col min="11516" max="11516" width="42.5" style="34" bestFit="1" customWidth="1"/>
    <col min="11517" max="11517" width="2.75" style="34" customWidth="1"/>
    <col min="11518" max="11518" width="11" style="34" bestFit="1" customWidth="1"/>
    <col min="11519" max="11519" width="2.75" style="34" customWidth="1"/>
    <col min="11520" max="11520" width="12.125" style="34" bestFit="1" customWidth="1"/>
    <col min="11521" max="11521" width="2.5" style="34" customWidth="1"/>
    <col min="11522" max="11522" width="11.25" style="34" bestFit="1" customWidth="1"/>
    <col min="11523" max="11523" width="2.75" style="34" customWidth="1"/>
    <col min="11524" max="11524" width="11.5" style="34" bestFit="1" customWidth="1"/>
    <col min="11525" max="11525" width="2.5" style="34" customWidth="1"/>
    <col min="11526" max="11526" width="11" style="34" bestFit="1" customWidth="1"/>
    <col min="11527" max="11527" width="3.375" style="34" customWidth="1"/>
    <col min="11528" max="11528" width="10.75" style="34" bestFit="1" customWidth="1"/>
    <col min="11529" max="11529" width="3.125" style="34" customWidth="1"/>
    <col min="11530" max="11530" width="11.25" style="34" bestFit="1" customWidth="1"/>
    <col min="11531" max="11531" width="2.5" style="34" customWidth="1"/>
    <col min="11532" max="11532" width="11.5" style="34" bestFit="1" customWidth="1"/>
    <col min="11533" max="11533" width="9.75" style="34" bestFit="1" customWidth="1"/>
    <col min="11534" max="11769" width="9" style="34"/>
    <col min="11770" max="11770" width="11.5" style="34" bestFit="1" customWidth="1"/>
    <col min="11771" max="11771" width="1.75" style="34" customWidth="1"/>
    <col min="11772" max="11772" width="42.5" style="34" bestFit="1" customWidth="1"/>
    <col min="11773" max="11773" width="2.75" style="34" customWidth="1"/>
    <col min="11774" max="11774" width="11" style="34" bestFit="1" customWidth="1"/>
    <col min="11775" max="11775" width="2.75" style="34" customWidth="1"/>
    <col min="11776" max="11776" width="12.125" style="34" bestFit="1" customWidth="1"/>
    <col min="11777" max="11777" width="2.5" style="34" customWidth="1"/>
    <col min="11778" max="11778" width="11.25" style="34" bestFit="1" customWidth="1"/>
    <col min="11779" max="11779" width="2.75" style="34" customWidth="1"/>
    <col min="11780" max="11780" width="11.5" style="34" bestFit="1" customWidth="1"/>
    <col min="11781" max="11781" width="2.5" style="34" customWidth="1"/>
    <col min="11782" max="11782" width="11" style="34" bestFit="1" customWidth="1"/>
    <col min="11783" max="11783" width="3.375" style="34" customWidth="1"/>
    <col min="11784" max="11784" width="10.75" style="34" bestFit="1" customWidth="1"/>
    <col min="11785" max="11785" width="3.125" style="34" customWidth="1"/>
    <col min="11786" max="11786" width="11.25" style="34" bestFit="1" customWidth="1"/>
    <col min="11787" max="11787" width="2.5" style="34" customWidth="1"/>
    <col min="11788" max="11788" width="11.5" style="34" bestFit="1" customWidth="1"/>
    <col min="11789" max="11789" width="9.75" style="34" bestFit="1" customWidth="1"/>
    <col min="11790" max="12025" width="9" style="34"/>
    <col min="12026" max="12026" width="11.5" style="34" bestFit="1" customWidth="1"/>
    <col min="12027" max="12027" width="1.75" style="34" customWidth="1"/>
    <col min="12028" max="12028" width="42.5" style="34" bestFit="1" customWidth="1"/>
    <col min="12029" max="12029" width="2.75" style="34" customWidth="1"/>
    <col min="12030" max="12030" width="11" style="34" bestFit="1" customWidth="1"/>
    <col min="12031" max="12031" width="2.75" style="34" customWidth="1"/>
    <col min="12032" max="12032" width="12.125" style="34" bestFit="1" customWidth="1"/>
    <col min="12033" max="12033" width="2.5" style="34" customWidth="1"/>
    <col min="12034" max="12034" width="11.25" style="34" bestFit="1" customWidth="1"/>
    <col min="12035" max="12035" width="2.75" style="34" customWidth="1"/>
    <col min="12036" max="12036" width="11.5" style="34" bestFit="1" customWidth="1"/>
    <col min="12037" max="12037" width="2.5" style="34" customWidth="1"/>
    <col min="12038" max="12038" width="11" style="34" bestFit="1" customWidth="1"/>
    <col min="12039" max="12039" width="3.375" style="34" customWidth="1"/>
    <col min="12040" max="12040" width="10.75" style="34" bestFit="1" customWidth="1"/>
    <col min="12041" max="12041" width="3.125" style="34" customWidth="1"/>
    <col min="12042" max="12042" width="11.25" style="34" bestFit="1" customWidth="1"/>
    <col min="12043" max="12043" width="2.5" style="34" customWidth="1"/>
    <col min="12044" max="12044" width="11.5" style="34" bestFit="1" customWidth="1"/>
    <col min="12045" max="12045" width="9.75" style="34" bestFit="1" customWidth="1"/>
    <col min="12046" max="12281" width="9" style="34"/>
    <col min="12282" max="12282" width="11.5" style="34" bestFit="1" customWidth="1"/>
    <col min="12283" max="12283" width="1.75" style="34" customWidth="1"/>
    <col min="12284" max="12284" width="42.5" style="34" bestFit="1" customWidth="1"/>
    <col min="12285" max="12285" width="2.75" style="34" customWidth="1"/>
    <col min="12286" max="12286" width="11" style="34" bestFit="1" customWidth="1"/>
    <col min="12287" max="12287" width="2.75" style="34" customWidth="1"/>
    <col min="12288" max="12288" width="12.125" style="34" bestFit="1" customWidth="1"/>
    <col min="12289" max="12289" width="2.5" style="34" customWidth="1"/>
    <col min="12290" max="12290" width="11.25" style="34" bestFit="1" customWidth="1"/>
    <col min="12291" max="12291" width="2.75" style="34" customWidth="1"/>
    <col min="12292" max="12292" width="11.5" style="34" bestFit="1" customWidth="1"/>
    <col min="12293" max="12293" width="2.5" style="34" customWidth="1"/>
    <col min="12294" max="12294" width="11" style="34" bestFit="1" customWidth="1"/>
    <col min="12295" max="12295" width="3.375" style="34" customWidth="1"/>
    <col min="12296" max="12296" width="10.75" style="34" bestFit="1" customWidth="1"/>
    <col min="12297" max="12297" width="3.125" style="34" customWidth="1"/>
    <col min="12298" max="12298" width="11.25" style="34" bestFit="1" customWidth="1"/>
    <col min="12299" max="12299" width="2.5" style="34" customWidth="1"/>
    <col min="12300" max="12300" width="11.5" style="34" bestFit="1" customWidth="1"/>
    <col min="12301" max="12301" width="9.75" style="34" bestFit="1" customWidth="1"/>
    <col min="12302" max="12537" width="9" style="34"/>
    <col min="12538" max="12538" width="11.5" style="34" bestFit="1" customWidth="1"/>
    <col min="12539" max="12539" width="1.75" style="34" customWidth="1"/>
    <col min="12540" max="12540" width="42.5" style="34" bestFit="1" customWidth="1"/>
    <col min="12541" max="12541" width="2.75" style="34" customWidth="1"/>
    <col min="12542" max="12542" width="11" style="34" bestFit="1" customWidth="1"/>
    <col min="12543" max="12543" width="2.75" style="34" customWidth="1"/>
    <col min="12544" max="12544" width="12.125" style="34" bestFit="1" customWidth="1"/>
    <col min="12545" max="12545" width="2.5" style="34" customWidth="1"/>
    <col min="12546" max="12546" width="11.25" style="34" bestFit="1" customWidth="1"/>
    <col min="12547" max="12547" width="2.75" style="34" customWidth="1"/>
    <col min="12548" max="12548" width="11.5" style="34" bestFit="1" customWidth="1"/>
    <col min="12549" max="12549" width="2.5" style="34" customWidth="1"/>
    <col min="12550" max="12550" width="11" style="34" bestFit="1" customWidth="1"/>
    <col min="12551" max="12551" width="3.375" style="34" customWidth="1"/>
    <col min="12552" max="12552" width="10.75" style="34" bestFit="1" customWidth="1"/>
    <col min="12553" max="12553" width="3.125" style="34" customWidth="1"/>
    <col min="12554" max="12554" width="11.25" style="34" bestFit="1" customWidth="1"/>
    <col min="12555" max="12555" width="2.5" style="34" customWidth="1"/>
    <col min="12556" max="12556" width="11.5" style="34" bestFit="1" customWidth="1"/>
    <col min="12557" max="12557" width="9.75" style="34" bestFit="1" customWidth="1"/>
    <col min="12558" max="12793" width="9" style="34"/>
    <col min="12794" max="12794" width="11.5" style="34" bestFit="1" customWidth="1"/>
    <col min="12795" max="12795" width="1.75" style="34" customWidth="1"/>
    <col min="12796" max="12796" width="42.5" style="34" bestFit="1" customWidth="1"/>
    <col min="12797" max="12797" width="2.75" style="34" customWidth="1"/>
    <col min="12798" max="12798" width="11" style="34" bestFit="1" customWidth="1"/>
    <col min="12799" max="12799" width="2.75" style="34" customWidth="1"/>
    <col min="12800" max="12800" width="12.125" style="34" bestFit="1" customWidth="1"/>
    <col min="12801" max="12801" width="2.5" style="34" customWidth="1"/>
    <col min="12802" max="12802" width="11.25" style="34" bestFit="1" customWidth="1"/>
    <col min="12803" max="12803" width="2.75" style="34" customWidth="1"/>
    <col min="12804" max="12804" width="11.5" style="34" bestFit="1" customWidth="1"/>
    <col min="12805" max="12805" width="2.5" style="34" customWidth="1"/>
    <col min="12806" max="12806" width="11" style="34" bestFit="1" customWidth="1"/>
    <col min="12807" max="12807" width="3.375" style="34" customWidth="1"/>
    <col min="12808" max="12808" width="10.75" style="34" bestFit="1" customWidth="1"/>
    <col min="12809" max="12809" width="3.125" style="34" customWidth="1"/>
    <col min="12810" max="12810" width="11.25" style="34" bestFit="1" customWidth="1"/>
    <col min="12811" max="12811" width="2.5" style="34" customWidth="1"/>
    <col min="12812" max="12812" width="11.5" style="34" bestFit="1" customWidth="1"/>
    <col min="12813" max="12813" width="9.75" style="34" bestFit="1" customWidth="1"/>
    <col min="12814" max="13049" width="9" style="34"/>
    <col min="13050" max="13050" width="11.5" style="34" bestFit="1" customWidth="1"/>
    <col min="13051" max="13051" width="1.75" style="34" customWidth="1"/>
    <col min="13052" max="13052" width="42.5" style="34" bestFit="1" customWidth="1"/>
    <col min="13053" max="13053" width="2.75" style="34" customWidth="1"/>
    <col min="13054" max="13054" width="11" style="34" bestFit="1" customWidth="1"/>
    <col min="13055" max="13055" width="2.75" style="34" customWidth="1"/>
    <col min="13056" max="13056" width="12.125" style="34" bestFit="1" customWidth="1"/>
    <col min="13057" max="13057" width="2.5" style="34" customWidth="1"/>
    <col min="13058" max="13058" width="11.25" style="34" bestFit="1" customWidth="1"/>
    <col min="13059" max="13059" width="2.75" style="34" customWidth="1"/>
    <col min="13060" max="13060" width="11.5" style="34" bestFit="1" customWidth="1"/>
    <col min="13061" max="13061" width="2.5" style="34" customWidth="1"/>
    <col min="13062" max="13062" width="11" style="34" bestFit="1" customWidth="1"/>
    <col min="13063" max="13063" width="3.375" style="34" customWidth="1"/>
    <col min="13064" max="13064" width="10.75" style="34" bestFit="1" customWidth="1"/>
    <col min="13065" max="13065" width="3.125" style="34" customWidth="1"/>
    <col min="13066" max="13066" width="11.25" style="34" bestFit="1" customWidth="1"/>
    <col min="13067" max="13067" width="2.5" style="34" customWidth="1"/>
    <col min="13068" max="13068" width="11.5" style="34" bestFit="1" customWidth="1"/>
    <col min="13069" max="13069" width="9.75" style="34" bestFit="1" customWidth="1"/>
    <col min="13070" max="13305" width="9" style="34"/>
    <col min="13306" max="13306" width="11.5" style="34" bestFit="1" customWidth="1"/>
    <col min="13307" max="13307" width="1.75" style="34" customWidth="1"/>
    <col min="13308" max="13308" width="42.5" style="34" bestFit="1" customWidth="1"/>
    <col min="13309" max="13309" width="2.75" style="34" customWidth="1"/>
    <col min="13310" max="13310" width="11" style="34" bestFit="1" customWidth="1"/>
    <col min="13311" max="13311" width="2.75" style="34" customWidth="1"/>
    <col min="13312" max="13312" width="12.125" style="34" bestFit="1" customWidth="1"/>
    <col min="13313" max="13313" width="2.5" style="34" customWidth="1"/>
    <col min="13314" max="13314" width="11.25" style="34" bestFit="1" customWidth="1"/>
    <col min="13315" max="13315" width="2.75" style="34" customWidth="1"/>
    <col min="13316" max="13316" width="11.5" style="34" bestFit="1" customWidth="1"/>
    <col min="13317" max="13317" width="2.5" style="34" customWidth="1"/>
    <col min="13318" max="13318" width="11" style="34" bestFit="1" customWidth="1"/>
    <col min="13319" max="13319" width="3.375" style="34" customWidth="1"/>
    <col min="13320" max="13320" width="10.75" style="34" bestFit="1" customWidth="1"/>
    <col min="13321" max="13321" width="3.125" style="34" customWidth="1"/>
    <col min="13322" max="13322" width="11.25" style="34" bestFit="1" customWidth="1"/>
    <col min="13323" max="13323" width="2.5" style="34" customWidth="1"/>
    <col min="13324" max="13324" width="11.5" style="34" bestFit="1" customWidth="1"/>
    <col min="13325" max="13325" width="9.75" style="34" bestFit="1" customWidth="1"/>
    <col min="13326" max="13561" width="9" style="34"/>
    <col min="13562" max="13562" width="11.5" style="34" bestFit="1" customWidth="1"/>
    <col min="13563" max="13563" width="1.75" style="34" customWidth="1"/>
    <col min="13564" max="13564" width="42.5" style="34" bestFit="1" customWidth="1"/>
    <col min="13565" max="13565" width="2.75" style="34" customWidth="1"/>
    <col min="13566" max="13566" width="11" style="34" bestFit="1" customWidth="1"/>
    <col min="13567" max="13567" width="2.75" style="34" customWidth="1"/>
    <col min="13568" max="13568" width="12.125" style="34" bestFit="1" customWidth="1"/>
    <col min="13569" max="13569" width="2.5" style="34" customWidth="1"/>
    <col min="13570" max="13570" width="11.25" style="34" bestFit="1" customWidth="1"/>
    <col min="13571" max="13571" width="2.75" style="34" customWidth="1"/>
    <col min="13572" max="13572" width="11.5" style="34" bestFit="1" customWidth="1"/>
    <col min="13573" max="13573" width="2.5" style="34" customWidth="1"/>
    <col min="13574" max="13574" width="11" style="34" bestFit="1" customWidth="1"/>
    <col min="13575" max="13575" width="3.375" style="34" customWidth="1"/>
    <col min="13576" max="13576" width="10.75" style="34" bestFit="1" customWidth="1"/>
    <col min="13577" max="13577" width="3.125" style="34" customWidth="1"/>
    <col min="13578" max="13578" width="11.25" style="34" bestFit="1" customWidth="1"/>
    <col min="13579" max="13579" width="2.5" style="34" customWidth="1"/>
    <col min="13580" max="13580" width="11.5" style="34" bestFit="1" customWidth="1"/>
    <col min="13581" max="13581" width="9.75" style="34" bestFit="1" customWidth="1"/>
    <col min="13582" max="13817" width="9" style="34"/>
    <col min="13818" max="13818" width="11.5" style="34" bestFit="1" customWidth="1"/>
    <col min="13819" max="13819" width="1.75" style="34" customWidth="1"/>
    <col min="13820" max="13820" width="42.5" style="34" bestFit="1" customWidth="1"/>
    <col min="13821" max="13821" width="2.75" style="34" customWidth="1"/>
    <col min="13822" max="13822" width="11" style="34" bestFit="1" customWidth="1"/>
    <col min="13823" max="13823" width="2.75" style="34" customWidth="1"/>
    <col min="13824" max="13824" width="12.125" style="34" bestFit="1" customWidth="1"/>
    <col min="13825" max="13825" width="2.5" style="34" customWidth="1"/>
    <col min="13826" max="13826" width="11.25" style="34" bestFit="1" customWidth="1"/>
    <col min="13827" max="13827" width="2.75" style="34" customWidth="1"/>
    <col min="13828" max="13828" width="11.5" style="34" bestFit="1" customWidth="1"/>
    <col min="13829" max="13829" width="2.5" style="34" customWidth="1"/>
    <col min="13830" max="13830" width="11" style="34" bestFit="1" customWidth="1"/>
    <col min="13831" max="13831" width="3.375" style="34" customWidth="1"/>
    <col min="13832" max="13832" width="10.75" style="34" bestFit="1" customWidth="1"/>
    <col min="13833" max="13833" width="3.125" style="34" customWidth="1"/>
    <col min="13834" max="13834" width="11.25" style="34" bestFit="1" customWidth="1"/>
    <col min="13835" max="13835" width="2.5" style="34" customWidth="1"/>
    <col min="13836" max="13836" width="11.5" style="34" bestFit="1" customWidth="1"/>
    <col min="13837" max="13837" width="9.75" style="34" bestFit="1" customWidth="1"/>
    <col min="13838" max="14073" width="9" style="34"/>
    <col min="14074" max="14074" width="11.5" style="34" bestFit="1" customWidth="1"/>
    <col min="14075" max="14075" width="1.75" style="34" customWidth="1"/>
    <col min="14076" max="14076" width="42.5" style="34" bestFit="1" customWidth="1"/>
    <col min="14077" max="14077" width="2.75" style="34" customWidth="1"/>
    <col min="14078" max="14078" width="11" style="34" bestFit="1" customWidth="1"/>
    <col min="14079" max="14079" width="2.75" style="34" customWidth="1"/>
    <col min="14080" max="14080" width="12.125" style="34" bestFit="1" customWidth="1"/>
    <col min="14081" max="14081" width="2.5" style="34" customWidth="1"/>
    <col min="14082" max="14082" width="11.25" style="34" bestFit="1" customWidth="1"/>
    <col min="14083" max="14083" width="2.75" style="34" customWidth="1"/>
    <col min="14084" max="14084" width="11.5" style="34" bestFit="1" customWidth="1"/>
    <col min="14085" max="14085" width="2.5" style="34" customWidth="1"/>
    <col min="14086" max="14086" width="11" style="34" bestFit="1" customWidth="1"/>
    <col min="14087" max="14087" width="3.375" style="34" customWidth="1"/>
    <col min="14088" max="14088" width="10.75" style="34" bestFit="1" customWidth="1"/>
    <col min="14089" max="14089" width="3.125" style="34" customWidth="1"/>
    <col min="14090" max="14090" width="11.25" style="34" bestFit="1" customWidth="1"/>
    <col min="14091" max="14091" width="2.5" style="34" customWidth="1"/>
    <col min="14092" max="14092" width="11.5" style="34" bestFit="1" customWidth="1"/>
    <col min="14093" max="14093" width="9.75" style="34" bestFit="1" customWidth="1"/>
    <col min="14094" max="14329" width="9" style="34"/>
    <col min="14330" max="14330" width="11.5" style="34" bestFit="1" customWidth="1"/>
    <col min="14331" max="14331" width="1.75" style="34" customWidth="1"/>
    <col min="14332" max="14332" width="42.5" style="34" bestFit="1" customWidth="1"/>
    <col min="14333" max="14333" width="2.75" style="34" customWidth="1"/>
    <col min="14334" max="14334" width="11" style="34" bestFit="1" customWidth="1"/>
    <col min="14335" max="14335" width="2.75" style="34" customWidth="1"/>
    <col min="14336" max="14336" width="12.125" style="34" bestFit="1" customWidth="1"/>
    <col min="14337" max="14337" width="2.5" style="34" customWidth="1"/>
    <col min="14338" max="14338" width="11.25" style="34" bestFit="1" customWidth="1"/>
    <col min="14339" max="14339" width="2.75" style="34" customWidth="1"/>
    <col min="14340" max="14340" width="11.5" style="34" bestFit="1" customWidth="1"/>
    <col min="14341" max="14341" width="2.5" style="34" customWidth="1"/>
    <col min="14342" max="14342" width="11" style="34" bestFit="1" customWidth="1"/>
    <col min="14343" max="14343" width="3.375" style="34" customWidth="1"/>
    <col min="14344" max="14344" width="10.75" style="34" bestFit="1" customWidth="1"/>
    <col min="14345" max="14345" width="3.125" style="34" customWidth="1"/>
    <col min="14346" max="14346" width="11.25" style="34" bestFit="1" customWidth="1"/>
    <col min="14347" max="14347" width="2.5" style="34" customWidth="1"/>
    <col min="14348" max="14348" width="11.5" style="34" bestFit="1" customWidth="1"/>
    <col min="14349" max="14349" width="9.75" style="34" bestFit="1" customWidth="1"/>
    <col min="14350" max="14585" width="9" style="34"/>
    <col min="14586" max="14586" width="11.5" style="34" bestFit="1" customWidth="1"/>
    <col min="14587" max="14587" width="1.75" style="34" customWidth="1"/>
    <col min="14588" max="14588" width="42.5" style="34" bestFit="1" customWidth="1"/>
    <col min="14589" max="14589" width="2.75" style="34" customWidth="1"/>
    <col min="14590" max="14590" width="11" style="34" bestFit="1" customWidth="1"/>
    <col min="14591" max="14591" width="2.75" style="34" customWidth="1"/>
    <col min="14592" max="14592" width="12.125" style="34" bestFit="1" customWidth="1"/>
    <col min="14593" max="14593" width="2.5" style="34" customWidth="1"/>
    <col min="14594" max="14594" width="11.25" style="34" bestFit="1" customWidth="1"/>
    <col min="14595" max="14595" width="2.75" style="34" customWidth="1"/>
    <col min="14596" max="14596" width="11.5" style="34" bestFit="1" customWidth="1"/>
    <col min="14597" max="14597" width="2.5" style="34" customWidth="1"/>
    <col min="14598" max="14598" width="11" style="34" bestFit="1" customWidth="1"/>
    <col min="14599" max="14599" width="3.375" style="34" customWidth="1"/>
    <col min="14600" max="14600" width="10.75" style="34" bestFit="1" customWidth="1"/>
    <col min="14601" max="14601" width="3.125" style="34" customWidth="1"/>
    <col min="14602" max="14602" width="11.25" style="34" bestFit="1" customWidth="1"/>
    <col min="14603" max="14603" width="2.5" style="34" customWidth="1"/>
    <col min="14604" max="14604" width="11.5" style="34" bestFit="1" customWidth="1"/>
    <col min="14605" max="14605" width="9.75" style="34" bestFit="1" customWidth="1"/>
    <col min="14606" max="14841" width="9" style="34"/>
    <col min="14842" max="14842" width="11.5" style="34" bestFit="1" customWidth="1"/>
    <col min="14843" max="14843" width="1.75" style="34" customWidth="1"/>
    <col min="14844" max="14844" width="42.5" style="34" bestFit="1" customWidth="1"/>
    <col min="14845" max="14845" width="2.75" style="34" customWidth="1"/>
    <col min="14846" max="14846" width="11" style="34" bestFit="1" customWidth="1"/>
    <col min="14847" max="14847" width="2.75" style="34" customWidth="1"/>
    <col min="14848" max="14848" width="12.125" style="34" bestFit="1" customWidth="1"/>
    <col min="14849" max="14849" width="2.5" style="34" customWidth="1"/>
    <col min="14850" max="14850" width="11.25" style="34" bestFit="1" customWidth="1"/>
    <col min="14851" max="14851" width="2.75" style="34" customWidth="1"/>
    <col min="14852" max="14852" width="11.5" style="34" bestFit="1" customWidth="1"/>
    <col min="14853" max="14853" width="2.5" style="34" customWidth="1"/>
    <col min="14854" max="14854" width="11" style="34" bestFit="1" customWidth="1"/>
    <col min="14855" max="14855" width="3.375" style="34" customWidth="1"/>
    <col min="14856" max="14856" width="10.75" style="34" bestFit="1" customWidth="1"/>
    <col min="14857" max="14857" width="3.125" style="34" customWidth="1"/>
    <col min="14858" max="14858" width="11.25" style="34" bestFit="1" customWidth="1"/>
    <col min="14859" max="14859" width="2.5" style="34" customWidth="1"/>
    <col min="14860" max="14860" width="11.5" style="34" bestFit="1" customWidth="1"/>
    <col min="14861" max="14861" width="9.75" style="34" bestFit="1" customWidth="1"/>
    <col min="14862" max="15097" width="9" style="34"/>
    <col min="15098" max="15098" width="11.5" style="34" bestFit="1" customWidth="1"/>
    <col min="15099" max="15099" width="1.75" style="34" customWidth="1"/>
    <col min="15100" max="15100" width="42.5" style="34" bestFit="1" customWidth="1"/>
    <col min="15101" max="15101" width="2.75" style="34" customWidth="1"/>
    <col min="15102" max="15102" width="11" style="34" bestFit="1" customWidth="1"/>
    <col min="15103" max="15103" width="2.75" style="34" customWidth="1"/>
    <col min="15104" max="15104" width="12.125" style="34" bestFit="1" customWidth="1"/>
    <col min="15105" max="15105" width="2.5" style="34" customWidth="1"/>
    <col min="15106" max="15106" width="11.25" style="34" bestFit="1" customWidth="1"/>
    <col min="15107" max="15107" width="2.75" style="34" customWidth="1"/>
    <col min="15108" max="15108" width="11.5" style="34" bestFit="1" customWidth="1"/>
    <col min="15109" max="15109" width="2.5" style="34" customWidth="1"/>
    <col min="15110" max="15110" width="11" style="34" bestFit="1" customWidth="1"/>
    <col min="15111" max="15111" width="3.375" style="34" customWidth="1"/>
    <col min="15112" max="15112" width="10.75" style="34" bestFit="1" customWidth="1"/>
    <col min="15113" max="15113" width="3.125" style="34" customWidth="1"/>
    <col min="15114" max="15114" width="11.25" style="34" bestFit="1" customWidth="1"/>
    <col min="15115" max="15115" width="2.5" style="34" customWidth="1"/>
    <col min="15116" max="15116" width="11.5" style="34" bestFit="1" customWidth="1"/>
    <col min="15117" max="15117" width="9.75" style="34" bestFit="1" customWidth="1"/>
    <col min="15118" max="15353" width="9" style="34"/>
    <col min="15354" max="15354" width="11.5" style="34" bestFit="1" customWidth="1"/>
    <col min="15355" max="15355" width="1.75" style="34" customWidth="1"/>
    <col min="15356" max="15356" width="42.5" style="34" bestFit="1" customWidth="1"/>
    <col min="15357" max="15357" width="2.75" style="34" customWidth="1"/>
    <col min="15358" max="15358" width="11" style="34" bestFit="1" customWidth="1"/>
    <col min="15359" max="15359" width="2.75" style="34" customWidth="1"/>
    <col min="15360" max="15360" width="12.125" style="34" bestFit="1" customWidth="1"/>
    <col min="15361" max="15361" width="2.5" style="34" customWidth="1"/>
    <col min="15362" max="15362" width="11.25" style="34" bestFit="1" customWidth="1"/>
    <col min="15363" max="15363" width="2.75" style="34" customWidth="1"/>
    <col min="15364" max="15364" width="11.5" style="34" bestFit="1" customWidth="1"/>
    <col min="15365" max="15365" width="2.5" style="34" customWidth="1"/>
    <col min="15366" max="15366" width="11" style="34" bestFit="1" customWidth="1"/>
    <col min="15367" max="15367" width="3.375" style="34" customWidth="1"/>
    <col min="15368" max="15368" width="10.75" style="34" bestFit="1" customWidth="1"/>
    <col min="15369" max="15369" width="3.125" style="34" customWidth="1"/>
    <col min="15370" max="15370" width="11.25" style="34" bestFit="1" customWidth="1"/>
    <col min="15371" max="15371" width="2.5" style="34" customWidth="1"/>
    <col min="15372" max="15372" width="11.5" style="34" bestFit="1" customWidth="1"/>
    <col min="15373" max="15373" width="9.75" style="34" bestFit="1" customWidth="1"/>
    <col min="15374" max="15609" width="9" style="34"/>
    <col min="15610" max="15610" width="11.5" style="34" bestFit="1" customWidth="1"/>
    <col min="15611" max="15611" width="1.75" style="34" customWidth="1"/>
    <col min="15612" max="15612" width="42.5" style="34" bestFit="1" customWidth="1"/>
    <col min="15613" max="15613" width="2.75" style="34" customWidth="1"/>
    <col min="15614" max="15614" width="11" style="34" bestFit="1" customWidth="1"/>
    <col min="15615" max="15615" width="2.75" style="34" customWidth="1"/>
    <col min="15616" max="15616" width="12.125" style="34" bestFit="1" customWidth="1"/>
    <col min="15617" max="15617" width="2.5" style="34" customWidth="1"/>
    <col min="15618" max="15618" width="11.25" style="34" bestFit="1" customWidth="1"/>
    <col min="15619" max="15619" width="2.75" style="34" customWidth="1"/>
    <col min="15620" max="15620" width="11.5" style="34" bestFit="1" customWidth="1"/>
    <col min="15621" max="15621" width="2.5" style="34" customWidth="1"/>
    <col min="15622" max="15622" width="11" style="34" bestFit="1" customWidth="1"/>
    <col min="15623" max="15623" width="3.375" style="34" customWidth="1"/>
    <col min="15624" max="15624" width="10.75" style="34" bestFit="1" customWidth="1"/>
    <col min="15625" max="15625" width="3.125" style="34" customWidth="1"/>
    <col min="15626" max="15626" width="11.25" style="34" bestFit="1" customWidth="1"/>
    <col min="15627" max="15627" width="2.5" style="34" customWidth="1"/>
    <col min="15628" max="15628" width="11.5" style="34" bestFit="1" customWidth="1"/>
    <col min="15629" max="15629" width="9.75" style="34" bestFit="1" customWidth="1"/>
    <col min="15630" max="15865" width="9" style="34"/>
    <col min="15866" max="15866" width="11.5" style="34" bestFit="1" customWidth="1"/>
    <col min="15867" max="15867" width="1.75" style="34" customWidth="1"/>
    <col min="15868" max="15868" width="42.5" style="34" bestFit="1" customWidth="1"/>
    <col min="15869" max="15869" width="2.75" style="34" customWidth="1"/>
    <col min="15870" max="15870" width="11" style="34" bestFit="1" customWidth="1"/>
    <col min="15871" max="15871" width="2.75" style="34" customWidth="1"/>
    <col min="15872" max="15872" width="12.125" style="34" bestFit="1" customWidth="1"/>
    <col min="15873" max="15873" width="2.5" style="34" customWidth="1"/>
    <col min="15874" max="15874" width="11.25" style="34" bestFit="1" customWidth="1"/>
    <col min="15875" max="15875" width="2.75" style="34" customWidth="1"/>
    <col min="15876" max="15876" width="11.5" style="34" bestFit="1" customWidth="1"/>
    <col min="15877" max="15877" width="2.5" style="34" customWidth="1"/>
    <col min="15878" max="15878" width="11" style="34" bestFit="1" customWidth="1"/>
    <col min="15879" max="15879" width="3.375" style="34" customWidth="1"/>
    <col min="15880" max="15880" width="10.75" style="34" bestFit="1" customWidth="1"/>
    <col min="15881" max="15881" width="3.125" style="34" customWidth="1"/>
    <col min="15882" max="15882" width="11.25" style="34" bestFit="1" customWidth="1"/>
    <col min="15883" max="15883" width="2.5" style="34" customWidth="1"/>
    <col min="15884" max="15884" width="11.5" style="34" bestFit="1" customWidth="1"/>
    <col min="15885" max="15885" width="9.75" style="34" bestFit="1" customWidth="1"/>
    <col min="15886" max="16121" width="9" style="34"/>
    <col min="16122" max="16122" width="11.5" style="34" bestFit="1" customWidth="1"/>
    <col min="16123" max="16123" width="1.75" style="34" customWidth="1"/>
    <col min="16124" max="16124" width="42.5" style="34" bestFit="1" customWidth="1"/>
    <col min="16125" max="16125" width="2.75" style="34" customWidth="1"/>
    <col min="16126" max="16126" width="11" style="34" bestFit="1" customWidth="1"/>
    <col min="16127" max="16127" width="2.75" style="34" customWidth="1"/>
    <col min="16128" max="16128" width="12.125" style="34" bestFit="1" customWidth="1"/>
    <col min="16129" max="16129" width="2.5" style="34" customWidth="1"/>
    <col min="16130" max="16130" width="11.25" style="34" bestFit="1" customWidth="1"/>
    <col min="16131" max="16131" width="2.75" style="34" customWidth="1"/>
    <col min="16132" max="16132" width="11.5" style="34" bestFit="1" customWidth="1"/>
    <col min="16133" max="16133" width="2.5" style="34" customWidth="1"/>
    <col min="16134" max="16134" width="11" style="34" bestFit="1" customWidth="1"/>
    <col min="16135" max="16135" width="3.375" style="34" customWidth="1"/>
    <col min="16136" max="16136" width="10.75" style="34" bestFit="1" customWidth="1"/>
    <col min="16137" max="16137" width="3.125" style="34" customWidth="1"/>
    <col min="16138" max="16138" width="11.25" style="34" bestFit="1" customWidth="1"/>
    <col min="16139" max="16139" width="2.5" style="34" customWidth="1"/>
    <col min="16140" max="16140" width="11.5" style="34" bestFit="1" customWidth="1"/>
    <col min="16141" max="16141" width="9.75" style="34" bestFit="1" customWidth="1"/>
    <col min="16142" max="16384" width="9" style="34"/>
  </cols>
  <sheetData>
    <row r="1" spans="1:19" s="47" customFormat="1" ht="15.75">
      <c r="A1" s="815" t="s">
        <v>971</v>
      </c>
      <c r="K1" s="159"/>
      <c r="L1" s="159"/>
    </row>
    <row r="2" spans="1:19" s="36" customFormat="1" ht="18">
      <c r="B2" s="37"/>
      <c r="C2" s="37"/>
      <c r="D2" s="37"/>
      <c r="E2" s="37"/>
      <c r="F2" s="37"/>
    </row>
    <row r="3" spans="1:19" s="36" customFormat="1" ht="18">
      <c r="A3" s="35"/>
      <c r="B3" s="37"/>
      <c r="C3" s="37"/>
      <c r="D3" s="37"/>
      <c r="E3" s="37"/>
      <c r="F3" s="37"/>
      <c r="J3" s="38"/>
      <c r="K3" s="39"/>
      <c r="L3" s="39"/>
    </row>
    <row r="4" spans="1:19" s="36" customFormat="1" ht="18">
      <c r="A4" s="1856" t="s">
        <v>200</v>
      </c>
      <c r="B4" s="1856"/>
      <c r="C4" s="1856"/>
      <c r="D4" s="1856"/>
      <c r="E4" s="1856"/>
      <c r="F4" s="1856"/>
      <c r="G4" s="1856"/>
      <c r="H4" s="1856"/>
      <c r="I4" s="1856"/>
      <c r="J4" s="1856"/>
      <c r="K4" s="1856"/>
      <c r="L4" s="1856"/>
      <c r="M4" s="1856"/>
    </row>
    <row r="5" spans="1:19" s="36" customFormat="1" ht="18">
      <c r="A5" s="1856" t="s">
        <v>103</v>
      </c>
      <c r="B5" s="1856"/>
      <c r="C5" s="1856"/>
      <c r="D5" s="1856"/>
      <c r="E5" s="1856"/>
      <c r="F5" s="1856"/>
      <c r="G5" s="1856"/>
      <c r="H5" s="1856"/>
      <c r="I5" s="1856"/>
      <c r="J5" s="1856"/>
      <c r="K5" s="1856"/>
      <c r="L5" s="1856"/>
      <c r="M5" s="1856"/>
    </row>
    <row r="6" spans="1:19" s="36" customFormat="1" ht="18">
      <c r="A6" s="1857" t="str">
        <f>SUMMARY!A7</f>
        <v>YEAR ENDING DECEMBER 31, 2018</v>
      </c>
      <c r="B6" s="1857"/>
      <c r="C6" s="1857"/>
      <c r="D6" s="1857"/>
      <c r="E6" s="1857"/>
      <c r="F6" s="1857"/>
      <c r="G6" s="1857"/>
      <c r="H6" s="1857"/>
      <c r="I6" s="1857"/>
      <c r="J6" s="1857"/>
      <c r="K6" s="1857"/>
      <c r="L6" s="1857"/>
      <c r="M6" s="1857"/>
    </row>
    <row r="7" spans="1:19" s="36" customFormat="1" ht="18">
      <c r="A7" s="41"/>
      <c r="B7" s="37"/>
      <c r="C7" s="37"/>
      <c r="D7" s="37"/>
      <c r="E7" s="37"/>
      <c r="F7" s="37"/>
      <c r="G7" s="37"/>
      <c r="H7" s="37"/>
    </row>
    <row r="8" spans="1:19" s="36" customFormat="1" ht="18">
      <c r="A8" s="1858" t="s">
        <v>972</v>
      </c>
      <c r="B8" s="1858"/>
      <c r="C8" s="1858"/>
      <c r="D8" s="1858"/>
      <c r="E8" s="1858"/>
      <c r="F8" s="1858"/>
      <c r="G8" s="1858"/>
      <c r="H8" s="1858"/>
      <c r="I8" s="1858"/>
      <c r="J8" s="1858"/>
      <c r="K8" s="1858"/>
      <c r="L8" s="1858"/>
      <c r="M8" s="1858"/>
    </row>
    <row r="9" spans="1:19" s="36" customFormat="1" ht="18">
      <c r="A9" s="1856" t="s">
        <v>252</v>
      </c>
      <c r="B9" s="1856"/>
      <c r="C9" s="1856"/>
      <c r="D9" s="1856"/>
      <c r="E9" s="1856"/>
      <c r="F9" s="1856"/>
      <c r="G9" s="1856"/>
      <c r="H9" s="1856"/>
      <c r="I9" s="1856"/>
      <c r="J9" s="1856"/>
      <c r="K9" s="1856"/>
      <c r="L9" s="1856"/>
      <c r="M9" s="1856"/>
    </row>
    <row r="10" spans="1:19" s="146" customFormat="1"/>
    <row r="11" spans="1:19" s="146" customFormat="1"/>
    <row r="12" spans="1:19" s="146" customFormat="1"/>
    <row r="13" spans="1:19" s="47" customFormat="1" ht="15.75">
      <c r="D13" s="1852">
        <v>2018</v>
      </c>
      <c r="E13" s="1853"/>
      <c r="F13" s="1853"/>
      <c r="G13" s="1853"/>
      <c r="H13" s="1855"/>
      <c r="I13" s="1852">
        <v>2017</v>
      </c>
      <c r="J13" s="1853"/>
      <c r="K13" s="1853"/>
      <c r="L13" s="1855"/>
      <c r="M13" s="146"/>
      <c r="N13" s="1250"/>
      <c r="O13" s="1250"/>
      <c r="P13" s="1250"/>
      <c r="Q13" s="1250"/>
      <c r="R13" s="1250"/>
      <c r="S13" s="585"/>
    </row>
    <row r="14" spans="1:19" s="47" customFormat="1" ht="15.75">
      <c r="E14" s="467" t="s">
        <v>234</v>
      </c>
      <c r="F14" s="467" t="s">
        <v>150</v>
      </c>
      <c r="G14" s="467" t="s">
        <v>234</v>
      </c>
      <c r="H14" s="467" t="s">
        <v>68</v>
      </c>
      <c r="I14" s="467" t="s">
        <v>234</v>
      </c>
      <c r="J14" s="467" t="s">
        <v>150</v>
      </c>
      <c r="K14" s="467" t="s">
        <v>234</v>
      </c>
      <c r="L14" s="467" t="s">
        <v>68</v>
      </c>
      <c r="N14" s="585"/>
      <c r="O14" s="585"/>
      <c r="P14" s="585"/>
      <c r="Q14" s="585"/>
      <c r="R14" s="585"/>
      <c r="S14" s="585"/>
    </row>
    <row r="15" spans="1:19" s="47" customFormat="1" ht="16.5" thickBot="1">
      <c r="B15" s="467" t="s">
        <v>30</v>
      </c>
      <c r="E15" s="447" t="s">
        <v>792</v>
      </c>
      <c r="F15" s="447" t="s">
        <v>280</v>
      </c>
      <c r="G15" s="447" t="s">
        <v>795</v>
      </c>
      <c r="H15" s="447" t="s">
        <v>794</v>
      </c>
      <c r="I15" s="447" t="s">
        <v>792</v>
      </c>
      <c r="J15" s="447" t="s">
        <v>280</v>
      </c>
      <c r="K15" s="447" t="s">
        <v>795</v>
      </c>
      <c r="L15" s="447" t="s">
        <v>794</v>
      </c>
    </row>
    <row r="16" spans="1:19" s="47" customFormat="1" ht="15.75">
      <c r="B16" s="467"/>
      <c r="E16" s="1235" t="s">
        <v>192</v>
      </c>
      <c r="F16" s="1235" t="s">
        <v>193</v>
      </c>
      <c r="G16" s="1235" t="s">
        <v>194</v>
      </c>
      <c r="H16" s="1235" t="s">
        <v>195</v>
      </c>
      <c r="I16" s="1235" t="s">
        <v>196</v>
      </c>
      <c r="J16" s="1235" t="s">
        <v>371</v>
      </c>
      <c r="K16" s="1235" t="s">
        <v>372</v>
      </c>
      <c r="L16" s="1235" t="s">
        <v>901</v>
      </c>
    </row>
    <row r="17" spans="1:12" ht="15">
      <c r="A17" s="1385" t="s">
        <v>471</v>
      </c>
      <c r="B17" s="707" t="s">
        <v>1872</v>
      </c>
      <c r="D17" s="707"/>
      <c r="E17" s="700">
        <v>50486953.469999999</v>
      </c>
      <c r="F17" s="1236">
        <v>24773744.469999999</v>
      </c>
      <c r="G17" s="700">
        <v>25713209</v>
      </c>
      <c r="H17" s="700">
        <v>1682899</v>
      </c>
      <c r="I17" s="700">
        <v>50486953.469999999</v>
      </c>
      <c r="J17" s="1236">
        <v>23090845.469999999</v>
      </c>
      <c r="K17" s="700">
        <v>27396108</v>
      </c>
      <c r="L17" s="700">
        <v>1682899</v>
      </c>
    </row>
    <row r="18" spans="1:12" ht="15">
      <c r="A18" s="1385" t="s">
        <v>473</v>
      </c>
      <c r="B18" s="707" t="s">
        <v>1873</v>
      </c>
      <c r="D18" s="707"/>
      <c r="E18" s="700">
        <v>325068838.27999997</v>
      </c>
      <c r="F18" s="1236">
        <v>73682273.280000001</v>
      </c>
      <c r="G18" s="700">
        <v>251386564.99999997</v>
      </c>
      <c r="H18" s="700">
        <v>6501377</v>
      </c>
      <c r="I18" s="700">
        <v>325068838.27999997</v>
      </c>
      <c r="J18" s="1236">
        <v>67180896.280000001</v>
      </c>
      <c r="K18" s="700">
        <v>257887941.99999997</v>
      </c>
      <c r="L18" s="700">
        <v>6501377</v>
      </c>
    </row>
    <row r="19" spans="1:12" ht="15">
      <c r="A19" s="1385" t="s">
        <v>494</v>
      </c>
      <c r="B19" s="707" t="s">
        <v>1874</v>
      </c>
      <c r="D19" s="707"/>
      <c r="E19" s="700">
        <v>100770599.44</v>
      </c>
      <c r="F19" s="1236">
        <v>19093847.440000001</v>
      </c>
      <c r="G19" s="700">
        <v>81676752</v>
      </c>
      <c r="H19" s="700">
        <v>2005927.6500000022</v>
      </c>
      <c r="I19" s="700">
        <v>99704143.790000007</v>
      </c>
      <c r="J19" s="1236">
        <v>17087919.789999999</v>
      </c>
      <c r="K19" s="700">
        <v>82616224</v>
      </c>
      <c r="L19" s="700">
        <v>1979899.7399999984</v>
      </c>
    </row>
    <row r="20" spans="1:12" ht="15">
      <c r="A20" s="1385" t="s">
        <v>541</v>
      </c>
      <c r="B20" s="1386"/>
      <c r="D20" s="707"/>
      <c r="E20" s="1387"/>
      <c r="F20" s="1387"/>
      <c r="G20" s="1387"/>
      <c r="H20" s="1387"/>
      <c r="I20" s="1387"/>
      <c r="J20" s="1387"/>
      <c r="K20" s="1387"/>
      <c r="L20" s="1387"/>
    </row>
    <row r="21" spans="1:12" s="1239" customFormat="1" ht="13.5" thickBot="1">
      <c r="A21" s="1237">
        <v>1</v>
      </c>
      <c r="B21" s="1237"/>
      <c r="C21" s="1237"/>
      <c r="D21" s="1238"/>
      <c r="E21" s="1238">
        <f t="shared" ref="E21:K21" si="0">SUM(E17:E20)</f>
        <v>476326391.19</v>
      </c>
      <c r="F21" s="1238">
        <f t="shared" si="0"/>
        <v>117549865.19</v>
      </c>
      <c r="G21" s="1238">
        <f t="shared" si="0"/>
        <v>358776526</v>
      </c>
      <c r="H21" s="1238">
        <f t="shared" si="0"/>
        <v>10190203.650000002</v>
      </c>
      <c r="I21" s="1238">
        <f t="shared" si="0"/>
        <v>475259935.54000002</v>
      </c>
      <c r="J21" s="1238">
        <f t="shared" si="0"/>
        <v>107359661.53999999</v>
      </c>
      <c r="K21" s="1238">
        <f t="shared" si="0"/>
        <v>367900274</v>
      </c>
      <c r="L21" s="1238">
        <f t="shared" ref="L21" si="1">SUM(L17:L19)</f>
        <v>10164175.739999998</v>
      </c>
    </row>
    <row r="22" spans="1:12" ht="13.5" thickTop="1">
      <c r="E22" s="1240"/>
      <c r="F22" s="1240"/>
      <c r="G22" s="1240"/>
      <c r="H22" s="1240"/>
      <c r="I22" s="1240"/>
      <c r="J22" s="1240"/>
      <c r="K22" s="1240"/>
      <c r="L22" s="1240"/>
    </row>
    <row r="23" spans="1:12" s="47" customFormat="1" ht="15.75">
      <c r="B23" s="467" t="s">
        <v>1120</v>
      </c>
      <c r="E23" s="450"/>
      <c r="F23" s="795"/>
      <c r="G23" s="450"/>
      <c r="H23" s="450"/>
      <c r="I23" s="450"/>
      <c r="J23" s="795"/>
      <c r="K23" s="450"/>
      <c r="L23" s="450"/>
    </row>
    <row r="24" spans="1:12">
      <c r="A24" s="34" t="s">
        <v>1266</v>
      </c>
      <c r="B24" s="707" t="s">
        <v>1872</v>
      </c>
      <c r="D24" s="707"/>
      <c r="E24" s="1241">
        <v>94078405.120000005</v>
      </c>
      <c r="F24" s="1236">
        <v>37533876.119999997</v>
      </c>
      <c r="G24" s="1236">
        <v>56544529.000000007</v>
      </c>
      <c r="H24" s="700">
        <v>3131710.0899999961</v>
      </c>
      <c r="I24" s="1241">
        <v>93832128.030000001</v>
      </c>
      <c r="J24" s="1236">
        <v>34402166.030000001</v>
      </c>
      <c r="K24" s="1236">
        <v>59429962</v>
      </c>
      <c r="L24" s="700">
        <v>3113298.3900000006</v>
      </c>
    </row>
    <row r="25" spans="1:12">
      <c r="A25" s="34" t="s">
        <v>1267</v>
      </c>
      <c r="B25" s="707" t="s">
        <v>1875</v>
      </c>
      <c r="D25" s="707"/>
      <c r="E25" s="1241">
        <v>24602050</v>
      </c>
      <c r="F25" s="1236">
        <v>6437537</v>
      </c>
      <c r="G25" s="1236">
        <v>18164513</v>
      </c>
      <c r="H25" s="700">
        <v>492041</v>
      </c>
      <c r="I25" s="1241">
        <v>24602050</v>
      </c>
      <c r="J25" s="1236">
        <v>5945496</v>
      </c>
      <c r="K25" s="1236">
        <v>18656554</v>
      </c>
      <c r="L25" s="700">
        <v>492041</v>
      </c>
    </row>
    <row r="26" spans="1:12">
      <c r="A26" s="34" t="s">
        <v>1268</v>
      </c>
      <c r="B26" s="707" t="s">
        <v>1876</v>
      </c>
      <c r="D26" s="707"/>
      <c r="E26" s="1241">
        <v>32990605.899999999</v>
      </c>
      <c r="F26" s="1236">
        <v>8611855.9000000004</v>
      </c>
      <c r="G26" s="1236">
        <v>24378750</v>
      </c>
      <c r="H26" s="700">
        <v>659813</v>
      </c>
      <c r="I26" s="1241">
        <v>32990605.899999999</v>
      </c>
      <c r="J26" s="1236">
        <v>7952042.9000000004</v>
      </c>
      <c r="K26" s="1236">
        <v>25038563</v>
      </c>
      <c r="L26" s="700">
        <v>659208.90000000037</v>
      </c>
    </row>
    <row r="27" spans="1:12">
      <c r="A27" s="34" t="s">
        <v>1269</v>
      </c>
      <c r="B27" s="707" t="s">
        <v>1877</v>
      </c>
      <c r="D27" s="707"/>
      <c r="E27" s="1236">
        <v>6412288.1600000001</v>
      </c>
      <c r="F27" s="1236">
        <v>1635882.16</v>
      </c>
      <c r="G27" s="1236">
        <v>4776406</v>
      </c>
      <c r="H27" s="700">
        <v>128246</v>
      </c>
      <c r="I27" s="1236">
        <v>6412288.1600000001</v>
      </c>
      <c r="J27" s="1236">
        <v>1507636.16</v>
      </c>
      <c r="K27" s="1236">
        <v>4904652</v>
      </c>
      <c r="L27" s="700">
        <v>128246</v>
      </c>
    </row>
    <row r="28" spans="1:12">
      <c r="A28" s="34" t="s">
        <v>1270</v>
      </c>
      <c r="B28" s="707" t="s">
        <v>1878</v>
      </c>
      <c r="D28" s="707"/>
      <c r="E28" s="1236">
        <v>16320373.34</v>
      </c>
      <c r="F28" s="1236">
        <v>4111531.34</v>
      </c>
      <c r="G28" s="1236">
        <v>12208842</v>
      </c>
      <c r="H28" s="700">
        <v>326408</v>
      </c>
      <c r="I28" s="1236">
        <v>16320373.34</v>
      </c>
      <c r="J28" s="1236">
        <v>3785123.34</v>
      </c>
      <c r="K28" s="1236">
        <v>12535250</v>
      </c>
      <c r="L28" s="700">
        <v>326408</v>
      </c>
    </row>
    <row r="29" spans="1:12">
      <c r="A29" s="34" t="s">
        <v>1271</v>
      </c>
      <c r="B29" s="707" t="s">
        <v>1879</v>
      </c>
      <c r="D29" s="707"/>
      <c r="E29" s="1236">
        <v>10367864.68</v>
      </c>
      <c r="F29" s="1236">
        <v>2755520.68</v>
      </c>
      <c r="G29" s="1236">
        <v>7612344</v>
      </c>
      <c r="H29" s="700">
        <v>229773.65000000037</v>
      </c>
      <c r="I29" s="1236">
        <v>10334183.029999999</v>
      </c>
      <c r="J29" s="1236">
        <v>2525747.0299999998</v>
      </c>
      <c r="K29" s="1236">
        <v>7808436</v>
      </c>
      <c r="L29" s="700">
        <v>228576.87999999989</v>
      </c>
    </row>
    <row r="30" spans="1:12">
      <c r="A30" s="34" t="s">
        <v>1272</v>
      </c>
      <c r="B30" s="707" t="s">
        <v>1880</v>
      </c>
      <c r="D30" s="707"/>
      <c r="E30" s="700">
        <v>9895993.5099999998</v>
      </c>
      <c r="F30" s="1236">
        <v>2774865.51</v>
      </c>
      <c r="G30" s="1236">
        <v>7121128</v>
      </c>
      <c r="H30" s="700">
        <v>329481.53999999957</v>
      </c>
      <c r="I30" s="700">
        <v>9882142.9700000007</v>
      </c>
      <c r="J30" s="1236">
        <v>2445383.9700000002</v>
      </c>
      <c r="K30" s="1236">
        <v>7436759</v>
      </c>
      <c r="L30" s="700">
        <v>329405</v>
      </c>
    </row>
    <row r="31" spans="1:12">
      <c r="A31" s="34" t="s">
        <v>541</v>
      </c>
      <c r="B31" s="707"/>
      <c r="D31" s="707"/>
      <c r="E31" s="1387"/>
      <c r="F31" s="1387"/>
      <c r="G31" s="1387"/>
      <c r="H31" s="1387"/>
      <c r="I31" s="1387"/>
      <c r="J31" s="1387"/>
      <c r="K31" s="1387"/>
      <c r="L31" s="700"/>
    </row>
    <row r="32" spans="1:12" s="1239" customFormat="1" ht="13.5" thickBot="1">
      <c r="A32" s="1237">
        <v>2</v>
      </c>
      <c r="B32" s="1237"/>
      <c r="C32" s="1237"/>
      <c r="D32" s="818"/>
      <c r="E32" s="1238">
        <f t="shared" ref="E32:K32" si="2">SUM(E24:E31)</f>
        <v>194667580.71000001</v>
      </c>
      <c r="F32" s="1238">
        <f t="shared" si="2"/>
        <v>63861068.709999993</v>
      </c>
      <c r="G32" s="1238">
        <f t="shared" si="2"/>
        <v>130806512</v>
      </c>
      <c r="H32" s="1238">
        <f t="shared" si="2"/>
        <v>5297473.2799999956</v>
      </c>
      <c r="I32" s="1238">
        <f t="shared" si="2"/>
        <v>194373771.43000001</v>
      </c>
      <c r="J32" s="1238">
        <f t="shared" si="2"/>
        <v>58563595.429999992</v>
      </c>
      <c r="K32" s="1238">
        <f t="shared" si="2"/>
        <v>135810176</v>
      </c>
      <c r="L32" s="1238">
        <f t="shared" ref="L32" si="3">SUM(L24:L30)</f>
        <v>5277184.1700000009</v>
      </c>
    </row>
    <row r="33" spans="1:13" s="1239" customFormat="1" ht="13.5" thickTop="1">
      <c r="A33" s="1237"/>
      <c r="B33" s="1237"/>
      <c r="C33" s="1237"/>
      <c r="D33" s="818"/>
      <c r="E33" s="1411"/>
      <c r="F33" s="1411"/>
      <c r="G33" s="1411"/>
      <c r="H33" s="1411"/>
      <c r="I33" s="1411"/>
      <c r="J33" s="1411"/>
      <c r="K33" s="1411"/>
      <c r="L33" s="1411"/>
    </row>
    <row r="34" spans="1:13" s="47" customFormat="1" ht="15.75">
      <c r="B34" s="467" t="s">
        <v>1885</v>
      </c>
      <c r="E34" s="450"/>
      <c r="F34" s="795"/>
      <c r="G34" s="450"/>
      <c r="H34" s="450"/>
      <c r="I34" s="450"/>
      <c r="J34" s="795"/>
      <c r="K34" s="450"/>
      <c r="L34" s="450"/>
    </row>
    <row r="35" spans="1:13">
      <c r="A35" s="34" t="s">
        <v>1277</v>
      </c>
      <c r="B35" s="707" t="s">
        <v>1881</v>
      </c>
      <c r="D35" s="707"/>
      <c r="E35" s="1241">
        <v>9073373.4000000004</v>
      </c>
      <c r="F35" s="1236">
        <v>772521.4</v>
      </c>
      <c r="G35" s="1236">
        <v>8300852</v>
      </c>
      <c r="H35" s="700">
        <v>294777.82</v>
      </c>
      <c r="I35" s="1241">
        <v>8521208.5800000001</v>
      </c>
      <c r="J35" s="1236">
        <v>477743.58</v>
      </c>
      <c r="K35" s="1236">
        <v>8043465</v>
      </c>
      <c r="L35" s="700">
        <v>260951.38</v>
      </c>
    </row>
    <row r="36" spans="1:13">
      <c r="A36" s="34" t="s">
        <v>541</v>
      </c>
      <c r="B36" s="707"/>
      <c r="D36" s="707"/>
      <c r="E36" s="1241"/>
      <c r="F36" s="1236"/>
      <c r="G36" s="1236"/>
      <c r="H36" s="700"/>
      <c r="I36" s="1241"/>
      <c r="J36" s="1236"/>
      <c r="K36" s="1241"/>
      <c r="L36" s="700"/>
    </row>
    <row r="37" spans="1:13">
      <c r="A37" s="34" t="s">
        <v>541</v>
      </c>
      <c r="B37" s="707"/>
      <c r="D37" s="707"/>
      <c r="E37" s="700"/>
      <c r="F37" s="1236"/>
      <c r="G37" s="1236"/>
      <c r="H37" s="700"/>
      <c r="I37" s="700"/>
      <c r="J37" s="1236"/>
      <c r="K37" s="700"/>
      <c r="L37" s="700"/>
    </row>
    <row r="38" spans="1:13">
      <c r="A38" s="34" t="s">
        <v>541</v>
      </c>
      <c r="B38" s="707"/>
      <c r="D38" s="707"/>
      <c r="E38" s="1387"/>
      <c r="F38" s="1387"/>
      <c r="G38" s="1387"/>
      <c r="H38" s="1387"/>
      <c r="I38" s="1387"/>
      <c r="J38" s="1387"/>
      <c r="K38" s="1387"/>
      <c r="L38" s="700"/>
    </row>
    <row r="39" spans="1:13" s="1239" customFormat="1" ht="13.5" thickBot="1">
      <c r="A39" s="1237">
        <v>3</v>
      </c>
      <c r="B39" s="1237"/>
      <c r="C39" s="1237"/>
      <c r="D39" s="818"/>
      <c r="E39" s="1238">
        <f t="shared" ref="E39:K39" si="4">SUM(E35:E38)</f>
        <v>9073373.4000000004</v>
      </c>
      <c r="F39" s="1238">
        <f t="shared" si="4"/>
        <v>772521.4</v>
      </c>
      <c r="G39" s="1238">
        <f t="shared" si="4"/>
        <v>8300852</v>
      </c>
      <c r="H39" s="1238">
        <f t="shared" si="4"/>
        <v>294777.82</v>
      </c>
      <c r="I39" s="1238">
        <f t="shared" si="4"/>
        <v>8521208.5800000001</v>
      </c>
      <c r="J39" s="1238">
        <f t="shared" si="4"/>
        <v>477743.58</v>
      </c>
      <c r="K39" s="1238">
        <f t="shared" si="4"/>
        <v>8043465</v>
      </c>
      <c r="L39" s="1238">
        <f>SUM(L35:L37)</f>
        <v>260951.38</v>
      </c>
    </row>
    <row r="40" spans="1:13" s="1239" customFormat="1" ht="13.5" thickTop="1">
      <c r="A40" s="1237"/>
      <c r="B40" s="1237"/>
      <c r="C40" s="1237"/>
      <c r="D40" s="818"/>
      <c r="E40" s="1411"/>
      <c r="F40" s="1411"/>
      <c r="G40" s="1411"/>
      <c r="H40" s="1411"/>
      <c r="I40" s="1411"/>
      <c r="J40" s="1411"/>
      <c r="K40" s="1411"/>
      <c r="L40" s="1411"/>
    </row>
    <row r="41" spans="1:13" s="1239" customFormat="1">
      <c r="A41" s="1237"/>
      <c r="B41" s="1237"/>
      <c r="C41" s="1237"/>
      <c r="D41" s="818"/>
      <c r="E41" s="1411"/>
      <c r="F41" s="1411"/>
      <c r="G41" s="1411"/>
      <c r="H41" s="1411"/>
      <c r="I41" s="1411"/>
      <c r="J41" s="1411"/>
      <c r="K41" s="1411"/>
      <c r="L41" s="1411"/>
    </row>
    <row r="42" spans="1:13">
      <c r="D42" s="1242"/>
      <c r="E42" s="1242"/>
      <c r="F42" s="1242"/>
      <c r="G42" s="1242"/>
      <c r="H42" s="1242"/>
      <c r="I42" s="1242"/>
      <c r="J42" s="1242"/>
      <c r="K42" s="1242"/>
      <c r="L42" s="1242"/>
    </row>
    <row r="43" spans="1:13" s="47" customFormat="1" ht="15.75">
      <c r="A43" s="47">
        <v>4</v>
      </c>
      <c r="B43" s="815" t="s">
        <v>253</v>
      </c>
      <c r="D43" s="453"/>
      <c r="E43" s="1243">
        <f t="shared" ref="E43:L43" si="5">+E32+E21+E39</f>
        <v>680067345.29999995</v>
      </c>
      <c r="F43" s="1243">
        <f t="shared" si="5"/>
        <v>182183455.29999998</v>
      </c>
      <c r="G43" s="1243">
        <f t="shared" si="5"/>
        <v>497883890</v>
      </c>
      <c r="H43" s="1243">
        <f t="shared" si="5"/>
        <v>15782454.749999998</v>
      </c>
      <c r="I43" s="1243">
        <f t="shared" si="5"/>
        <v>678154915.55000007</v>
      </c>
      <c r="J43" s="1243">
        <f t="shared" si="5"/>
        <v>166401000.54999998</v>
      </c>
      <c r="K43" s="1243">
        <f t="shared" si="5"/>
        <v>511753915</v>
      </c>
      <c r="L43" s="1243">
        <f t="shared" si="5"/>
        <v>15702311.290000001</v>
      </c>
      <c r="M43" s="1244"/>
    </row>
    <row r="45" spans="1:13" s="146" customFormat="1">
      <c r="G45" s="147"/>
      <c r="H45" s="147"/>
    </row>
  </sheetData>
  <customSheetViews>
    <customSheetView guid="{B321D76C-CDE5-48BB-9CDE-80FF97D58FCF}" scale="90" showPageBreaks="1" fitToPage="1" printArea="1" view="pageBreakPreview">
      <selection activeCell="D33" sqref="D33"/>
      <pageMargins left="0.2" right="0.2" top="0.5" bottom="0.25" header="0.3" footer="0.3"/>
      <printOptions horizontalCentered="1"/>
      <pageSetup scale="69" orientation="landscape" r:id="rId1"/>
    </customSheetView>
  </customSheetViews>
  <mergeCells count="7">
    <mergeCell ref="D13:H13"/>
    <mergeCell ref="I13:L13"/>
    <mergeCell ref="A4:M4"/>
    <mergeCell ref="A5:M5"/>
    <mergeCell ref="A9:M9"/>
    <mergeCell ref="A6:M6"/>
    <mergeCell ref="A8:M8"/>
  </mergeCells>
  <printOptions horizontalCentered="1"/>
  <pageMargins left="0.2" right="0.2" top="0.5" bottom="0.25" header="0.3" footer="0.3"/>
  <pageSetup scale="68" orientation="landscape"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pageSetUpPr fitToPage="1"/>
  </sheetPr>
  <dimension ref="A1:M31"/>
  <sheetViews>
    <sheetView tabSelected="1" view="pageBreakPreview" zoomScale="70" zoomScaleNormal="80" zoomScaleSheetLayoutView="70" workbookViewId="0">
      <selection activeCell="C30" sqref="C30"/>
    </sheetView>
  </sheetViews>
  <sheetFormatPr defaultColWidth="16.75" defaultRowHeight="12.75"/>
  <cols>
    <col min="1" max="1" width="7.75" style="27" customWidth="1"/>
    <col min="2" max="2" width="13.75" style="27" customWidth="1"/>
    <col min="3" max="3" width="2.75" style="27" customWidth="1"/>
    <col min="4" max="4" width="9.125" style="27" bestFit="1" customWidth="1"/>
    <col min="5" max="5" width="3.5" style="27" customWidth="1"/>
    <col min="6" max="6" width="12" style="27" customWidth="1"/>
    <col min="7" max="7" width="3.5" style="27" customWidth="1"/>
    <col min="8" max="8" width="15" style="27" bestFit="1" customWidth="1"/>
    <col min="9" max="9" width="2.75" style="27" customWidth="1"/>
    <col min="10" max="10" width="52.5" style="27" bestFit="1" customWidth="1"/>
    <col min="11" max="11" width="29.125" style="27" customWidth="1"/>
    <col min="12" max="16384" width="16.75" style="27"/>
  </cols>
  <sheetData>
    <row r="1" spans="1:13" ht="15.75">
      <c r="A1" s="14" t="s">
        <v>974</v>
      </c>
      <c r="B1" s="14"/>
      <c r="C1" s="14"/>
      <c r="D1" s="20"/>
      <c r="E1" s="20"/>
      <c r="F1" s="442"/>
      <c r="G1" s="20"/>
      <c r="H1" s="20"/>
      <c r="I1" s="20"/>
      <c r="J1" s="159"/>
      <c r="L1" s="67"/>
    </row>
    <row r="2" spans="1:13" ht="15.75">
      <c r="A2" s="14"/>
      <c r="B2" s="14"/>
      <c r="C2" s="14"/>
      <c r="D2" s="20"/>
      <c r="E2" s="20"/>
      <c r="F2" s="442"/>
      <c r="G2" s="20"/>
      <c r="H2" s="20"/>
      <c r="I2" s="20"/>
      <c r="J2" s="20"/>
      <c r="K2" s="67"/>
      <c r="L2" s="67"/>
      <c r="M2" s="22"/>
    </row>
    <row r="3" spans="1:13" ht="18">
      <c r="A3" s="12"/>
      <c r="B3" s="12"/>
      <c r="C3" s="12"/>
      <c r="D3" s="11"/>
      <c r="E3" s="11"/>
      <c r="F3" s="443"/>
      <c r="G3" s="11"/>
      <c r="H3" s="11"/>
      <c r="I3" s="11"/>
      <c r="J3" s="11"/>
      <c r="K3" s="11"/>
      <c r="L3" s="11"/>
      <c r="M3" s="427"/>
    </row>
    <row r="4" spans="1:13" ht="18">
      <c r="A4" s="1788" t="s">
        <v>200</v>
      </c>
      <c r="B4" s="1788"/>
      <c r="C4" s="1788"/>
      <c r="D4" s="1788"/>
      <c r="E4" s="1788"/>
      <c r="F4" s="1788"/>
      <c r="G4" s="1788"/>
      <c r="H4" s="1788"/>
      <c r="I4" s="1788"/>
      <c r="J4" s="1788"/>
      <c r="K4" s="1788"/>
      <c r="L4" s="71"/>
      <c r="M4" s="71"/>
    </row>
    <row r="5" spans="1:13" ht="18">
      <c r="A5" s="1788" t="s">
        <v>103</v>
      </c>
      <c r="B5" s="1788"/>
      <c r="C5" s="1788"/>
      <c r="D5" s="1788"/>
      <c r="E5" s="1788"/>
      <c r="F5" s="1788"/>
      <c r="G5" s="1788"/>
      <c r="H5" s="1788"/>
      <c r="I5" s="1788"/>
      <c r="J5" s="1788"/>
      <c r="K5" s="1788"/>
      <c r="L5" s="71"/>
      <c r="M5" s="71"/>
    </row>
    <row r="6" spans="1:13" ht="18">
      <c r="A6" s="1789" t="str">
        <f>SUMMARY!A7</f>
        <v>YEAR ENDING DECEMBER 31, 2018</v>
      </c>
      <c r="B6" s="1789"/>
      <c r="C6" s="1789"/>
      <c r="D6" s="1789"/>
      <c r="E6" s="1789"/>
      <c r="F6" s="1789"/>
      <c r="G6" s="1789"/>
      <c r="H6" s="1789"/>
      <c r="I6" s="1789"/>
      <c r="J6" s="1789"/>
      <c r="K6" s="1789"/>
      <c r="L6" s="71"/>
      <c r="M6" s="71"/>
    </row>
    <row r="7" spans="1:13" ht="18">
      <c r="A7" s="11"/>
      <c r="B7" s="11"/>
      <c r="C7" s="11"/>
      <c r="D7" s="11"/>
      <c r="E7" s="11"/>
      <c r="F7" s="23"/>
      <c r="G7" s="11"/>
      <c r="H7" s="11"/>
      <c r="I7" s="11"/>
      <c r="J7" s="11"/>
      <c r="K7" s="11"/>
      <c r="L7" s="11"/>
      <c r="M7" s="11"/>
    </row>
    <row r="8" spans="1:13" ht="18">
      <c r="A8" s="1790" t="s">
        <v>973</v>
      </c>
      <c r="B8" s="1790"/>
      <c r="C8" s="1790"/>
      <c r="D8" s="1790"/>
      <c r="E8" s="1790"/>
      <c r="F8" s="1790"/>
      <c r="G8" s="1790"/>
      <c r="H8" s="1790"/>
      <c r="I8" s="1790"/>
      <c r="J8" s="1790"/>
      <c r="K8" s="1790"/>
      <c r="L8" s="29"/>
      <c r="M8" s="29"/>
    </row>
    <row r="9" spans="1:13" ht="18">
      <c r="A9" s="1788" t="s">
        <v>1076</v>
      </c>
      <c r="B9" s="1788"/>
      <c r="C9" s="1788"/>
      <c r="D9" s="1788"/>
      <c r="E9" s="1788"/>
      <c r="F9" s="1788"/>
      <c r="G9" s="1788"/>
      <c r="H9" s="1788"/>
      <c r="I9" s="1788"/>
      <c r="J9" s="1788"/>
      <c r="K9" s="1788"/>
      <c r="L9" s="71"/>
      <c r="M9" s="71"/>
    </row>
    <row r="10" spans="1:13" ht="18">
      <c r="A10" s="71"/>
      <c r="B10" s="71"/>
      <c r="C10" s="71"/>
      <c r="D10" s="71"/>
      <c r="E10" s="71"/>
      <c r="F10" s="71"/>
      <c r="G10" s="71"/>
      <c r="H10" s="71"/>
      <c r="I10" s="71"/>
      <c r="J10" s="71"/>
      <c r="K10" s="71"/>
      <c r="L10" s="71"/>
      <c r="M10" s="71"/>
    </row>
    <row r="11" spans="1:13" ht="18">
      <c r="A11" s="71"/>
      <c r="B11" s="71"/>
      <c r="C11" s="71"/>
      <c r="D11" s="71"/>
      <c r="E11" s="71"/>
      <c r="F11" s="71"/>
      <c r="G11" s="71"/>
      <c r="H11" s="71"/>
      <c r="I11" s="71"/>
      <c r="J11" s="71"/>
      <c r="K11" s="71"/>
      <c r="L11" s="71"/>
      <c r="M11" s="71"/>
    </row>
    <row r="12" spans="1:13" ht="18">
      <c r="A12" s="71"/>
      <c r="B12" s="1388" t="s">
        <v>192</v>
      </c>
      <c r="C12" s="1388"/>
      <c r="D12" s="1388" t="s">
        <v>193</v>
      </c>
      <c r="E12" s="1388"/>
      <c r="F12" s="1388" t="s">
        <v>194</v>
      </c>
      <c r="G12" s="1388"/>
      <c r="H12" s="1388" t="s">
        <v>195</v>
      </c>
      <c r="I12" s="1388"/>
      <c r="J12" s="1388" t="s">
        <v>196</v>
      </c>
      <c r="K12" s="71"/>
      <c r="L12" s="71"/>
      <c r="M12" s="71"/>
    </row>
    <row r="13" spans="1:13" s="100" customFormat="1" ht="18.75" customHeight="1">
      <c r="B13" s="429"/>
      <c r="C13" s="429"/>
      <c r="D13" s="429"/>
      <c r="E13" s="429"/>
      <c r="F13" s="429"/>
      <c r="G13" s="429"/>
      <c r="H13" s="429"/>
      <c r="I13" s="429"/>
      <c r="J13" s="429"/>
    </row>
    <row r="14" spans="1:13" s="100" customFormat="1" ht="18.75" customHeight="1">
      <c r="B14" s="429" t="s">
        <v>302</v>
      </c>
      <c r="C14" s="429"/>
      <c r="D14" s="429" t="s">
        <v>169</v>
      </c>
      <c r="E14" s="429"/>
      <c r="F14" s="429"/>
      <c r="G14" s="429"/>
      <c r="H14" s="429" t="s">
        <v>284</v>
      </c>
      <c r="I14" s="429"/>
      <c r="J14" s="429"/>
    </row>
    <row r="15" spans="1:13" s="100" customFormat="1" ht="18.75" customHeight="1">
      <c r="B15" s="571" t="s">
        <v>303</v>
      </c>
      <c r="C15" s="572"/>
      <c r="D15" s="571" t="s">
        <v>301</v>
      </c>
      <c r="E15" s="429"/>
      <c r="F15" s="571" t="s">
        <v>2</v>
      </c>
      <c r="G15" s="572"/>
      <c r="H15" s="571" t="s">
        <v>338</v>
      </c>
      <c r="I15" s="572"/>
      <c r="J15" s="571" t="s">
        <v>248</v>
      </c>
    </row>
    <row r="16" spans="1:13" s="100" customFormat="1" ht="18.75" customHeight="1">
      <c r="A16" s="574" t="s">
        <v>471</v>
      </c>
      <c r="B16" s="687" t="s">
        <v>1854</v>
      </c>
      <c r="C16" s="687"/>
      <c r="D16" s="687" t="s">
        <v>1855</v>
      </c>
      <c r="E16" s="1618"/>
      <c r="F16" s="688" t="s">
        <v>1856</v>
      </c>
      <c r="G16" s="687"/>
      <c r="H16" s="719">
        <v>62000000</v>
      </c>
      <c r="I16" s="1625"/>
      <c r="J16" s="687" t="s">
        <v>1857</v>
      </c>
    </row>
    <row r="17" spans="1:10" s="100" customFormat="1" ht="18.75" customHeight="1">
      <c r="A17" s="574" t="s">
        <v>473</v>
      </c>
      <c r="B17" s="687" t="s">
        <v>1858</v>
      </c>
      <c r="C17" s="687"/>
      <c r="D17" s="687" t="s">
        <v>1859</v>
      </c>
      <c r="E17" s="1618"/>
      <c r="F17" s="688" t="s">
        <v>1856</v>
      </c>
      <c r="G17" s="687"/>
      <c r="H17" s="1625">
        <v>37000000</v>
      </c>
      <c r="I17" s="1625"/>
      <c r="J17" s="687" t="s">
        <v>1860</v>
      </c>
    </row>
    <row r="18" spans="1:10" s="100" customFormat="1" ht="18.75" customHeight="1">
      <c r="A18" s="574" t="s">
        <v>494</v>
      </c>
      <c r="B18" s="687" t="s">
        <v>1858</v>
      </c>
      <c r="C18" s="687"/>
      <c r="D18" s="687" t="s">
        <v>1861</v>
      </c>
      <c r="E18" s="687"/>
      <c r="F18" s="688" t="s">
        <v>1856</v>
      </c>
      <c r="G18" s="687"/>
      <c r="H18" s="1625">
        <v>26000000</v>
      </c>
      <c r="I18" s="1625"/>
      <c r="J18" s="687" t="s">
        <v>1862</v>
      </c>
    </row>
    <row r="19" spans="1:10" s="100" customFormat="1" ht="18.75" customHeight="1">
      <c r="A19" s="574" t="s">
        <v>495</v>
      </c>
      <c r="B19" s="687" t="s">
        <v>1863</v>
      </c>
      <c r="C19" s="687"/>
      <c r="D19" s="687" t="s">
        <v>1855</v>
      </c>
      <c r="E19" s="687"/>
      <c r="F19" s="688" t="s">
        <v>1856</v>
      </c>
      <c r="G19" s="687"/>
      <c r="H19" s="1625">
        <v>14816000</v>
      </c>
      <c r="I19" s="1625"/>
      <c r="J19" s="687" t="s">
        <v>1864</v>
      </c>
    </row>
    <row r="20" spans="1:10" s="100" customFormat="1" ht="18.75" customHeight="1">
      <c r="A20" s="574" t="s">
        <v>496</v>
      </c>
      <c r="B20" s="687" t="s">
        <v>1865</v>
      </c>
      <c r="C20" s="687"/>
      <c r="D20" s="687" t="s">
        <v>1866</v>
      </c>
      <c r="E20" s="687"/>
      <c r="F20" s="688" t="s">
        <v>1856</v>
      </c>
      <c r="G20" s="687"/>
      <c r="H20" s="1625">
        <v>30000000</v>
      </c>
      <c r="I20" s="1625"/>
      <c r="J20" s="687" t="s">
        <v>1867</v>
      </c>
    </row>
    <row r="21" spans="1:10" s="100" customFormat="1" ht="18.75" customHeight="1">
      <c r="A21" s="574" t="s">
        <v>497</v>
      </c>
      <c r="B21" s="687" t="s">
        <v>1865</v>
      </c>
      <c r="C21" s="687"/>
      <c r="D21" s="687" t="s">
        <v>1868</v>
      </c>
      <c r="E21" s="687"/>
      <c r="F21" s="688" t="s">
        <v>1856</v>
      </c>
      <c r="G21" s="687"/>
      <c r="H21" s="1625">
        <v>16000000</v>
      </c>
      <c r="I21" s="1625"/>
      <c r="J21" s="687" t="s">
        <v>1869</v>
      </c>
    </row>
    <row r="22" spans="1:10" s="100" customFormat="1" ht="18.75" customHeight="1">
      <c r="A22" s="574" t="s">
        <v>498</v>
      </c>
      <c r="B22" s="687" t="s">
        <v>1865</v>
      </c>
      <c r="C22" s="687"/>
      <c r="D22" s="687" t="s">
        <v>1870</v>
      </c>
      <c r="E22" s="687"/>
      <c r="F22" s="688" t="s">
        <v>1856</v>
      </c>
      <c r="G22" s="687"/>
      <c r="H22" s="1625">
        <v>18000000</v>
      </c>
      <c r="I22" s="1625"/>
      <c r="J22" s="687" t="s">
        <v>1871</v>
      </c>
    </row>
    <row r="23" spans="1:10" s="100" customFormat="1" ht="18.75" customHeight="1">
      <c r="A23" s="574" t="s">
        <v>541</v>
      </c>
      <c r="B23" s="1389"/>
      <c r="C23" s="687"/>
      <c r="D23" s="1389"/>
      <c r="E23" s="687"/>
      <c r="F23" s="1389"/>
      <c r="G23" s="687"/>
      <c r="H23" s="1390"/>
      <c r="I23" s="689"/>
      <c r="J23" s="1389"/>
    </row>
    <row r="24" spans="1:10" s="100" customFormat="1" ht="18.75" customHeight="1">
      <c r="A24" s="479">
        <v>2</v>
      </c>
      <c r="B24" s="574"/>
      <c r="C24" s="574"/>
      <c r="D24" s="574" t="s">
        <v>295</v>
      </c>
      <c r="E24" s="574"/>
      <c r="F24" s="623" t="s">
        <v>296</v>
      </c>
      <c r="G24" s="574"/>
      <c r="H24" s="576">
        <f>SUM(H16:H23)</f>
        <v>203816000</v>
      </c>
      <c r="I24" s="577"/>
      <c r="J24" s="574" t="s">
        <v>297</v>
      </c>
    </row>
    <row r="25" spans="1:10" s="100" customFormat="1" ht="15.75">
      <c r="A25" s="479"/>
      <c r="H25" s="322"/>
    </row>
    <row r="26" spans="1:10" s="100" customFormat="1" ht="15.75">
      <c r="A26" s="479"/>
      <c r="H26" s="322"/>
    </row>
    <row r="27" spans="1:10" s="100" customFormat="1" ht="15.75">
      <c r="A27" s="479">
        <v>3</v>
      </c>
      <c r="B27" s="100" t="s">
        <v>299</v>
      </c>
      <c r="H27" s="547">
        <f>H24-H28</f>
        <v>173816000</v>
      </c>
      <c r="I27" s="622"/>
    </row>
    <row r="28" spans="1:10" s="100" customFormat="1" ht="15.75">
      <c r="A28" s="479">
        <v>4</v>
      </c>
      <c r="B28" s="100" t="s">
        <v>298</v>
      </c>
      <c r="H28" s="547">
        <f>H20</f>
        <v>30000000</v>
      </c>
      <c r="I28" s="622"/>
    </row>
    <row r="29" spans="1:10" s="100" customFormat="1" ht="15.75">
      <c r="A29" s="479">
        <v>5</v>
      </c>
      <c r="B29" s="100" t="s">
        <v>300</v>
      </c>
      <c r="H29" s="547">
        <v>0</v>
      </c>
      <c r="I29" s="622"/>
    </row>
    <row r="30" spans="1:10" s="100" customFormat="1" ht="15">
      <c r="A30" s="479"/>
    </row>
    <row r="31" spans="1:10" s="100" customFormat="1" ht="15"/>
  </sheetData>
  <customSheetViews>
    <customSheetView guid="{B321D76C-CDE5-48BB-9CDE-80FF97D58FCF}" scale="70" showPageBreaks="1" fitToPage="1" printArea="1" view="pageBreakPreview">
      <selection activeCell="D33" sqref="D33"/>
      <colBreaks count="1" manualBreakCount="1">
        <brk id="11" max="29" man="1"/>
      </colBreaks>
      <pageMargins left="0.7" right="0.7" top="0.75" bottom="0.75" header="0.3" footer="0.3"/>
      <printOptions horizontalCentered="1"/>
      <pageSetup scale="82" orientation="landscape" r:id="rId1"/>
    </customSheetView>
  </customSheetViews>
  <mergeCells count="5">
    <mergeCell ref="A4:K4"/>
    <mergeCell ref="A5:K5"/>
    <mergeCell ref="A6:K6"/>
    <mergeCell ref="A8:K8"/>
    <mergeCell ref="A9:K9"/>
  </mergeCells>
  <printOptions horizontalCentered="1"/>
  <pageMargins left="0.7" right="0.7" top="0.75" bottom="0.75" header="0.3" footer="0.3"/>
  <pageSetup scale="82" orientation="landscape" r:id="rId2"/>
  <colBreaks count="1" manualBreakCount="1">
    <brk id="11" max="29" man="1"/>
  </colBreaks>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A1:P27"/>
  <sheetViews>
    <sheetView tabSelected="1" view="pageBreakPreview" topLeftCell="A4" zoomScaleNormal="100" zoomScaleSheetLayoutView="100" workbookViewId="0">
      <selection activeCell="C30" sqref="C30"/>
    </sheetView>
  </sheetViews>
  <sheetFormatPr defaultColWidth="9" defaultRowHeight="12.75"/>
  <cols>
    <col min="1" max="1" width="3" style="27" customWidth="1"/>
    <col min="2" max="2" width="4.25" style="27" customWidth="1"/>
    <col min="3" max="3" width="26.5" style="27" bestFit="1" customWidth="1"/>
    <col min="4" max="4" width="16" style="27" customWidth="1"/>
    <col min="5" max="5" width="1.75" style="27" customWidth="1"/>
    <col min="6" max="6" width="14" style="27" customWidth="1"/>
    <col min="7" max="9" width="9" style="27"/>
    <col min="10" max="10" width="10.5" style="27" bestFit="1" customWidth="1"/>
    <col min="11" max="11" width="29.125" style="27" customWidth="1"/>
    <col min="12" max="16384" width="9" style="27"/>
  </cols>
  <sheetData>
    <row r="1" spans="1:16" s="535" customFormat="1" ht="15.75">
      <c r="A1" s="14" t="s">
        <v>975</v>
      </c>
      <c r="B1" s="109"/>
      <c r="C1" s="109"/>
      <c r="D1" s="542"/>
      <c r="E1" s="542"/>
      <c r="F1" s="109"/>
      <c r="G1" s="109"/>
      <c r="H1" s="109"/>
      <c r="I1" s="109"/>
      <c r="J1" s="109"/>
      <c r="K1" s="109"/>
      <c r="L1" s="169"/>
      <c r="P1" s="170"/>
    </row>
    <row r="2" spans="1:16" s="533" customFormat="1"/>
    <row r="3" spans="1:16" s="533" customFormat="1" ht="18">
      <c r="A3" s="112"/>
      <c r="B3" s="113"/>
      <c r="C3" s="113"/>
      <c r="D3" s="554"/>
      <c r="E3" s="554"/>
      <c r="F3" s="113"/>
      <c r="G3" s="113"/>
      <c r="H3" s="113"/>
      <c r="I3" s="113"/>
      <c r="J3" s="113"/>
      <c r="K3" s="113"/>
      <c r="L3" s="113"/>
      <c r="M3" s="113"/>
      <c r="N3" s="113"/>
      <c r="O3" s="113"/>
      <c r="P3" s="430"/>
    </row>
    <row r="4" spans="1:16" s="533" customFormat="1" ht="18">
      <c r="A4" s="1835" t="s">
        <v>200</v>
      </c>
      <c r="B4" s="1835"/>
      <c r="C4" s="1835"/>
      <c r="D4" s="1835"/>
      <c r="E4" s="1835"/>
      <c r="F4" s="1835"/>
      <c r="G4" s="172"/>
      <c r="H4" s="172"/>
      <c r="I4" s="172"/>
      <c r="J4" s="172"/>
      <c r="K4" s="172"/>
      <c r="L4" s="172"/>
      <c r="M4" s="172"/>
      <c r="N4" s="172"/>
      <c r="O4" s="172"/>
      <c r="P4" s="172"/>
    </row>
    <row r="5" spans="1:16" s="533" customFormat="1" ht="18">
      <c r="A5" s="1835" t="s">
        <v>103</v>
      </c>
      <c r="B5" s="1835"/>
      <c r="C5" s="1835"/>
      <c r="D5" s="1835"/>
      <c r="E5" s="1835"/>
      <c r="F5" s="1835"/>
      <c r="G5" s="172"/>
      <c r="H5" s="172"/>
      <c r="I5" s="172"/>
      <c r="J5" s="172"/>
      <c r="K5" s="172"/>
      <c r="L5" s="172"/>
      <c r="M5" s="172"/>
      <c r="N5" s="172"/>
      <c r="O5" s="172"/>
      <c r="P5" s="172"/>
    </row>
    <row r="6" spans="1:16" s="533" customFormat="1" ht="18">
      <c r="A6" s="1836" t="str">
        <f>SUMMARY!A7</f>
        <v>YEAR ENDING DECEMBER 31, 2018</v>
      </c>
      <c r="B6" s="1836"/>
      <c r="C6" s="1836"/>
      <c r="D6" s="1836"/>
      <c r="E6" s="1836"/>
      <c r="F6" s="1836"/>
      <c r="G6" s="172"/>
      <c r="H6" s="172"/>
      <c r="I6" s="172"/>
      <c r="J6" s="172"/>
      <c r="K6" s="172"/>
      <c r="L6" s="172"/>
      <c r="M6" s="172"/>
      <c r="N6" s="172"/>
      <c r="O6" s="172"/>
      <c r="P6" s="172"/>
    </row>
    <row r="7" spans="1:16" s="533" customFormat="1" ht="12" customHeight="1">
      <c r="A7" s="113"/>
      <c r="B7" s="113"/>
      <c r="C7" s="113"/>
      <c r="D7" s="116"/>
      <c r="E7" s="116"/>
      <c r="F7" s="113"/>
      <c r="G7" s="113"/>
      <c r="H7" s="113"/>
      <c r="I7" s="113"/>
      <c r="J7" s="113"/>
      <c r="K7" s="113"/>
      <c r="L7" s="113"/>
      <c r="M7" s="113"/>
      <c r="N7" s="113"/>
      <c r="O7" s="113"/>
      <c r="P7" s="113"/>
    </row>
    <row r="8" spans="1:16" s="533" customFormat="1" ht="18">
      <c r="A8" s="1837" t="s">
        <v>976</v>
      </c>
      <c r="B8" s="1837"/>
      <c r="C8" s="1837"/>
      <c r="D8" s="1837"/>
      <c r="E8" s="1837"/>
      <c r="F8" s="1837"/>
      <c r="G8" s="173"/>
      <c r="H8" s="173"/>
      <c r="I8" s="173"/>
      <c r="J8" s="173"/>
      <c r="K8" s="173"/>
      <c r="L8" s="173"/>
      <c r="M8" s="173"/>
      <c r="N8" s="173"/>
      <c r="O8" s="173"/>
      <c r="P8" s="173"/>
    </row>
    <row r="9" spans="1:16" s="533" customFormat="1" ht="18">
      <c r="A9" s="1835" t="s">
        <v>705</v>
      </c>
      <c r="B9" s="1835"/>
      <c r="C9" s="1835"/>
      <c r="D9" s="1835"/>
      <c r="E9" s="1835"/>
      <c r="F9" s="1835"/>
      <c r="G9" s="172"/>
      <c r="H9" s="172"/>
      <c r="I9" s="172"/>
      <c r="J9" s="172"/>
      <c r="K9" s="172"/>
      <c r="L9" s="172"/>
      <c r="M9" s="172"/>
      <c r="N9" s="172"/>
      <c r="O9" s="172"/>
      <c r="P9" s="172"/>
    </row>
    <row r="12" spans="1:16" ht="15">
      <c r="C12" s="557" t="s">
        <v>453</v>
      </c>
    </row>
    <row r="13" spans="1:16" ht="15">
      <c r="C13" s="557"/>
    </row>
    <row r="14" spans="1:16" ht="15">
      <c r="C14" s="1397" t="s">
        <v>192</v>
      </c>
      <c r="D14" s="1397" t="s">
        <v>193</v>
      </c>
      <c r="E14" s="1397"/>
      <c r="F14" s="1397" t="s">
        <v>194</v>
      </c>
      <c r="G14" s="1388"/>
    </row>
    <row r="15" spans="1:16">
      <c r="D15" s="715">
        <v>2018</v>
      </c>
      <c r="E15" s="716"/>
      <c r="F15" s="715">
        <v>2017</v>
      </c>
    </row>
    <row r="16" spans="1:16">
      <c r="D16" s="558" t="s">
        <v>338</v>
      </c>
      <c r="F16" s="558" t="s">
        <v>338</v>
      </c>
    </row>
    <row r="17" spans="1:6" ht="14.25">
      <c r="C17" s="559"/>
    </row>
    <row r="18" spans="1:6" ht="14.25">
      <c r="A18" s="27">
        <v>1</v>
      </c>
      <c r="C18" s="559" t="s">
        <v>434</v>
      </c>
      <c r="D18" s="1739">
        <v>178236935</v>
      </c>
      <c r="F18" s="717">
        <v>172331194.99999997</v>
      </c>
    </row>
    <row r="19" spans="1:6" ht="14.25">
      <c r="A19" s="27">
        <v>2</v>
      </c>
      <c r="C19" s="559" t="s">
        <v>435</v>
      </c>
      <c r="D19" s="1739">
        <v>118768024.06</v>
      </c>
      <c r="F19" s="717">
        <v>110395189.00997718</v>
      </c>
    </row>
    <row r="20" spans="1:6" ht="14.25">
      <c r="A20" s="27">
        <v>3</v>
      </c>
      <c r="C20" s="559" t="s">
        <v>436</v>
      </c>
      <c r="D20" s="1740">
        <v>4017859</v>
      </c>
      <c r="F20" s="718">
        <v>4126483</v>
      </c>
    </row>
    <row r="21" spans="1:6" ht="15">
      <c r="A21" s="27">
        <v>4</v>
      </c>
      <c r="C21" s="557" t="s">
        <v>4</v>
      </c>
      <c r="D21" s="560">
        <f>SUM(D18:D20)</f>
        <v>301022818.06</v>
      </c>
      <c r="F21" s="560">
        <f>SUM(F17:F20)</f>
        <v>286852867.00997716</v>
      </c>
    </row>
    <row r="22" spans="1:6" ht="15">
      <c r="C22" s="557"/>
      <c r="D22" s="560"/>
      <c r="F22" s="560"/>
    </row>
    <row r="23" spans="1:6" ht="14.25">
      <c r="A23" s="997"/>
      <c r="B23" s="997"/>
      <c r="C23" s="997"/>
      <c r="D23" s="1486"/>
      <c r="E23" s="997"/>
      <c r="F23" s="997"/>
    </row>
    <row r="24" spans="1:6" ht="13.15" customHeight="1">
      <c r="A24" s="1859" t="s">
        <v>1713</v>
      </c>
      <c r="B24" s="1860"/>
      <c r="C24" s="1860"/>
      <c r="D24" s="1860"/>
      <c r="E24" s="1860"/>
      <c r="F24" s="1860"/>
    </row>
    <row r="25" spans="1:6">
      <c r="A25" s="1861"/>
      <c r="B25" s="1861"/>
      <c r="C25" s="1861"/>
      <c r="D25" s="1861"/>
      <c r="E25" s="1861"/>
      <c r="F25" s="1861"/>
    </row>
    <row r="26" spans="1:6">
      <c r="A26" s="1861"/>
      <c r="B26" s="1861"/>
      <c r="C26" s="1861"/>
      <c r="D26" s="1861"/>
      <c r="E26" s="1861"/>
      <c r="F26" s="1861"/>
    </row>
    <row r="27" spans="1:6">
      <c r="A27" s="1861"/>
      <c r="B27" s="1861"/>
      <c r="C27" s="1861"/>
      <c r="D27" s="1861"/>
      <c r="E27" s="1861"/>
      <c r="F27" s="1861"/>
    </row>
  </sheetData>
  <customSheetViews>
    <customSheetView guid="{B321D76C-CDE5-48BB-9CDE-80FF97D58FCF}" showPageBreaks="1" printArea="1" view="pageBreakPreview" topLeftCell="A10">
      <selection activeCell="D33" sqref="D33"/>
      <pageMargins left="0.7" right="0.7" top="0.75" bottom="0.75" header="0.3" footer="0.3"/>
      <printOptions horizontalCentered="1"/>
      <pageSetup orientation="portrait" r:id="rId1"/>
    </customSheetView>
  </customSheetViews>
  <mergeCells count="6">
    <mergeCell ref="A24:F27"/>
    <mergeCell ref="A8:F8"/>
    <mergeCell ref="A9:F9"/>
    <mergeCell ref="A4:F4"/>
    <mergeCell ref="A5:F5"/>
    <mergeCell ref="A6:F6"/>
  </mergeCells>
  <printOptions horizontalCentered="1"/>
  <pageMargins left="0.7" right="0.7" top="0.75" bottom="0.75" header="0.3" footer="0.3"/>
  <pageSetup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000"/>
    <pageSetUpPr fitToPage="1"/>
  </sheetPr>
  <dimension ref="A1:N54"/>
  <sheetViews>
    <sheetView tabSelected="1" view="pageBreakPreview" zoomScaleNormal="70" zoomScaleSheetLayoutView="100" workbookViewId="0">
      <selection activeCell="C30" sqref="C30"/>
    </sheetView>
  </sheetViews>
  <sheetFormatPr defaultColWidth="9" defaultRowHeight="12"/>
  <cols>
    <col min="1" max="1" width="2.375" style="13" customWidth="1"/>
    <col min="2" max="2" width="1.375" style="13" customWidth="1"/>
    <col min="3" max="3" width="2.75" style="13" customWidth="1"/>
    <col min="4" max="4" width="6.375" style="13" customWidth="1"/>
    <col min="5" max="5" width="7.5" style="13" customWidth="1"/>
    <col min="6" max="6" width="22.125" style="13" customWidth="1"/>
    <col min="7" max="7" width="4" style="13" customWidth="1"/>
    <col min="8" max="8" width="14.125" style="13" customWidth="1"/>
    <col min="9" max="9" width="14" style="13" customWidth="1"/>
    <col min="10" max="10" width="12.5" style="13" bestFit="1" customWidth="1"/>
    <col min="11" max="11" width="29.125" style="13" customWidth="1"/>
    <col min="12" max="12" width="14.25" style="13" bestFit="1" customWidth="1"/>
    <col min="13" max="13" width="1.25" style="13" customWidth="1"/>
    <col min="14" max="14" width="12.5" style="13" bestFit="1" customWidth="1"/>
    <col min="15" max="16384" width="9" style="13"/>
  </cols>
  <sheetData>
    <row r="1" spans="1:14" s="17" customFormat="1" ht="15.75">
      <c r="A1" s="14" t="s">
        <v>977</v>
      </c>
      <c r="B1" s="20"/>
      <c r="C1" s="20"/>
      <c r="D1" s="20"/>
      <c r="E1" s="20"/>
      <c r="F1" s="20"/>
      <c r="G1" s="20"/>
      <c r="H1" s="20"/>
      <c r="I1" s="20"/>
      <c r="J1" s="20"/>
      <c r="K1" s="20"/>
      <c r="L1" s="20"/>
      <c r="M1" s="20"/>
      <c r="N1" s="20"/>
    </row>
    <row r="3" spans="1:14" ht="18">
      <c r="A3" s="12"/>
      <c r="B3" s="11"/>
      <c r="C3" s="11"/>
      <c r="D3" s="11"/>
      <c r="E3" s="11"/>
      <c r="F3" s="11"/>
      <c r="G3" s="11"/>
      <c r="H3" s="11"/>
      <c r="I3" s="11"/>
      <c r="J3" s="11"/>
      <c r="K3" s="11"/>
      <c r="L3" s="11"/>
      <c r="M3" s="11"/>
      <c r="N3" s="11"/>
    </row>
    <row r="4" spans="1:14" ht="18">
      <c r="A4" s="1788" t="s">
        <v>200</v>
      </c>
      <c r="B4" s="1788"/>
      <c r="C4" s="1788"/>
      <c r="D4" s="1788"/>
      <c r="E4" s="1788"/>
      <c r="F4" s="1788"/>
      <c r="G4" s="1788"/>
      <c r="H4" s="1788"/>
      <c r="I4" s="1788"/>
      <c r="J4" s="1788"/>
      <c r="K4" s="1788"/>
      <c r="L4" s="1788"/>
      <c r="M4" s="1788"/>
      <c r="N4" s="1788"/>
    </row>
    <row r="5" spans="1:14" ht="18">
      <c r="A5" s="1788" t="s">
        <v>103</v>
      </c>
      <c r="B5" s="1788"/>
      <c r="C5" s="1788"/>
      <c r="D5" s="1788"/>
      <c r="E5" s="1788"/>
      <c r="F5" s="1788"/>
      <c r="G5" s="1788"/>
      <c r="H5" s="1788"/>
      <c r="I5" s="1788"/>
      <c r="J5" s="1788"/>
      <c r="K5" s="1788"/>
      <c r="L5" s="1788"/>
      <c r="M5" s="1788"/>
      <c r="N5" s="1788"/>
    </row>
    <row r="6" spans="1:14" ht="18">
      <c r="A6" s="1789" t="str">
        <f>SUMMARY!A7</f>
        <v>YEAR ENDING DECEMBER 31, 2018</v>
      </c>
      <c r="B6" s="1789"/>
      <c r="C6" s="1789"/>
      <c r="D6" s="1789"/>
      <c r="E6" s="1789"/>
      <c r="F6" s="1789"/>
      <c r="G6" s="1789"/>
      <c r="H6" s="1789"/>
      <c r="I6" s="1789"/>
      <c r="J6" s="1789"/>
      <c r="K6" s="1789"/>
      <c r="L6" s="1789"/>
      <c r="M6" s="1789"/>
      <c r="N6" s="1789"/>
    </row>
    <row r="7" spans="1:14" ht="12" customHeight="1">
      <c r="A7" s="11"/>
      <c r="B7" s="11"/>
      <c r="C7" s="11"/>
      <c r="D7" s="11"/>
      <c r="E7" s="11"/>
      <c r="F7" s="11"/>
      <c r="G7" s="11"/>
      <c r="H7" s="11"/>
      <c r="I7" s="11"/>
      <c r="J7" s="11"/>
      <c r="K7" s="11"/>
      <c r="L7" s="11"/>
      <c r="M7" s="11"/>
      <c r="N7" s="11"/>
    </row>
    <row r="8" spans="1:14" ht="18">
      <c r="A8" s="1790" t="s">
        <v>978</v>
      </c>
      <c r="B8" s="1790"/>
      <c r="C8" s="1790"/>
      <c r="D8" s="1790"/>
      <c r="E8" s="1790"/>
      <c r="F8" s="1790"/>
      <c r="G8" s="1790"/>
      <c r="H8" s="1790"/>
      <c r="I8" s="1790"/>
      <c r="J8" s="1790"/>
      <c r="K8" s="1790"/>
      <c r="L8" s="1790"/>
      <c r="M8" s="1790"/>
      <c r="N8" s="1790"/>
    </row>
    <row r="9" spans="1:14" ht="18">
      <c r="A9" s="1788" t="s">
        <v>290</v>
      </c>
      <c r="B9" s="1788"/>
      <c r="C9" s="1788"/>
      <c r="D9" s="1788"/>
      <c r="E9" s="1788"/>
      <c r="F9" s="1788"/>
      <c r="G9" s="1788"/>
      <c r="H9" s="1788"/>
      <c r="I9" s="1788"/>
      <c r="J9" s="1788"/>
      <c r="K9" s="1788"/>
      <c r="L9" s="1788"/>
      <c r="M9" s="1788"/>
      <c r="N9" s="1788"/>
    </row>
    <row r="11" spans="1:14" s="27" customFormat="1" ht="12.75">
      <c r="D11" s="1397" t="s">
        <v>192</v>
      </c>
      <c r="E11" s="933"/>
      <c r="F11" s="1397" t="s">
        <v>193</v>
      </c>
      <c r="G11" s="933"/>
      <c r="H11" s="1397" t="s">
        <v>194</v>
      </c>
      <c r="I11" s="939" t="s">
        <v>195</v>
      </c>
      <c r="J11" s="939" t="s">
        <v>196</v>
      </c>
      <c r="K11" s="933"/>
      <c r="L11" s="939" t="s">
        <v>371</v>
      </c>
      <c r="M11" s="933"/>
      <c r="N11" s="939" t="s">
        <v>372</v>
      </c>
    </row>
    <row r="12" spans="1:14" s="27" customFormat="1" ht="15">
      <c r="H12" s="481" t="s">
        <v>381</v>
      </c>
      <c r="I12" s="481" t="s">
        <v>381</v>
      </c>
      <c r="J12" s="481" t="s">
        <v>441</v>
      </c>
      <c r="K12" s="481"/>
      <c r="L12" s="481"/>
      <c r="M12" s="481"/>
      <c r="N12" s="481"/>
    </row>
    <row r="13" spans="1:14" s="27" customFormat="1" ht="15.75">
      <c r="D13" s="482" t="s">
        <v>251</v>
      </c>
      <c r="E13" s="483"/>
      <c r="F13" s="483"/>
      <c r="G13" s="483"/>
      <c r="H13" s="481" t="s">
        <v>790</v>
      </c>
      <c r="I13" s="481" t="s">
        <v>790</v>
      </c>
      <c r="J13" s="481" t="s">
        <v>382</v>
      </c>
      <c r="K13" s="481"/>
      <c r="L13" s="481" t="s">
        <v>34</v>
      </c>
      <c r="M13" s="481"/>
      <c r="N13" s="481" t="s">
        <v>336</v>
      </c>
    </row>
    <row r="14" spans="1:14" s="27" customFormat="1" ht="15.75">
      <c r="D14" s="484" t="s">
        <v>228</v>
      </c>
      <c r="E14" s="485"/>
      <c r="F14" s="486" t="s">
        <v>248</v>
      </c>
      <c r="G14" s="485"/>
      <c r="H14" s="705">
        <v>43465</v>
      </c>
      <c r="I14" s="705">
        <v>43100</v>
      </c>
      <c r="J14" s="705" t="s">
        <v>2044</v>
      </c>
      <c r="K14" s="487"/>
      <c r="L14" s="488" t="s">
        <v>440</v>
      </c>
      <c r="M14" s="487"/>
      <c r="N14" s="488" t="s">
        <v>791</v>
      </c>
    </row>
    <row r="15" spans="1:14" s="27" customFormat="1" ht="14.25">
      <c r="C15" s="489" t="s">
        <v>471</v>
      </c>
      <c r="D15" s="704">
        <v>1100</v>
      </c>
      <c r="E15" s="704"/>
      <c r="F15" s="704" t="s">
        <v>383</v>
      </c>
      <c r="G15" s="489"/>
      <c r="H15" s="1620">
        <v>17698911</v>
      </c>
      <c r="I15" s="1620">
        <v>18549218</v>
      </c>
      <c r="J15" s="490"/>
      <c r="K15" s="490"/>
      <c r="L15" s="491"/>
      <c r="N15" s="492"/>
    </row>
    <row r="16" spans="1:14" s="27" customFormat="1" ht="14.25">
      <c r="C16" s="489" t="s">
        <v>473</v>
      </c>
      <c r="D16" s="704">
        <v>1200</v>
      </c>
      <c r="E16" s="704"/>
      <c r="F16" s="704" t="s">
        <v>384</v>
      </c>
      <c r="G16" s="489"/>
      <c r="H16" s="1620">
        <v>15708193</v>
      </c>
      <c r="I16" s="1620">
        <v>15629282</v>
      </c>
      <c r="J16" s="490"/>
      <c r="K16" s="490"/>
      <c r="L16" s="491"/>
      <c r="N16" s="492"/>
    </row>
    <row r="17" spans="3:14" s="27" customFormat="1" ht="14.25">
      <c r="C17" s="489" t="s">
        <v>494</v>
      </c>
      <c r="D17" s="704">
        <v>3100</v>
      </c>
      <c r="E17" s="704"/>
      <c r="F17" s="704" t="s">
        <v>385</v>
      </c>
      <c r="G17" s="489"/>
      <c r="H17" s="1620">
        <v>12046010</v>
      </c>
      <c r="I17" s="1620">
        <v>11852496</v>
      </c>
      <c r="J17" s="490"/>
      <c r="K17" s="490"/>
      <c r="L17" s="491"/>
      <c r="N17" s="492"/>
    </row>
    <row r="18" spans="3:14" s="27" customFormat="1" ht="14.25">
      <c r="C18" s="489" t="s">
        <v>495</v>
      </c>
      <c r="D18" s="704">
        <v>3200</v>
      </c>
      <c r="E18" s="704"/>
      <c r="F18" s="704" t="s">
        <v>220</v>
      </c>
      <c r="G18" s="489"/>
      <c r="H18" s="1620">
        <v>8123546</v>
      </c>
      <c r="I18" s="1620">
        <v>8014664</v>
      </c>
      <c r="J18" s="490"/>
      <c r="K18" s="490"/>
      <c r="L18" s="491"/>
      <c r="N18" s="492"/>
    </row>
    <row r="19" spans="3:14" s="27" customFormat="1" ht="14.25">
      <c r="C19" s="489" t="s">
        <v>496</v>
      </c>
      <c r="D19" s="704">
        <v>1300</v>
      </c>
      <c r="E19" s="704"/>
      <c r="F19" s="704" t="s">
        <v>386</v>
      </c>
      <c r="G19" s="489"/>
      <c r="H19" s="1620">
        <v>9974296</v>
      </c>
      <c r="I19" s="1620">
        <v>9195166</v>
      </c>
      <c r="J19" s="490"/>
      <c r="K19" s="490"/>
      <c r="L19" s="491"/>
      <c r="N19" s="492"/>
    </row>
    <row r="20" spans="3:14" s="27" customFormat="1" ht="14.25">
      <c r="C20" s="489" t="s">
        <v>497</v>
      </c>
      <c r="D20" s="704">
        <v>3300</v>
      </c>
      <c r="E20" s="704"/>
      <c r="F20" s="704" t="s">
        <v>387</v>
      </c>
      <c r="G20" s="489"/>
      <c r="H20" s="1620">
        <v>27664839</v>
      </c>
      <c r="I20" s="1620">
        <v>27200311</v>
      </c>
      <c r="J20" s="490"/>
      <c r="K20" s="490"/>
      <c r="L20" s="491"/>
      <c r="N20" s="492"/>
    </row>
    <row r="21" spans="3:14" s="27" customFormat="1" ht="14.25">
      <c r="C21" s="489" t="s">
        <v>498</v>
      </c>
      <c r="D21" s="704">
        <v>2100</v>
      </c>
      <c r="E21" s="704"/>
      <c r="F21" s="704" t="s">
        <v>388</v>
      </c>
      <c r="G21" s="489"/>
      <c r="H21" s="1620">
        <v>6573108</v>
      </c>
      <c r="I21" s="1620">
        <v>6517035</v>
      </c>
      <c r="J21" s="490"/>
      <c r="K21" s="490"/>
      <c r="L21" s="491"/>
      <c r="N21" s="492"/>
    </row>
    <row r="22" spans="3:14" s="27" customFormat="1" ht="16.5">
      <c r="C22" s="489" t="s">
        <v>541</v>
      </c>
      <c r="D22" s="1454" t="s">
        <v>1166</v>
      </c>
      <c r="E22" s="704"/>
      <c r="F22" s="1391" t="s">
        <v>1166</v>
      </c>
      <c r="G22" s="489"/>
      <c r="H22" s="1621"/>
      <c r="I22" s="1621"/>
      <c r="J22" s="490"/>
      <c r="K22" s="490"/>
      <c r="L22" s="491"/>
      <c r="N22" s="492"/>
    </row>
    <row r="23" spans="3:14" s="27" customFormat="1" ht="14.25">
      <c r="C23" s="27">
        <v>2</v>
      </c>
      <c r="D23" s="489"/>
      <c r="E23" s="489"/>
      <c r="F23" s="489" t="s">
        <v>1130</v>
      </c>
      <c r="G23" s="489"/>
      <c r="H23" s="490">
        <f>SUM(H15:H22)</f>
        <v>97788903</v>
      </c>
      <c r="I23" s="490">
        <f>SUM(I15:I22)</f>
        <v>96958172</v>
      </c>
      <c r="J23" s="490"/>
      <c r="K23" s="490"/>
      <c r="L23" s="491"/>
      <c r="N23" s="492"/>
    </row>
    <row r="24" spans="3:14" s="27" customFormat="1" ht="14.25">
      <c r="D24" s="489"/>
      <c r="E24" s="489"/>
      <c r="F24" s="489"/>
      <c r="G24" s="489"/>
      <c r="H24" s="490"/>
      <c r="I24" s="490"/>
      <c r="J24" s="490"/>
      <c r="K24" s="490"/>
      <c r="L24" s="491"/>
      <c r="N24" s="492"/>
    </row>
    <row r="25" spans="3:14" s="27" customFormat="1" ht="14.25">
      <c r="C25" s="489" t="s">
        <v>1277</v>
      </c>
      <c r="D25" s="704" t="s">
        <v>1129</v>
      </c>
      <c r="E25" s="704"/>
      <c r="F25" s="704"/>
      <c r="G25" s="489"/>
      <c r="H25" s="1620">
        <v>-682635</v>
      </c>
      <c r="I25" s="1620">
        <v>-682635</v>
      </c>
      <c r="J25" s="490"/>
      <c r="K25" s="490"/>
      <c r="L25" s="491"/>
      <c r="N25" s="492"/>
    </row>
    <row r="26" spans="3:14" s="27" customFormat="1" ht="15">
      <c r="C26" s="489" t="s">
        <v>1278</v>
      </c>
      <c r="D26" s="704" t="s">
        <v>1128</v>
      </c>
      <c r="E26" s="704"/>
      <c r="F26" s="704"/>
      <c r="G26" s="489"/>
      <c r="H26" s="1620">
        <v>-15300000</v>
      </c>
      <c r="I26" s="1620">
        <v>-15300000</v>
      </c>
      <c r="J26" s="1265"/>
      <c r="K26" s="1265"/>
      <c r="L26" s="1266"/>
      <c r="M26" s="1265"/>
      <c r="N26" s="1265"/>
    </row>
    <row r="27" spans="3:14" s="27" customFormat="1" ht="17.25">
      <c r="C27" s="489" t="s">
        <v>541</v>
      </c>
      <c r="D27" s="1454" t="s">
        <v>1166</v>
      </c>
      <c r="E27" s="704"/>
      <c r="F27" s="1391" t="s">
        <v>1166</v>
      </c>
      <c r="G27" s="489"/>
      <c r="H27" s="1621"/>
      <c r="I27" s="1621"/>
      <c r="J27" s="1265"/>
      <c r="K27" s="1265"/>
      <c r="L27" s="1266"/>
      <c r="M27" s="1265"/>
      <c r="N27" s="1265"/>
    </row>
    <row r="28" spans="3:14" s="27" customFormat="1" ht="15">
      <c r="C28" s="27">
        <v>4</v>
      </c>
      <c r="D28" s="489"/>
      <c r="E28" s="489"/>
      <c r="F28" s="489" t="s">
        <v>1131</v>
      </c>
      <c r="G28" s="489"/>
      <c r="H28" s="1274">
        <f>SUM(H25:H27)</f>
        <v>-15982635</v>
      </c>
      <c r="I28" s="1274">
        <f>SUM(I25:I27)</f>
        <v>-15982635</v>
      </c>
      <c r="J28" s="1265"/>
      <c r="K28" s="1265"/>
      <c r="L28" s="1266"/>
      <c r="M28" s="1265"/>
      <c r="N28" s="1265"/>
    </row>
    <row r="29" spans="3:14" s="27" customFormat="1" ht="15">
      <c r="D29" s="489"/>
      <c r="E29" s="489"/>
      <c r="F29" s="489"/>
      <c r="G29" s="489"/>
      <c r="H29" s="1274"/>
      <c r="I29" s="1274"/>
      <c r="J29" s="1265"/>
      <c r="K29" s="1265"/>
      <c r="L29" s="1266"/>
      <c r="M29" s="1265"/>
      <c r="N29" s="1265"/>
    </row>
    <row r="30" spans="3:14" s="27" customFormat="1" ht="15.75" thickBot="1">
      <c r="C30" s="27">
        <v>5</v>
      </c>
      <c r="D30" s="493"/>
      <c r="E30" s="493"/>
      <c r="F30" s="493" t="s">
        <v>4</v>
      </c>
      <c r="G30" s="493"/>
      <c r="H30" s="494">
        <f>H23+H28</f>
        <v>81806268</v>
      </c>
      <c r="I30" s="494">
        <f>I23+I28</f>
        <v>80975537</v>
      </c>
      <c r="J30" s="494">
        <f>AVERAGE(H30,I30)</f>
        <v>81390902.5</v>
      </c>
      <c r="K30" s="494"/>
      <c r="L30" s="1690">
        <f>'E1-Labor Ratio'!H21</f>
        <v>0.29502901668219966</v>
      </c>
      <c r="M30" s="494"/>
      <c r="N30" s="494">
        <f>J30*L30</f>
        <v>24012677.931451786</v>
      </c>
    </row>
    <row r="31" spans="3:14" s="27" customFormat="1" ht="13.5" thickTop="1"/>
    <row r="32" spans="3:14" s="27" customFormat="1" ht="12.75">
      <c r="H32" s="495"/>
      <c r="I32" s="495"/>
      <c r="J32" s="495"/>
    </row>
    <row r="33" spans="2:2" s="27" customFormat="1" ht="12.75"/>
    <row r="34" spans="2:2" s="27" customFormat="1" ht="12.75"/>
    <row r="37" spans="2:2" ht="15">
      <c r="B37" s="48"/>
    </row>
    <row r="38" spans="2:2" ht="15">
      <c r="B38" s="49"/>
    </row>
    <row r="39" spans="2:2" ht="15">
      <c r="B39" s="49"/>
    </row>
    <row r="40" spans="2:2" ht="15">
      <c r="B40" s="49"/>
    </row>
    <row r="41" spans="2:2" ht="15">
      <c r="B41" s="49"/>
    </row>
    <row r="42" spans="2:2" ht="15">
      <c r="B42" s="49"/>
    </row>
    <row r="43" spans="2:2" ht="15">
      <c r="B43" s="49"/>
    </row>
    <row r="44" spans="2:2" ht="15">
      <c r="B44" s="49"/>
    </row>
    <row r="45" spans="2:2" ht="15">
      <c r="B45" s="49"/>
    </row>
    <row r="46" spans="2:2" ht="15">
      <c r="B46" s="49"/>
    </row>
    <row r="47" spans="2:2" ht="15">
      <c r="B47" s="48"/>
    </row>
    <row r="48" spans="2:2" ht="15">
      <c r="B48" s="49"/>
    </row>
    <row r="49" spans="2:2" ht="15">
      <c r="B49" s="49"/>
    </row>
    <row r="50" spans="2:2" ht="15">
      <c r="B50" s="49"/>
    </row>
    <row r="51" spans="2:2" ht="15">
      <c r="B51" s="48"/>
    </row>
    <row r="52" spans="2:2" ht="15">
      <c r="B52" s="48"/>
    </row>
    <row r="53" spans="2:2" ht="15">
      <c r="B53" s="48"/>
    </row>
    <row r="54" spans="2:2" ht="15">
      <c r="B54" s="48"/>
    </row>
  </sheetData>
  <customSheetViews>
    <customSheetView guid="{B321D76C-CDE5-48BB-9CDE-80FF97D58FCF}" showPageBreaks="1" fitToPage="1" printArea="1" view="pageBreakPreview">
      <selection activeCell="D33" sqref="D33"/>
      <pageMargins left="0.45" right="0.45" top="0.75" bottom="0.75" header="0.3" footer="0.3"/>
      <printOptions horizontalCentered="1"/>
      <pageSetup scale="69" orientation="portrait" r:id="rId1"/>
    </customSheetView>
  </customSheetViews>
  <mergeCells count="5">
    <mergeCell ref="A4:N4"/>
    <mergeCell ref="A5:N5"/>
    <mergeCell ref="A9:N9"/>
    <mergeCell ref="A6:N6"/>
    <mergeCell ref="A8:N8"/>
  </mergeCells>
  <printOptions horizontalCentered="1"/>
  <pageMargins left="0.45" right="0.45" top="0.75" bottom="0.75" header="0.3" footer="0.3"/>
  <pageSetup scale="68"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C000"/>
    <pageSetUpPr fitToPage="1"/>
  </sheetPr>
  <dimension ref="A1:Q29"/>
  <sheetViews>
    <sheetView tabSelected="1" view="pageBreakPreview" zoomScaleNormal="100" zoomScaleSheetLayoutView="100" workbookViewId="0">
      <selection activeCell="C30" sqref="C30"/>
    </sheetView>
  </sheetViews>
  <sheetFormatPr defaultColWidth="9" defaultRowHeight="12.75"/>
  <cols>
    <col min="1" max="1" width="9" style="34"/>
    <col min="2" max="2" width="11.375" style="34" customWidth="1"/>
    <col min="3" max="3" width="16.375" style="34" customWidth="1"/>
    <col min="4" max="4" width="16.125" style="34" customWidth="1"/>
    <col min="5" max="5" width="10.75" style="34" customWidth="1"/>
    <col min="6" max="6" width="12.5" style="34" bestFit="1" customWidth="1"/>
    <col min="7" max="7" width="13.5" style="34" customWidth="1"/>
    <col min="8" max="10" width="9" style="34"/>
    <col min="11" max="11" width="29.125" style="34" customWidth="1"/>
    <col min="12" max="16" width="9" style="34"/>
    <col min="17" max="17" width="11.25" style="34" bestFit="1" customWidth="1"/>
    <col min="18" max="16384" width="9" style="34"/>
  </cols>
  <sheetData>
    <row r="1" spans="1:7" s="535" customFormat="1" ht="15.75">
      <c r="A1" s="14" t="s">
        <v>979</v>
      </c>
      <c r="B1" s="542"/>
      <c r="C1" s="109"/>
      <c r="D1" s="109"/>
      <c r="E1" s="109"/>
      <c r="G1" s="159"/>
    </row>
    <row r="2" spans="1:7" s="533" customFormat="1" ht="18">
      <c r="A2" s="112"/>
      <c r="B2" s="554"/>
      <c r="C2" s="113"/>
      <c r="D2" s="113"/>
      <c r="E2" s="113"/>
      <c r="F2" s="113"/>
      <c r="G2" s="430"/>
    </row>
    <row r="3" spans="1:7" s="533" customFormat="1" ht="18">
      <c r="A3" s="1835" t="s">
        <v>200</v>
      </c>
      <c r="B3" s="1835"/>
      <c r="C3" s="1835"/>
      <c r="D3" s="1835"/>
      <c r="E3" s="1835"/>
      <c r="F3" s="1835"/>
      <c r="G3" s="1835"/>
    </row>
    <row r="4" spans="1:7" s="533" customFormat="1" ht="18">
      <c r="A4" s="1835" t="s">
        <v>103</v>
      </c>
      <c r="B4" s="1835"/>
      <c r="C4" s="1835"/>
      <c r="D4" s="1835"/>
      <c r="E4" s="1835"/>
      <c r="F4" s="1835"/>
      <c r="G4" s="1835"/>
    </row>
    <row r="5" spans="1:7" s="533" customFormat="1" ht="18">
      <c r="A5" s="1836" t="str">
        <f>SUMMARY!A7</f>
        <v>YEAR ENDING DECEMBER 31, 2018</v>
      </c>
      <c r="B5" s="1836"/>
      <c r="C5" s="1836"/>
      <c r="D5" s="1836"/>
      <c r="E5" s="1836"/>
      <c r="F5" s="1836"/>
      <c r="G5" s="1836"/>
    </row>
    <row r="6" spans="1:7" s="533" customFormat="1" ht="12" customHeight="1">
      <c r="A6" s="113"/>
      <c r="B6" s="116"/>
      <c r="C6" s="113"/>
      <c r="D6" s="113"/>
      <c r="E6" s="113"/>
      <c r="F6" s="113"/>
      <c r="G6" s="113"/>
    </row>
    <row r="7" spans="1:7" s="533" customFormat="1" ht="18">
      <c r="A7" s="1837" t="s">
        <v>980</v>
      </c>
      <c r="B7" s="1837"/>
      <c r="C7" s="1837"/>
      <c r="D7" s="1837"/>
      <c r="E7" s="1837"/>
      <c r="F7" s="1837"/>
      <c r="G7" s="1837"/>
    </row>
    <row r="8" spans="1:7" ht="18">
      <c r="A8" s="1835" t="s">
        <v>283</v>
      </c>
      <c r="B8" s="1835"/>
      <c r="C8" s="1835"/>
      <c r="D8" s="1835"/>
      <c r="E8" s="1835"/>
      <c r="F8" s="1835"/>
      <c r="G8" s="1835"/>
    </row>
    <row r="9" spans="1:7" ht="18">
      <c r="A9" s="430"/>
      <c r="B9" s="13"/>
      <c r="C9" s="13"/>
      <c r="D9" s="13"/>
      <c r="E9" s="430"/>
      <c r="F9" s="430"/>
      <c r="G9" s="430"/>
    </row>
    <row r="10" spans="1:7">
      <c r="B10" s="1397" t="s">
        <v>192</v>
      </c>
      <c r="C10" s="933"/>
      <c r="D10" s="1397" t="s">
        <v>193</v>
      </c>
      <c r="F10" s="1397" t="s">
        <v>194</v>
      </c>
    </row>
    <row r="11" spans="1:7">
      <c r="A11" s="624"/>
      <c r="B11" s="624"/>
      <c r="C11" s="624"/>
      <c r="D11" s="624"/>
      <c r="E11" s="624"/>
      <c r="F11" s="624"/>
      <c r="G11" s="624"/>
    </row>
    <row r="12" spans="1:7">
      <c r="B12" s="33"/>
      <c r="C12" s="33"/>
      <c r="D12" s="42" t="s">
        <v>281</v>
      </c>
      <c r="E12" s="33"/>
      <c r="F12" s="42" t="s">
        <v>67</v>
      </c>
    </row>
    <row r="13" spans="1:7">
      <c r="B13" s="106" t="s">
        <v>303</v>
      </c>
      <c r="C13" s="33"/>
      <c r="D13" s="106" t="s">
        <v>785</v>
      </c>
      <c r="E13" s="33"/>
      <c r="F13" s="106" t="s">
        <v>786</v>
      </c>
    </row>
    <row r="14" spans="1:7">
      <c r="B14" s="435"/>
      <c r="C14" s="33"/>
      <c r="D14" s="435"/>
      <c r="E14" s="33"/>
      <c r="F14" s="435"/>
    </row>
    <row r="16" spans="1:7" ht="14.25">
      <c r="A16" s="624">
        <v>1</v>
      </c>
      <c r="B16" s="706">
        <v>42735</v>
      </c>
      <c r="D16" s="708">
        <v>0</v>
      </c>
      <c r="E16" s="625"/>
      <c r="F16" s="708">
        <v>6156438.5199999996</v>
      </c>
    </row>
    <row r="17" spans="1:17" ht="14.25">
      <c r="A17" s="624"/>
      <c r="B17" s="707"/>
      <c r="D17" s="709"/>
      <c r="E17" s="626"/>
      <c r="F17" s="709"/>
    </row>
    <row r="18" spans="1:17" ht="14.25">
      <c r="A18" s="624">
        <v>2</v>
      </c>
      <c r="B18" s="706">
        <v>43100</v>
      </c>
      <c r="D18" s="710">
        <v>0</v>
      </c>
      <c r="E18" s="626"/>
      <c r="F18" s="1741">
        <v>15938149.84</v>
      </c>
      <c r="Q18" s="206"/>
    </row>
    <row r="19" spans="1:17" ht="14.25">
      <c r="A19" s="624"/>
      <c r="D19" s="626"/>
      <c r="E19" s="626"/>
      <c r="F19" s="626"/>
      <c r="Q19" s="206"/>
    </row>
    <row r="20" spans="1:17">
      <c r="A20" s="624"/>
      <c r="Q20" s="206"/>
    </row>
    <row r="21" spans="1:17" ht="15">
      <c r="A21" s="624">
        <v>3</v>
      </c>
      <c r="B21" s="33" t="s">
        <v>1121</v>
      </c>
      <c r="C21" s="627"/>
      <c r="D21" s="628">
        <f>IF(D16&gt;0,AVERAGE(D16,D18),0)</f>
        <v>0</v>
      </c>
      <c r="E21" s="629"/>
      <c r="F21" s="628">
        <f>+(F16+F18)/2</f>
        <v>11047294.18</v>
      </c>
      <c r="G21" s="62"/>
      <c r="Q21" s="206"/>
    </row>
    <row r="22" spans="1:17">
      <c r="G22" s="62"/>
      <c r="Q22" s="206"/>
    </row>
    <row r="23" spans="1:17">
      <c r="Q23" s="206"/>
    </row>
    <row r="24" spans="1:17">
      <c r="Q24" s="206"/>
    </row>
    <row r="25" spans="1:17">
      <c r="Q25" s="206"/>
    </row>
    <row r="26" spans="1:17">
      <c r="Q26" s="206"/>
    </row>
    <row r="27" spans="1:17">
      <c r="Q27" s="206"/>
    </row>
    <row r="28" spans="1:17">
      <c r="Q28" s="206"/>
    </row>
    <row r="29" spans="1:17">
      <c r="Q29" s="206"/>
    </row>
  </sheetData>
  <customSheetViews>
    <customSheetView guid="{B321D76C-CDE5-48BB-9CDE-80FF97D58FCF}" showPageBreaks="1" fitToPage="1" printArea="1" view="pageBreakPreview">
      <selection activeCell="D33" sqref="D33"/>
      <pageMargins left="0.2" right="0.2" top="0.5" bottom="0.5" header="0.3" footer="0.3"/>
      <printOptions horizontalCentered="1"/>
      <pageSetup orientation="portrait" r:id="rId1"/>
    </customSheetView>
  </customSheetViews>
  <mergeCells count="5">
    <mergeCell ref="A3:G3"/>
    <mergeCell ref="A4:G4"/>
    <mergeCell ref="A8:G8"/>
    <mergeCell ref="A5:G5"/>
    <mergeCell ref="A7:G7"/>
  </mergeCells>
  <printOptions horizontalCentered="1"/>
  <pageMargins left="0.2" right="0.2" top="0.5" bottom="0.5" header="0.3" footer="0.3"/>
  <pageSetup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7030A0"/>
    <pageSetUpPr fitToPage="1"/>
  </sheetPr>
  <dimension ref="A1:W50"/>
  <sheetViews>
    <sheetView tabSelected="1" view="pageBreakPreview" topLeftCell="A5" zoomScaleNormal="80" zoomScaleSheetLayoutView="100" workbookViewId="0">
      <selection activeCell="C30" sqref="C30"/>
    </sheetView>
  </sheetViews>
  <sheetFormatPr defaultRowHeight="15"/>
  <cols>
    <col min="1" max="1" width="5.75" style="618" customWidth="1"/>
    <col min="2" max="2" width="5.25" style="619" customWidth="1"/>
    <col min="3" max="3" width="43.75" style="618" customWidth="1"/>
    <col min="4" max="4" width="1.75" style="618" customWidth="1"/>
    <col min="5" max="5" width="22.625" style="1310" customWidth="1"/>
    <col min="6" max="6" width="8.75" style="1310" customWidth="1"/>
    <col min="7" max="7" width="9.5" style="1310" customWidth="1"/>
    <col min="8" max="8" width="2.75" style="1310" customWidth="1"/>
    <col min="9" max="9" width="10.5" style="1310" customWidth="1"/>
    <col min="10" max="10" width="2.75" style="1310" customWidth="1"/>
    <col min="11" max="11" width="29.125" style="1310" customWidth="1"/>
    <col min="12" max="12" width="2.75" style="1310" customWidth="1"/>
    <col min="13" max="13" width="11.375" style="1310" customWidth="1"/>
    <col min="14" max="14" width="6.375" style="1310" customWidth="1"/>
    <col min="15" max="15" width="9.5" style="1310" customWidth="1"/>
    <col min="16" max="16" width="11.125" style="1310" customWidth="1"/>
    <col min="17" max="17" width="6.5" style="618" customWidth="1"/>
    <col min="18" max="251" width="9" style="618"/>
    <col min="252" max="252" width="22.375" style="618" customWidth="1"/>
    <col min="253" max="253" width="1.75" style="618" customWidth="1"/>
    <col min="254" max="254" width="15.5" style="618" customWidth="1"/>
    <col min="255" max="255" width="1.75" style="618" customWidth="1"/>
    <col min="256" max="256" width="17" style="618" customWidth="1"/>
    <col min="257" max="257" width="1.5" style="618" customWidth="1"/>
    <col min="258" max="258" width="9.5" style="618" customWidth="1"/>
    <col min="259" max="259" width="2" style="618" customWidth="1"/>
    <col min="260" max="260" width="11.375" style="618" customWidth="1"/>
    <col min="261" max="261" width="10.125" style="618" customWidth="1"/>
    <col min="262" max="262" width="11.75" style="618" customWidth="1"/>
    <col min="263" max="263" width="18.125" style="618" customWidth="1"/>
    <col min="264" max="507" width="9" style="618"/>
    <col min="508" max="508" width="22.375" style="618" customWidth="1"/>
    <col min="509" max="509" width="1.75" style="618" customWidth="1"/>
    <col min="510" max="510" width="15.5" style="618" customWidth="1"/>
    <col min="511" max="511" width="1.75" style="618" customWidth="1"/>
    <col min="512" max="512" width="17" style="618" customWidth="1"/>
    <col min="513" max="513" width="1.5" style="618" customWidth="1"/>
    <col min="514" max="514" width="9.5" style="618" customWidth="1"/>
    <col min="515" max="515" width="2" style="618" customWidth="1"/>
    <col min="516" max="516" width="11.375" style="618" customWidth="1"/>
    <col min="517" max="517" width="10.125" style="618" customWidth="1"/>
    <col min="518" max="518" width="11.75" style="618" customWidth="1"/>
    <col min="519" max="519" width="18.125" style="618" customWidth="1"/>
    <col min="520" max="763" width="9" style="618"/>
    <col min="764" max="764" width="22.375" style="618" customWidth="1"/>
    <col min="765" max="765" width="1.75" style="618" customWidth="1"/>
    <col min="766" max="766" width="15.5" style="618" customWidth="1"/>
    <col min="767" max="767" width="1.75" style="618" customWidth="1"/>
    <col min="768" max="768" width="17" style="618" customWidth="1"/>
    <col min="769" max="769" width="1.5" style="618" customWidth="1"/>
    <col min="770" max="770" width="9.5" style="618" customWidth="1"/>
    <col min="771" max="771" width="2" style="618" customWidth="1"/>
    <col min="772" max="772" width="11.375" style="618" customWidth="1"/>
    <col min="773" max="773" width="10.125" style="618" customWidth="1"/>
    <col min="774" max="774" width="11.75" style="618" customWidth="1"/>
    <col min="775" max="775" width="18.125" style="618" customWidth="1"/>
    <col min="776" max="1019" width="9" style="618"/>
    <col min="1020" max="1020" width="22.375" style="618" customWidth="1"/>
    <col min="1021" max="1021" width="1.75" style="618" customWidth="1"/>
    <col min="1022" max="1022" width="15.5" style="618" customWidth="1"/>
    <col min="1023" max="1023" width="1.75" style="618" customWidth="1"/>
    <col min="1024" max="1024" width="17" style="618" customWidth="1"/>
    <col min="1025" max="1025" width="1.5" style="618" customWidth="1"/>
    <col min="1026" max="1026" width="9.5" style="618" customWidth="1"/>
    <col min="1027" max="1027" width="2" style="618" customWidth="1"/>
    <col min="1028" max="1028" width="11.375" style="618" customWidth="1"/>
    <col min="1029" max="1029" width="10.125" style="618" customWidth="1"/>
    <col min="1030" max="1030" width="11.75" style="618" customWidth="1"/>
    <col min="1031" max="1031" width="18.125" style="618" customWidth="1"/>
    <col min="1032" max="1275" width="9" style="618"/>
    <col min="1276" max="1276" width="22.375" style="618" customWidth="1"/>
    <col min="1277" max="1277" width="1.75" style="618" customWidth="1"/>
    <col min="1278" max="1278" width="15.5" style="618" customWidth="1"/>
    <col min="1279" max="1279" width="1.75" style="618" customWidth="1"/>
    <col min="1280" max="1280" width="17" style="618" customWidth="1"/>
    <col min="1281" max="1281" width="1.5" style="618" customWidth="1"/>
    <col min="1282" max="1282" width="9.5" style="618" customWidth="1"/>
    <col min="1283" max="1283" width="2" style="618" customWidth="1"/>
    <col min="1284" max="1284" width="11.375" style="618" customWidth="1"/>
    <col min="1285" max="1285" width="10.125" style="618" customWidth="1"/>
    <col min="1286" max="1286" width="11.75" style="618" customWidth="1"/>
    <col min="1287" max="1287" width="18.125" style="618" customWidth="1"/>
    <col min="1288" max="1531" width="9" style="618"/>
    <col min="1532" max="1532" width="22.375" style="618" customWidth="1"/>
    <col min="1533" max="1533" width="1.75" style="618" customWidth="1"/>
    <col min="1534" max="1534" width="15.5" style="618" customWidth="1"/>
    <col min="1535" max="1535" width="1.75" style="618" customWidth="1"/>
    <col min="1536" max="1536" width="17" style="618" customWidth="1"/>
    <col min="1537" max="1537" width="1.5" style="618" customWidth="1"/>
    <col min="1538" max="1538" width="9.5" style="618" customWidth="1"/>
    <col min="1539" max="1539" width="2" style="618" customWidth="1"/>
    <col min="1540" max="1540" width="11.375" style="618" customWidth="1"/>
    <col min="1541" max="1541" width="10.125" style="618" customWidth="1"/>
    <col min="1542" max="1542" width="11.75" style="618" customWidth="1"/>
    <col min="1543" max="1543" width="18.125" style="618" customWidth="1"/>
    <col min="1544" max="1787" width="9" style="618"/>
    <col min="1788" max="1788" width="22.375" style="618" customWidth="1"/>
    <col min="1789" max="1789" width="1.75" style="618" customWidth="1"/>
    <col min="1790" max="1790" width="15.5" style="618" customWidth="1"/>
    <col min="1791" max="1791" width="1.75" style="618" customWidth="1"/>
    <col min="1792" max="1792" width="17" style="618" customWidth="1"/>
    <col min="1793" max="1793" width="1.5" style="618" customWidth="1"/>
    <col min="1794" max="1794" width="9.5" style="618" customWidth="1"/>
    <col min="1795" max="1795" width="2" style="618" customWidth="1"/>
    <col min="1796" max="1796" width="11.375" style="618" customWidth="1"/>
    <col min="1797" max="1797" width="10.125" style="618" customWidth="1"/>
    <col min="1798" max="1798" width="11.75" style="618" customWidth="1"/>
    <col min="1799" max="1799" width="18.125" style="618" customWidth="1"/>
    <col min="1800" max="2043" width="9" style="618"/>
    <col min="2044" max="2044" width="22.375" style="618" customWidth="1"/>
    <col min="2045" max="2045" width="1.75" style="618" customWidth="1"/>
    <col min="2046" max="2046" width="15.5" style="618" customWidth="1"/>
    <col min="2047" max="2047" width="1.75" style="618" customWidth="1"/>
    <col min="2048" max="2048" width="17" style="618" customWidth="1"/>
    <col min="2049" max="2049" width="1.5" style="618" customWidth="1"/>
    <col min="2050" max="2050" width="9.5" style="618" customWidth="1"/>
    <col min="2051" max="2051" width="2" style="618" customWidth="1"/>
    <col min="2052" max="2052" width="11.375" style="618" customWidth="1"/>
    <col min="2053" max="2053" width="10.125" style="618" customWidth="1"/>
    <col min="2054" max="2054" width="11.75" style="618" customWidth="1"/>
    <col min="2055" max="2055" width="18.125" style="618" customWidth="1"/>
    <col min="2056" max="2299" width="9" style="618"/>
    <col min="2300" max="2300" width="22.375" style="618" customWidth="1"/>
    <col min="2301" max="2301" width="1.75" style="618" customWidth="1"/>
    <col min="2302" max="2302" width="15.5" style="618" customWidth="1"/>
    <col min="2303" max="2303" width="1.75" style="618" customWidth="1"/>
    <col min="2304" max="2304" width="17" style="618" customWidth="1"/>
    <col min="2305" max="2305" width="1.5" style="618" customWidth="1"/>
    <col min="2306" max="2306" width="9.5" style="618" customWidth="1"/>
    <col min="2307" max="2307" width="2" style="618" customWidth="1"/>
    <col min="2308" max="2308" width="11.375" style="618" customWidth="1"/>
    <col min="2309" max="2309" width="10.125" style="618" customWidth="1"/>
    <col min="2310" max="2310" width="11.75" style="618" customWidth="1"/>
    <col min="2311" max="2311" width="18.125" style="618" customWidth="1"/>
    <col min="2312" max="2555" width="9" style="618"/>
    <col min="2556" max="2556" width="22.375" style="618" customWidth="1"/>
    <col min="2557" max="2557" width="1.75" style="618" customWidth="1"/>
    <col min="2558" max="2558" width="15.5" style="618" customWidth="1"/>
    <col min="2559" max="2559" width="1.75" style="618" customWidth="1"/>
    <col min="2560" max="2560" width="17" style="618" customWidth="1"/>
    <col min="2561" max="2561" width="1.5" style="618" customWidth="1"/>
    <col min="2562" max="2562" width="9.5" style="618" customWidth="1"/>
    <col min="2563" max="2563" width="2" style="618" customWidth="1"/>
    <col min="2564" max="2564" width="11.375" style="618" customWidth="1"/>
    <col min="2565" max="2565" width="10.125" style="618" customWidth="1"/>
    <col min="2566" max="2566" width="11.75" style="618" customWidth="1"/>
    <col min="2567" max="2567" width="18.125" style="618" customWidth="1"/>
    <col min="2568" max="2811" width="9" style="618"/>
    <col min="2812" max="2812" width="22.375" style="618" customWidth="1"/>
    <col min="2813" max="2813" width="1.75" style="618" customWidth="1"/>
    <col min="2814" max="2814" width="15.5" style="618" customWidth="1"/>
    <col min="2815" max="2815" width="1.75" style="618" customWidth="1"/>
    <col min="2816" max="2816" width="17" style="618" customWidth="1"/>
    <col min="2817" max="2817" width="1.5" style="618" customWidth="1"/>
    <col min="2818" max="2818" width="9.5" style="618" customWidth="1"/>
    <col min="2819" max="2819" width="2" style="618" customWidth="1"/>
    <col min="2820" max="2820" width="11.375" style="618" customWidth="1"/>
    <col min="2821" max="2821" width="10.125" style="618" customWidth="1"/>
    <col min="2822" max="2822" width="11.75" style="618" customWidth="1"/>
    <col min="2823" max="2823" width="18.125" style="618" customWidth="1"/>
    <col min="2824" max="3067" width="9" style="618"/>
    <col min="3068" max="3068" width="22.375" style="618" customWidth="1"/>
    <col min="3069" max="3069" width="1.75" style="618" customWidth="1"/>
    <col min="3070" max="3070" width="15.5" style="618" customWidth="1"/>
    <col min="3071" max="3071" width="1.75" style="618" customWidth="1"/>
    <col min="3072" max="3072" width="17" style="618" customWidth="1"/>
    <col min="3073" max="3073" width="1.5" style="618" customWidth="1"/>
    <col min="3074" max="3074" width="9.5" style="618" customWidth="1"/>
    <col min="3075" max="3075" width="2" style="618" customWidth="1"/>
    <col min="3076" max="3076" width="11.375" style="618" customWidth="1"/>
    <col min="3077" max="3077" width="10.125" style="618" customWidth="1"/>
    <col min="3078" max="3078" width="11.75" style="618" customWidth="1"/>
    <col min="3079" max="3079" width="18.125" style="618" customWidth="1"/>
    <col min="3080" max="3323" width="9" style="618"/>
    <col min="3324" max="3324" width="22.375" style="618" customWidth="1"/>
    <col min="3325" max="3325" width="1.75" style="618" customWidth="1"/>
    <col min="3326" max="3326" width="15.5" style="618" customWidth="1"/>
    <col min="3327" max="3327" width="1.75" style="618" customWidth="1"/>
    <col min="3328" max="3328" width="17" style="618" customWidth="1"/>
    <col min="3329" max="3329" width="1.5" style="618" customWidth="1"/>
    <col min="3330" max="3330" width="9.5" style="618" customWidth="1"/>
    <col min="3331" max="3331" width="2" style="618" customWidth="1"/>
    <col min="3332" max="3332" width="11.375" style="618" customWidth="1"/>
    <col min="3333" max="3333" width="10.125" style="618" customWidth="1"/>
    <col min="3334" max="3334" width="11.75" style="618" customWidth="1"/>
    <col min="3335" max="3335" width="18.125" style="618" customWidth="1"/>
    <col min="3336" max="3579" width="9" style="618"/>
    <col min="3580" max="3580" width="22.375" style="618" customWidth="1"/>
    <col min="3581" max="3581" width="1.75" style="618" customWidth="1"/>
    <col min="3582" max="3582" width="15.5" style="618" customWidth="1"/>
    <col min="3583" max="3583" width="1.75" style="618" customWidth="1"/>
    <col min="3584" max="3584" width="17" style="618" customWidth="1"/>
    <col min="3585" max="3585" width="1.5" style="618" customWidth="1"/>
    <col min="3586" max="3586" width="9.5" style="618" customWidth="1"/>
    <col min="3587" max="3587" width="2" style="618" customWidth="1"/>
    <col min="3588" max="3588" width="11.375" style="618" customWidth="1"/>
    <col min="3589" max="3589" width="10.125" style="618" customWidth="1"/>
    <col min="3590" max="3590" width="11.75" style="618" customWidth="1"/>
    <col min="3591" max="3591" width="18.125" style="618" customWidth="1"/>
    <col min="3592" max="3835" width="9" style="618"/>
    <col min="3836" max="3836" width="22.375" style="618" customWidth="1"/>
    <col min="3837" max="3837" width="1.75" style="618" customWidth="1"/>
    <col min="3838" max="3838" width="15.5" style="618" customWidth="1"/>
    <col min="3839" max="3839" width="1.75" style="618" customWidth="1"/>
    <col min="3840" max="3840" width="17" style="618" customWidth="1"/>
    <col min="3841" max="3841" width="1.5" style="618" customWidth="1"/>
    <col min="3842" max="3842" width="9.5" style="618" customWidth="1"/>
    <col min="3843" max="3843" width="2" style="618" customWidth="1"/>
    <col min="3844" max="3844" width="11.375" style="618" customWidth="1"/>
    <col min="3845" max="3845" width="10.125" style="618" customWidth="1"/>
    <col min="3846" max="3846" width="11.75" style="618" customWidth="1"/>
    <col min="3847" max="3847" width="18.125" style="618" customWidth="1"/>
    <col min="3848" max="4091" width="9" style="618"/>
    <col min="4092" max="4092" width="22.375" style="618" customWidth="1"/>
    <col min="4093" max="4093" width="1.75" style="618" customWidth="1"/>
    <col min="4094" max="4094" width="15.5" style="618" customWidth="1"/>
    <col min="4095" max="4095" width="1.75" style="618" customWidth="1"/>
    <col min="4096" max="4096" width="17" style="618" customWidth="1"/>
    <col min="4097" max="4097" width="1.5" style="618" customWidth="1"/>
    <col min="4098" max="4098" width="9.5" style="618" customWidth="1"/>
    <col min="4099" max="4099" width="2" style="618" customWidth="1"/>
    <col min="4100" max="4100" width="11.375" style="618" customWidth="1"/>
    <col min="4101" max="4101" width="10.125" style="618" customWidth="1"/>
    <col min="4102" max="4102" width="11.75" style="618" customWidth="1"/>
    <col min="4103" max="4103" width="18.125" style="618" customWidth="1"/>
    <col min="4104" max="4347" width="9" style="618"/>
    <col min="4348" max="4348" width="22.375" style="618" customWidth="1"/>
    <col min="4349" max="4349" width="1.75" style="618" customWidth="1"/>
    <col min="4350" max="4350" width="15.5" style="618" customWidth="1"/>
    <col min="4351" max="4351" width="1.75" style="618" customWidth="1"/>
    <col min="4352" max="4352" width="17" style="618" customWidth="1"/>
    <col min="4353" max="4353" width="1.5" style="618" customWidth="1"/>
    <col min="4354" max="4354" width="9.5" style="618" customWidth="1"/>
    <col min="4355" max="4355" width="2" style="618" customWidth="1"/>
    <col min="4356" max="4356" width="11.375" style="618" customWidth="1"/>
    <col min="4357" max="4357" width="10.125" style="618" customWidth="1"/>
    <col min="4358" max="4358" width="11.75" style="618" customWidth="1"/>
    <col min="4359" max="4359" width="18.125" style="618" customWidth="1"/>
    <col min="4360" max="4603" width="9" style="618"/>
    <col min="4604" max="4604" width="22.375" style="618" customWidth="1"/>
    <col min="4605" max="4605" width="1.75" style="618" customWidth="1"/>
    <col min="4606" max="4606" width="15.5" style="618" customWidth="1"/>
    <col min="4607" max="4607" width="1.75" style="618" customWidth="1"/>
    <col min="4608" max="4608" width="17" style="618" customWidth="1"/>
    <col min="4609" max="4609" width="1.5" style="618" customWidth="1"/>
    <col min="4610" max="4610" width="9.5" style="618" customWidth="1"/>
    <col min="4611" max="4611" width="2" style="618" customWidth="1"/>
    <col min="4612" max="4612" width="11.375" style="618" customWidth="1"/>
    <col min="4613" max="4613" width="10.125" style="618" customWidth="1"/>
    <col min="4614" max="4614" width="11.75" style="618" customWidth="1"/>
    <col min="4615" max="4615" width="18.125" style="618" customWidth="1"/>
    <col min="4616" max="4859" width="9" style="618"/>
    <col min="4860" max="4860" width="22.375" style="618" customWidth="1"/>
    <col min="4861" max="4861" width="1.75" style="618" customWidth="1"/>
    <col min="4862" max="4862" width="15.5" style="618" customWidth="1"/>
    <col min="4863" max="4863" width="1.75" style="618" customWidth="1"/>
    <col min="4864" max="4864" width="17" style="618" customWidth="1"/>
    <col min="4865" max="4865" width="1.5" style="618" customWidth="1"/>
    <col min="4866" max="4866" width="9.5" style="618" customWidth="1"/>
    <col min="4867" max="4867" width="2" style="618" customWidth="1"/>
    <col min="4868" max="4868" width="11.375" style="618" customWidth="1"/>
    <col min="4869" max="4869" width="10.125" style="618" customWidth="1"/>
    <col min="4870" max="4870" width="11.75" style="618" customWidth="1"/>
    <col min="4871" max="4871" width="18.125" style="618" customWidth="1"/>
    <col min="4872" max="5115" width="9" style="618"/>
    <col min="5116" max="5116" width="22.375" style="618" customWidth="1"/>
    <col min="5117" max="5117" width="1.75" style="618" customWidth="1"/>
    <col min="5118" max="5118" width="15.5" style="618" customWidth="1"/>
    <col min="5119" max="5119" width="1.75" style="618" customWidth="1"/>
    <col min="5120" max="5120" width="17" style="618" customWidth="1"/>
    <col min="5121" max="5121" width="1.5" style="618" customWidth="1"/>
    <col min="5122" max="5122" width="9.5" style="618" customWidth="1"/>
    <col min="5123" max="5123" width="2" style="618" customWidth="1"/>
    <col min="5124" max="5124" width="11.375" style="618" customWidth="1"/>
    <col min="5125" max="5125" width="10.125" style="618" customWidth="1"/>
    <col min="5126" max="5126" width="11.75" style="618" customWidth="1"/>
    <col min="5127" max="5127" width="18.125" style="618" customWidth="1"/>
    <col min="5128" max="5371" width="9" style="618"/>
    <col min="5372" max="5372" width="22.375" style="618" customWidth="1"/>
    <col min="5373" max="5373" width="1.75" style="618" customWidth="1"/>
    <col min="5374" max="5374" width="15.5" style="618" customWidth="1"/>
    <col min="5375" max="5375" width="1.75" style="618" customWidth="1"/>
    <col min="5376" max="5376" width="17" style="618" customWidth="1"/>
    <col min="5377" max="5377" width="1.5" style="618" customWidth="1"/>
    <col min="5378" max="5378" width="9.5" style="618" customWidth="1"/>
    <col min="5379" max="5379" width="2" style="618" customWidth="1"/>
    <col min="5380" max="5380" width="11.375" style="618" customWidth="1"/>
    <col min="5381" max="5381" width="10.125" style="618" customWidth="1"/>
    <col min="5382" max="5382" width="11.75" style="618" customWidth="1"/>
    <col min="5383" max="5383" width="18.125" style="618" customWidth="1"/>
    <col min="5384" max="5627" width="9" style="618"/>
    <col min="5628" max="5628" width="22.375" style="618" customWidth="1"/>
    <col min="5629" max="5629" width="1.75" style="618" customWidth="1"/>
    <col min="5630" max="5630" width="15.5" style="618" customWidth="1"/>
    <col min="5631" max="5631" width="1.75" style="618" customWidth="1"/>
    <col min="5632" max="5632" width="17" style="618" customWidth="1"/>
    <col min="5633" max="5633" width="1.5" style="618" customWidth="1"/>
    <col min="5634" max="5634" width="9.5" style="618" customWidth="1"/>
    <col min="5635" max="5635" width="2" style="618" customWidth="1"/>
    <col min="5636" max="5636" width="11.375" style="618" customWidth="1"/>
    <col min="5637" max="5637" width="10.125" style="618" customWidth="1"/>
    <col min="5638" max="5638" width="11.75" style="618" customWidth="1"/>
    <col min="5639" max="5639" width="18.125" style="618" customWidth="1"/>
    <col min="5640" max="5883" width="9" style="618"/>
    <col min="5884" max="5884" width="22.375" style="618" customWidth="1"/>
    <col min="5885" max="5885" width="1.75" style="618" customWidth="1"/>
    <col min="5886" max="5886" width="15.5" style="618" customWidth="1"/>
    <col min="5887" max="5887" width="1.75" style="618" customWidth="1"/>
    <col min="5888" max="5888" width="17" style="618" customWidth="1"/>
    <col min="5889" max="5889" width="1.5" style="618" customWidth="1"/>
    <col min="5890" max="5890" width="9.5" style="618" customWidth="1"/>
    <col min="5891" max="5891" width="2" style="618" customWidth="1"/>
    <col min="5892" max="5892" width="11.375" style="618" customWidth="1"/>
    <col min="5893" max="5893" width="10.125" style="618" customWidth="1"/>
    <col min="5894" max="5894" width="11.75" style="618" customWidth="1"/>
    <col min="5895" max="5895" width="18.125" style="618" customWidth="1"/>
    <col min="5896" max="6139" width="9" style="618"/>
    <col min="6140" max="6140" width="22.375" style="618" customWidth="1"/>
    <col min="6141" max="6141" width="1.75" style="618" customWidth="1"/>
    <col min="6142" max="6142" width="15.5" style="618" customWidth="1"/>
    <col min="6143" max="6143" width="1.75" style="618" customWidth="1"/>
    <col min="6144" max="6144" width="17" style="618" customWidth="1"/>
    <col min="6145" max="6145" width="1.5" style="618" customWidth="1"/>
    <col min="6146" max="6146" width="9.5" style="618" customWidth="1"/>
    <col min="6147" max="6147" width="2" style="618" customWidth="1"/>
    <col min="6148" max="6148" width="11.375" style="618" customWidth="1"/>
    <col min="6149" max="6149" width="10.125" style="618" customWidth="1"/>
    <col min="6150" max="6150" width="11.75" style="618" customWidth="1"/>
    <col min="6151" max="6151" width="18.125" style="618" customWidth="1"/>
    <col min="6152" max="6395" width="9" style="618"/>
    <col min="6396" max="6396" width="22.375" style="618" customWidth="1"/>
    <col min="6397" max="6397" width="1.75" style="618" customWidth="1"/>
    <col min="6398" max="6398" width="15.5" style="618" customWidth="1"/>
    <col min="6399" max="6399" width="1.75" style="618" customWidth="1"/>
    <col min="6400" max="6400" width="17" style="618" customWidth="1"/>
    <col min="6401" max="6401" width="1.5" style="618" customWidth="1"/>
    <col min="6402" max="6402" width="9.5" style="618" customWidth="1"/>
    <col min="6403" max="6403" width="2" style="618" customWidth="1"/>
    <col min="6404" max="6404" width="11.375" style="618" customWidth="1"/>
    <col min="6405" max="6405" width="10.125" style="618" customWidth="1"/>
    <col min="6406" max="6406" width="11.75" style="618" customWidth="1"/>
    <col min="6407" max="6407" width="18.125" style="618" customWidth="1"/>
    <col min="6408" max="6651" width="9" style="618"/>
    <col min="6652" max="6652" width="22.375" style="618" customWidth="1"/>
    <col min="6653" max="6653" width="1.75" style="618" customWidth="1"/>
    <col min="6654" max="6654" width="15.5" style="618" customWidth="1"/>
    <col min="6655" max="6655" width="1.75" style="618" customWidth="1"/>
    <col min="6656" max="6656" width="17" style="618" customWidth="1"/>
    <col min="6657" max="6657" width="1.5" style="618" customWidth="1"/>
    <col min="6658" max="6658" width="9.5" style="618" customWidth="1"/>
    <col min="6659" max="6659" width="2" style="618" customWidth="1"/>
    <col min="6660" max="6660" width="11.375" style="618" customWidth="1"/>
    <col min="6661" max="6661" width="10.125" style="618" customWidth="1"/>
    <col min="6662" max="6662" width="11.75" style="618" customWidth="1"/>
    <col min="6663" max="6663" width="18.125" style="618" customWidth="1"/>
    <col min="6664" max="6907" width="9" style="618"/>
    <col min="6908" max="6908" width="22.375" style="618" customWidth="1"/>
    <col min="6909" max="6909" width="1.75" style="618" customWidth="1"/>
    <col min="6910" max="6910" width="15.5" style="618" customWidth="1"/>
    <col min="6911" max="6911" width="1.75" style="618" customWidth="1"/>
    <col min="6912" max="6912" width="17" style="618" customWidth="1"/>
    <col min="6913" max="6913" width="1.5" style="618" customWidth="1"/>
    <col min="6914" max="6914" width="9.5" style="618" customWidth="1"/>
    <col min="6915" max="6915" width="2" style="618" customWidth="1"/>
    <col min="6916" max="6916" width="11.375" style="618" customWidth="1"/>
    <col min="6917" max="6917" width="10.125" style="618" customWidth="1"/>
    <col min="6918" max="6918" width="11.75" style="618" customWidth="1"/>
    <col min="6919" max="6919" width="18.125" style="618" customWidth="1"/>
    <col min="6920" max="7163" width="9" style="618"/>
    <col min="7164" max="7164" width="22.375" style="618" customWidth="1"/>
    <col min="7165" max="7165" width="1.75" style="618" customWidth="1"/>
    <col min="7166" max="7166" width="15.5" style="618" customWidth="1"/>
    <col min="7167" max="7167" width="1.75" style="618" customWidth="1"/>
    <col min="7168" max="7168" width="17" style="618" customWidth="1"/>
    <col min="7169" max="7169" width="1.5" style="618" customWidth="1"/>
    <col min="7170" max="7170" width="9.5" style="618" customWidth="1"/>
    <col min="7171" max="7171" width="2" style="618" customWidth="1"/>
    <col min="7172" max="7172" width="11.375" style="618" customWidth="1"/>
    <col min="7173" max="7173" width="10.125" style="618" customWidth="1"/>
    <col min="7174" max="7174" width="11.75" style="618" customWidth="1"/>
    <col min="7175" max="7175" width="18.125" style="618" customWidth="1"/>
    <col min="7176" max="7419" width="9" style="618"/>
    <col min="7420" max="7420" width="22.375" style="618" customWidth="1"/>
    <col min="7421" max="7421" width="1.75" style="618" customWidth="1"/>
    <col min="7422" max="7422" width="15.5" style="618" customWidth="1"/>
    <col min="7423" max="7423" width="1.75" style="618" customWidth="1"/>
    <col min="7424" max="7424" width="17" style="618" customWidth="1"/>
    <col min="7425" max="7425" width="1.5" style="618" customWidth="1"/>
    <col min="7426" max="7426" width="9.5" style="618" customWidth="1"/>
    <col min="7427" max="7427" width="2" style="618" customWidth="1"/>
    <col min="7428" max="7428" width="11.375" style="618" customWidth="1"/>
    <col min="7429" max="7429" width="10.125" style="618" customWidth="1"/>
    <col min="7430" max="7430" width="11.75" style="618" customWidth="1"/>
    <col min="7431" max="7431" width="18.125" style="618" customWidth="1"/>
    <col min="7432" max="7675" width="9" style="618"/>
    <col min="7676" max="7676" width="22.375" style="618" customWidth="1"/>
    <col min="7677" max="7677" width="1.75" style="618" customWidth="1"/>
    <col min="7678" max="7678" width="15.5" style="618" customWidth="1"/>
    <col min="7679" max="7679" width="1.75" style="618" customWidth="1"/>
    <col min="7680" max="7680" width="17" style="618" customWidth="1"/>
    <col min="7681" max="7681" width="1.5" style="618" customWidth="1"/>
    <col min="7682" max="7682" width="9.5" style="618" customWidth="1"/>
    <col min="7683" max="7683" width="2" style="618" customWidth="1"/>
    <col min="7684" max="7684" width="11.375" style="618" customWidth="1"/>
    <col min="7685" max="7685" width="10.125" style="618" customWidth="1"/>
    <col min="7686" max="7686" width="11.75" style="618" customWidth="1"/>
    <col min="7687" max="7687" width="18.125" style="618" customWidth="1"/>
    <col min="7688" max="7931" width="9" style="618"/>
    <col min="7932" max="7932" width="22.375" style="618" customWidth="1"/>
    <col min="7933" max="7933" width="1.75" style="618" customWidth="1"/>
    <col min="7934" max="7934" width="15.5" style="618" customWidth="1"/>
    <col min="7935" max="7935" width="1.75" style="618" customWidth="1"/>
    <col min="7936" max="7936" width="17" style="618" customWidth="1"/>
    <col min="7937" max="7937" width="1.5" style="618" customWidth="1"/>
    <col min="7938" max="7938" width="9.5" style="618" customWidth="1"/>
    <col min="7939" max="7939" width="2" style="618" customWidth="1"/>
    <col min="7940" max="7940" width="11.375" style="618" customWidth="1"/>
    <col min="7941" max="7941" width="10.125" style="618" customWidth="1"/>
    <col min="7942" max="7942" width="11.75" style="618" customWidth="1"/>
    <col min="7943" max="7943" width="18.125" style="618" customWidth="1"/>
    <col min="7944" max="8187" width="9" style="618"/>
    <col min="8188" max="8188" width="22.375" style="618" customWidth="1"/>
    <col min="8189" max="8189" width="1.75" style="618" customWidth="1"/>
    <col min="8190" max="8190" width="15.5" style="618" customWidth="1"/>
    <col min="8191" max="8191" width="1.75" style="618" customWidth="1"/>
    <col min="8192" max="8192" width="17" style="618" customWidth="1"/>
    <col min="8193" max="8193" width="1.5" style="618" customWidth="1"/>
    <col min="8194" max="8194" width="9.5" style="618" customWidth="1"/>
    <col min="8195" max="8195" width="2" style="618" customWidth="1"/>
    <col min="8196" max="8196" width="11.375" style="618" customWidth="1"/>
    <col min="8197" max="8197" width="10.125" style="618" customWidth="1"/>
    <col min="8198" max="8198" width="11.75" style="618" customWidth="1"/>
    <col min="8199" max="8199" width="18.125" style="618" customWidth="1"/>
    <col min="8200" max="8443" width="9" style="618"/>
    <col min="8444" max="8444" width="22.375" style="618" customWidth="1"/>
    <col min="8445" max="8445" width="1.75" style="618" customWidth="1"/>
    <col min="8446" max="8446" width="15.5" style="618" customWidth="1"/>
    <col min="8447" max="8447" width="1.75" style="618" customWidth="1"/>
    <col min="8448" max="8448" width="17" style="618" customWidth="1"/>
    <col min="8449" max="8449" width="1.5" style="618" customWidth="1"/>
    <col min="8450" max="8450" width="9.5" style="618" customWidth="1"/>
    <col min="8451" max="8451" width="2" style="618" customWidth="1"/>
    <col min="8452" max="8452" width="11.375" style="618" customWidth="1"/>
    <col min="8453" max="8453" width="10.125" style="618" customWidth="1"/>
    <col min="8454" max="8454" width="11.75" style="618" customWidth="1"/>
    <col min="8455" max="8455" width="18.125" style="618" customWidth="1"/>
    <col min="8456" max="8699" width="9" style="618"/>
    <col min="8700" max="8700" width="22.375" style="618" customWidth="1"/>
    <col min="8701" max="8701" width="1.75" style="618" customWidth="1"/>
    <col min="8702" max="8702" width="15.5" style="618" customWidth="1"/>
    <col min="8703" max="8703" width="1.75" style="618" customWidth="1"/>
    <col min="8704" max="8704" width="17" style="618" customWidth="1"/>
    <col min="8705" max="8705" width="1.5" style="618" customWidth="1"/>
    <col min="8706" max="8706" width="9.5" style="618" customWidth="1"/>
    <col min="8707" max="8707" width="2" style="618" customWidth="1"/>
    <col min="8708" max="8708" width="11.375" style="618" customWidth="1"/>
    <col min="8709" max="8709" width="10.125" style="618" customWidth="1"/>
    <col min="8710" max="8710" width="11.75" style="618" customWidth="1"/>
    <col min="8711" max="8711" width="18.125" style="618" customWidth="1"/>
    <col min="8712" max="8955" width="9" style="618"/>
    <col min="8956" max="8956" width="22.375" style="618" customWidth="1"/>
    <col min="8957" max="8957" width="1.75" style="618" customWidth="1"/>
    <col min="8958" max="8958" width="15.5" style="618" customWidth="1"/>
    <col min="8959" max="8959" width="1.75" style="618" customWidth="1"/>
    <col min="8960" max="8960" width="17" style="618" customWidth="1"/>
    <col min="8961" max="8961" width="1.5" style="618" customWidth="1"/>
    <col min="8962" max="8962" width="9.5" style="618" customWidth="1"/>
    <col min="8963" max="8963" width="2" style="618" customWidth="1"/>
    <col min="8964" max="8964" width="11.375" style="618" customWidth="1"/>
    <col min="8965" max="8965" width="10.125" style="618" customWidth="1"/>
    <col min="8966" max="8966" width="11.75" style="618" customWidth="1"/>
    <col min="8967" max="8967" width="18.125" style="618" customWidth="1"/>
    <col min="8968" max="9211" width="9" style="618"/>
    <col min="9212" max="9212" width="22.375" style="618" customWidth="1"/>
    <col min="9213" max="9213" width="1.75" style="618" customWidth="1"/>
    <col min="9214" max="9214" width="15.5" style="618" customWidth="1"/>
    <col min="9215" max="9215" width="1.75" style="618" customWidth="1"/>
    <col min="9216" max="9216" width="17" style="618" customWidth="1"/>
    <col min="9217" max="9217" width="1.5" style="618" customWidth="1"/>
    <col min="9218" max="9218" width="9.5" style="618" customWidth="1"/>
    <col min="9219" max="9219" width="2" style="618" customWidth="1"/>
    <col min="9220" max="9220" width="11.375" style="618" customWidth="1"/>
    <col min="9221" max="9221" width="10.125" style="618" customWidth="1"/>
    <col min="9222" max="9222" width="11.75" style="618" customWidth="1"/>
    <col min="9223" max="9223" width="18.125" style="618" customWidth="1"/>
    <col min="9224" max="9467" width="9" style="618"/>
    <col min="9468" max="9468" width="22.375" style="618" customWidth="1"/>
    <col min="9469" max="9469" width="1.75" style="618" customWidth="1"/>
    <col min="9470" max="9470" width="15.5" style="618" customWidth="1"/>
    <col min="9471" max="9471" width="1.75" style="618" customWidth="1"/>
    <col min="9472" max="9472" width="17" style="618" customWidth="1"/>
    <col min="9473" max="9473" width="1.5" style="618" customWidth="1"/>
    <col min="9474" max="9474" width="9.5" style="618" customWidth="1"/>
    <col min="9475" max="9475" width="2" style="618" customWidth="1"/>
    <col min="9476" max="9476" width="11.375" style="618" customWidth="1"/>
    <col min="9477" max="9477" width="10.125" style="618" customWidth="1"/>
    <col min="9478" max="9478" width="11.75" style="618" customWidth="1"/>
    <col min="9479" max="9479" width="18.125" style="618" customWidth="1"/>
    <col min="9480" max="9723" width="9" style="618"/>
    <col min="9724" max="9724" width="22.375" style="618" customWidth="1"/>
    <col min="9725" max="9725" width="1.75" style="618" customWidth="1"/>
    <col min="9726" max="9726" width="15.5" style="618" customWidth="1"/>
    <col min="9727" max="9727" width="1.75" style="618" customWidth="1"/>
    <col min="9728" max="9728" width="17" style="618" customWidth="1"/>
    <col min="9729" max="9729" width="1.5" style="618" customWidth="1"/>
    <col min="9730" max="9730" width="9.5" style="618" customWidth="1"/>
    <col min="9731" max="9731" width="2" style="618" customWidth="1"/>
    <col min="9732" max="9732" width="11.375" style="618" customWidth="1"/>
    <col min="9733" max="9733" width="10.125" style="618" customWidth="1"/>
    <col min="9734" max="9734" width="11.75" style="618" customWidth="1"/>
    <col min="9735" max="9735" width="18.125" style="618" customWidth="1"/>
    <col min="9736" max="9979" width="9" style="618"/>
    <col min="9980" max="9980" width="22.375" style="618" customWidth="1"/>
    <col min="9981" max="9981" width="1.75" style="618" customWidth="1"/>
    <col min="9982" max="9982" width="15.5" style="618" customWidth="1"/>
    <col min="9983" max="9983" width="1.75" style="618" customWidth="1"/>
    <col min="9984" max="9984" width="17" style="618" customWidth="1"/>
    <col min="9985" max="9985" width="1.5" style="618" customWidth="1"/>
    <col min="9986" max="9986" width="9.5" style="618" customWidth="1"/>
    <col min="9987" max="9987" width="2" style="618" customWidth="1"/>
    <col min="9988" max="9988" width="11.375" style="618" customWidth="1"/>
    <col min="9989" max="9989" width="10.125" style="618" customWidth="1"/>
    <col min="9990" max="9990" width="11.75" style="618" customWidth="1"/>
    <col min="9991" max="9991" width="18.125" style="618" customWidth="1"/>
    <col min="9992" max="10235" width="9" style="618"/>
    <col min="10236" max="10236" width="22.375" style="618" customWidth="1"/>
    <col min="10237" max="10237" width="1.75" style="618" customWidth="1"/>
    <col min="10238" max="10238" width="15.5" style="618" customWidth="1"/>
    <col min="10239" max="10239" width="1.75" style="618" customWidth="1"/>
    <col min="10240" max="10240" width="17" style="618" customWidth="1"/>
    <col min="10241" max="10241" width="1.5" style="618" customWidth="1"/>
    <col min="10242" max="10242" width="9.5" style="618" customWidth="1"/>
    <col min="10243" max="10243" width="2" style="618" customWidth="1"/>
    <col min="10244" max="10244" width="11.375" style="618" customWidth="1"/>
    <col min="10245" max="10245" width="10.125" style="618" customWidth="1"/>
    <col min="10246" max="10246" width="11.75" style="618" customWidth="1"/>
    <col min="10247" max="10247" width="18.125" style="618" customWidth="1"/>
    <col min="10248" max="10491" width="9" style="618"/>
    <col min="10492" max="10492" width="22.375" style="618" customWidth="1"/>
    <col min="10493" max="10493" width="1.75" style="618" customWidth="1"/>
    <col min="10494" max="10494" width="15.5" style="618" customWidth="1"/>
    <col min="10495" max="10495" width="1.75" style="618" customWidth="1"/>
    <col min="10496" max="10496" width="17" style="618" customWidth="1"/>
    <col min="10497" max="10497" width="1.5" style="618" customWidth="1"/>
    <col min="10498" max="10498" width="9.5" style="618" customWidth="1"/>
    <col min="10499" max="10499" width="2" style="618" customWidth="1"/>
    <col min="10500" max="10500" width="11.375" style="618" customWidth="1"/>
    <col min="10501" max="10501" width="10.125" style="618" customWidth="1"/>
    <col min="10502" max="10502" width="11.75" style="618" customWidth="1"/>
    <col min="10503" max="10503" width="18.125" style="618" customWidth="1"/>
    <col min="10504" max="10747" width="9" style="618"/>
    <col min="10748" max="10748" width="22.375" style="618" customWidth="1"/>
    <col min="10749" max="10749" width="1.75" style="618" customWidth="1"/>
    <col min="10750" max="10750" width="15.5" style="618" customWidth="1"/>
    <col min="10751" max="10751" width="1.75" style="618" customWidth="1"/>
    <col min="10752" max="10752" width="17" style="618" customWidth="1"/>
    <col min="10753" max="10753" width="1.5" style="618" customWidth="1"/>
    <col min="10754" max="10754" width="9.5" style="618" customWidth="1"/>
    <col min="10755" max="10755" width="2" style="618" customWidth="1"/>
    <col min="10756" max="10756" width="11.375" style="618" customWidth="1"/>
    <col min="10757" max="10757" width="10.125" style="618" customWidth="1"/>
    <col min="10758" max="10758" width="11.75" style="618" customWidth="1"/>
    <col min="10759" max="10759" width="18.125" style="618" customWidth="1"/>
    <col min="10760" max="11003" width="9" style="618"/>
    <col min="11004" max="11004" width="22.375" style="618" customWidth="1"/>
    <col min="11005" max="11005" width="1.75" style="618" customWidth="1"/>
    <col min="11006" max="11006" width="15.5" style="618" customWidth="1"/>
    <col min="11007" max="11007" width="1.75" style="618" customWidth="1"/>
    <col min="11008" max="11008" width="17" style="618" customWidth="1"/>
    <col min="11009" max="11009" width="1.5" style="618" customWidth="1"/>
    <col min="11010" max="11010" width="9.5" style="618" customWidth="1"/>
    <col min="11011" max="11011" width="2" style="618" customWidth="1"/>
    <col min="11012" max="11012" width="11.375" style="618" customWidth="1"/>
    <col min="11013" max="11013" width="10.125" style="618" customWidth="1"/>
    <col min="11014" max="11014" width="11.75" style="618" customWidth="1"/>
    <col min="11015" max="11015" width="18.125" style="618" customWidth="1"/>
    <col min="11016" max="11259" width="9" style="618"/>
    <col min="11260" max="11260" width="22.375" style="618" customWidth="1"/>
    <col min="11261" max="11261" width="1.75" style="618" customWidth="1"/>
    <col min="11262" max="11262" width="15.5" style="618" customWidth="1"/>
    <col min="11263" max="11263" width="1.75" style="618" customWidth="1"/>
    <col min="11264" max="11264" width="17" style="618" customWidth="1"/>
    <col min="11265" max="11265" width="1.5" style="618" customWidth="1"/>
    <col min="11266" max="11266" width="9.5" style="618" customWidth="1"/>
    <col min="11267" max="11267" width="2" style="618" customWidth="1"/>
    <col min="11268" max="11268" width="11.375" style="618" customWidth="1"/>
    <col min="11269" max="11269" width="10.125" style="618" customWidth="1"/>
    <col min="11270" max="11270" width="11.75" style="618" customWidth="1"/>
    <col min="11271" max="11271" width="18.125" style="618" customWidth="1"/>
    <col min="11272" max="11515" width="9" style="618"/>
    <col min="11516" max="11516" width="22.375" style="618" customWidth="1"/>
    <col min="11517" max="11517" width="1.75" style="618" customWidth="1"/>
    <col min="11518" max="11518" width="15.5" style="618" customWidth="1"/>
    <col min="11519" max="11519" width="1.75" style="618" customWidth="1"/>
    <col min="11520" max="11520" width="17" style="618" customWidth="1"/>
    <col min="11521" max="11521" width="1.5" style="618" customWidth="1"/>
    <col min="11522" max="11522" width="9.5" style="618" customWidth="1"/>
    <col min="11523" max="11523" width="2" style="618" customWidth="1"/>
    <col min="11524" max="11524" width="11.375" style="618" customWidth="1"/>
    <col min="11525" max="11525" width="10.125" style="618" customWidth="1"/>
    <col min="11526" max="11526" width="11.75" style="618" customWidth="1"/>
    <col min="11527" max="11527" width="18.125" style="618" customWidth="1"/>
    <col min="11528" max="11771" width="9" style="618"/>
    <col min="11772" max="11772" width="22.375" style="618" customWidth="1"/>
    <col min="11773" max="11773" width="1.75" style="618" customWidth="1"/>
    <col min="11774" max="11774" width="15.5" style="618" customWidth="1"/>
    <col min="11775" max="11775" width="1.75" style="618" customWidth="1"/>
    <col min="11776" max="11776" width="17" style="618" customWidth="1"/>
    <col min="11777" max="11777" width="1.5" style="618" customWidth="1"/>
    <col min="11778" max="11778" width="9.5" style="618" customWidth="1"/>
    <col min="11779" max="11779" width="2" style="618" customWidth="1"/>
    <col min="11780" max="11780" width="11.375" style="618" customWidth="1"/>
    <col min="11781" max="11781" width="10.125" style="618" customWidth="1"/>
    <col min="11782" max="11782" width="11.75" style="618" customWidth="1"/>
    <col min="11783" max="11783" width="18.125" style="618" customWidth="1"/>
    <col min="11784" max="12027" width="9" style="618"/>
    <col min="12028" max="12028" width="22.375" style="618" customWidth="1"/>
    <col min="12029" max="12029" width="1.75" style="618" customWidth="1"/>
    <col min="12030" max="12030" width="15.5" style="618" customWidth="1"/>
    <col min="12031" max="12031" width="1.75" style="618" customWidth="1"/>
    <col min="12032" max="12032" width="17" style="618" customWidth="1"/>
    <col min="12033" max="12033" width="1.5" style="618" customWidth="1"/>
    <col min="12034" max="12034" width="9.5" style="618" customWidth="1"/>
    <col min="12035" max="12035" width="2" style="618" customWidth="1"/>
    <col min="12036" max="12036" width="11.375" style="618" customWidth="1"/>
    <col min="12037" max="12037" width="10.125" style="618" customWidth="1"/>
    <col min="12038" max="12038" width="11.75" style="618" customWidth="1"/>
    <col min="12039" max="12039" width="18.125" style="618" customWidth="1"/>
    <col min="12040" max="12283" width="9" style="618"/>
    <col min="12284" max="12284" width="22.375" style="618" customWidth="1"/>
    <col min="12285" max="12285" width="1.75" style="618" customWidth="1"/>
    <col min="12286" max="12286" width="15.5" style="618" customWidth="1"/>
    <col min="12287" max="12287" width="1.75" style="618" customWidth="1"/>
    <col min="12288" max="12288" width="17" style="618" customWidth="1"/>
    <col min="12289" max="12289" width="1.5" style="618" customWidth="1"/>
    <col min="12290" max="12290" width="9.5" style="618" customWidth="1"/>
    <col min="12291" max="12291" width="2" style="618" customWidth="1"/>
    <col min="12292" max="12292" width="11.375" style="618" customWidth="1"/>
    <col min="12293" max="12293" width="10.125" style="618" customWidth="1"/>
    <col min="12294" max="12294" width="11.75" style="618" customWidth="1"/>
    <col min="12295" max="12295" width="18.125" style="618" customWidth="1"/>
    <col min="12296" max="12539" width="9" style="618"/>
    <col min="12540" max="12540" width="22.375" style="618" customWidth="1"/>
    <col min="12541" max="12541" width="1.75" style="618" customWidth="1"/>
    <col min="12542" max="12542" width="15.5" style="618" customWidth="1"/>
    <col min="12543" max="12543" width="1.75" style="618" customWidth="1"/>
    <col min="12544" max="12544" width="17" style="618" customWidth="1"/>
    <col min="12545" max="12545" width="1.5" style="618" customWidth="1"/>
    <col min="12546" max="12546" width="9.5" style="618" customWidth="1"/>
    <col min="12547" max="12547" width="2" style="618" customWidth="1"/>
    <col min="12548" max="12548" width="11.375" style="618" customWidth="1"/>
    <col min="12549" max="12549" width="10.125" style="618" customWidth="1"/>
    <col min="12550" max="12550" width="11.75" style="618" customWidth="1"/>
    <col min="12551" max="12551" width="18.125" style="618" customWidth="1"/>
    <col min="12552" max="12795" width="9" style="618"/>
    <col min="12796" max="12796" width="22.375" style="618" customWidth="1"/>
    <col min="12797" max="12797" width="1.75" style="618" customWidth="1"/>
    <col min="12798" max="12798" width="15.5" style="618" customWidth="1"/>
    <col min="12799" max="12799" width="1.75" style="618" customWidth="1"/>
    <col min="12800" max="12800" width="17" style="618" customWidth="1"/>
    <col min="12801" max="12801" width="1.5" style="618" customWidth="1"/>
    <col min="12802" max="12802" width="9.5" style="618" customWidth="1"/>
    <col min="12803" max="12803" width="2" style="618" customWidth="1"/>
    <col min="12804" max="12804" width="11.375" style="618" customWidth="1"/>
    <col min="12805" max="12805" width="10.125" style="618" customWidth="1"/>
    <col min="12806" max="12806" width="11.75" style="618" customWidth="1"/>
    <col min="12807" max="12807" width="18.125" style="618" customWidth="1"/>
    <col min="12808" max="13051" width="9" style="618"/>
    <col min="13052" max="13052" width="22.375" style="618" customWidth="1"/>
    <col min="13053" max="13053" width="1.75" style="618" customWidth="1"/>
    <col min="13054" max="13054" width="15.5" style="618" customWidth="1"/>
    <col min="13055" max="13055" width="1.75" style="618" customWidth="1"/>
    <col min="13056" max="13056" width="17" style="618" customWidth="1"/>
    <col min="13057" max="13057" width="1.5" style="618" customWidth="1"/>
    <col min="13058" max="13058" width="9.5" style="618" customWidth="1"/>
    <col min="13059" max="13059" width="2" style="618" customWidth="1"/>
    <col min="13060" max="13060" width="11.375" style="618" customWidth="1"/>
    <col min="13061" max="13061" width="10.125" style="618" customWidth="1"/>
    <col min="13062" max="13062" width="11.75" style="618" customWidth="1"/>
    <col min="13063" max="13063" width="18.125" style="618" customWidth="1"/>
    <col min="13064" max="13307" width="9" style="618"/>
    <col min="13308" max="13308" width="22.375" style="618" customWidth="1"/>
    <col min="13309" max="13309" width="1.75" style="618" customWidth="1"/>
    <col min="13310" max="13310" width="15.5" style="618" customWidth="1"/>
    <col min="13311" max="13311" width="1.75" style="618" customWidth="1"/>
    <col min="13312" max="13312" width="17" style="618" customWidth="1"/>
    <col min="13313" max="13313" width="1.5" style="618" customWidth="1"/>
    <col min="13314" max="13314" width="9.5" style="618" customWidth="1"/>
    <col min="13315" max="13315" width="2" style="618" customWidth="1"/>
    <col min="13316" max="13316" width="11.375" style="618" customWidth="1"/>
    <col min="13317" max="13317" width="10.125" style="618" customWidth="1"/>
    <col min="13318" max="13318" width="11.75" style="618" customWidth="1"/>
    <col min="13319" max="13319" width="18.125" style="618" customWidth="1"/>
    <col min="13320" max="13563" width="9" style="618"/>
    <col min="13564" max="13564" width="22.375" style="618" customWidth="1"/>
    <col min="13565" max="13565" width="1.75" style="618" customWidth="1"/>
    <col min="13566" max="13566" width="15.5" style="618" customWidth="1"/>
    <col min="13567" max="13567" width="1.75" style="618" customWidth="1"/>
    <col min="13568" max="13568" width="17" style="618" customWidth="1"/>
    <col min="13569" max="13569" width="1.5" style="618" customWidth="1"/>
    <col min="13570" max="13570" width="9.5" style="618" customWidth="1"/>
    <col min="13571" max="13571" width="2" style="618" customWidth="1"/>
    <col min="13572" max="13572" width="11.375" style="618" customWidth="1"/>
    <col min="13573" max="13573" width="10.125" style="618" customWidth="1"/>
    <col min="13574" max="13574" width="11.75" style="618" customWidth="1"/>
    <col min="13575" max="13575" width="18.125" style="618" customWidth="1"/>
    <col min="13576" max="13819" width="9" style="618"/>
    <col min="13820" max="13820" width="22.375" style="618" customWidth="1"/>
    <col min="13821" max="13821" width="1.75" style="618" customWidth="1"/>
    <col min="13822" max="13822" width="15.5" style="618" customWidth="1"/>
    <col min="13823" max="13823" width="1.75" style="618" customWidth="1"/>
    <col min="13824" max="13824" width="17" style="618" customWidth="1"/>
    <col min="13825" max="13825" width="1.5" style="618" customWidth="1"/>
    <col min="13826" max="13826" width="9.5" style="618" customWidth="1"/>
    <col min="13827" max="13827" width="2" style="618" customWidth="1"/>
    <col min="13828" max="13828" width="11.375" style="618" customWidth="1"/>
    <col min="13829" max="13829" width="10.125" style="618" customWidth="1"/>
    <col min="13830" max="13830" width="11.75" style="618" customWidth="1"/>
    <col min="13831" max="13831" width="18.125" style="618" customWidth="1"/>
    <col min="13832" max="14075" width="9" style="618"/>
    <col min="14076" max="14076" width="22.375" style="618" customWidth="1"/>
    <col min="14077" max="14077" width="1.75" style="618" customWidth="1"/>
    <col min="14078" max="14078" width="15.5" style="618" customWidth="1"/>
    <col min="14079" max="14079" width="1.75" style="618" customWidth="1"/>
    <col min="14080" max="14080" width="17" style="618" customWidth="1"/>
    <col min="14081" max="14081" width="1.5" style="618" customWidth="1"/>
    <col min="14082" max="14082" width="9.5" style="618" customWidth="1"/>
    <col min="14083" max="14083" width="2" style="618" customWidth="1"/>
    <col min="14084" max="14084" width="11.375" style="618" customWidth="1"/>
    <col min="14085" max="14085" width="10.125" style="618" customWidth="1"/>
    <col min="14086" max="14086" width="11.75" style="618" customWidth="1"/>
    <col min="14087" max="14087" width="18.125" style="618" customWidth="1"/>
    <col min="14088" max="14331" width="9" style="618"/>
    <col min="14332" max="14332" width="22.375" style="618" customWidth="1"/>
    <col min="14333" max="14333" width="1.75" style="618" customWidth="1"/>
    <col min="14334" max="14334" width="15.5" style="618" customWidth="1"/>
    <col min="14335" max="14335" width="1.75" style="618" customWidth="1"/>
    <col min="14336" max="14336" width="17" style="618" customWidth="1"/>
    <col min="14337" max="14337" width="1.5" style="618" customWidth="1"/>
    <col min="14338" max="14338" width="9.5" style="618" customWidth="1"/>
    <col min="14339" max="14339" width="2" style="618" customWidth="1"/>
    <col min="14340" max="14340" width="11.375" style="618" customWidth="1"/>
    <col min="14341" max="14341" width="10.125" style="618" customWidth="1"/>
    <col min="14342" max="14342" width="11.75" style="618" customWidth="1"/>
    <col min="14343" max="14343" width="18.125" style="618" customWidth="1"/>
    <col min="14344" max="14587" width="9" style="618"/>
    <col min="14588" max="14588" width="22.375" style="618" customWidth="1"/>
    <col min="14589" max="14589" width="1.75" style="618" customWidth="1"/>
    <col min="14590" max="14590" width="15.5" style="618" customWidth="1"/>
    <col min="14591" max="14591" width="1.75" style="618" customWidth="1"/>
    <col min="14592" max="14592" width="17" style="618" customWidth="1"/>
    <col min="14593" max="14593" width="1.5" style="618" customWidth="1"/>
    <col min="14594" max="14594" width="9.5" style="618" customWidth="1"/>
    <col min="14595" max="14595" width="2" style="618" customWidth="1"/>
    <col min="14596" max="14596" width="11.375" style="618" customWidth="1"/>
    <col min="14597" max="14597" width="10.125" style="618" customWidth="1"/>
    <col min="14598" max="14598" width="11.75" style="618" customWidth="1"/>
    <col min="14599" max="14599" width="18.125" style="618" customWidth="1"/>
    <col min="14600" max="14843" width="9" style="618"/>
    <col min="14844" max="14844" width="22.375" style="618" customWidth="1"/>
    <col min="14845" max="14845" width="1.75" style="618" customWidth="1"/>
    <col min="14846" max="14846" width="15.5" style="618" customWidth="1"/>
    <col min="14847" max="14847" width="1.75" style="618" customWidth="1"/>
    <col min="14848" max="14848" width="17" style="618" customWidth="1"/>
    <col min="14849" max="14849" width="1.5" style="618" customWidth="1"/>
    <col min="14850" max="14850" width="9.5" style="618" customWidth="1"/>
    <col min="14851" max="14851" width="2" style="618" customWidth="1"/>
    <col min="14852" max="14852" width="11.375" style="618" customWidth="1"/>
    <col min="14853" max="14853" width="10.125" style="618" customWidth="1"/>
    <col min="14854" max="14854" width="11.75" style="618" customWidth="1"/>
    <col min="14855" max="14855" width="18.125" style="618" customWidth="1"/>
    <col min="14856" max="15099" width="9" style="618"/>
    <col min="15100" max="15100" width="22.375" style="618" customWidth="1"/>
    <col min="15101" max="15101" width="1.75" style="618" customWidth="1"/>
    <col min="15102" max="15102" width="15.5" style="618" customWidth="1"/>
    <col min="15103" max="15103" width="1.75" style="618" customWidth="1"/>
    <col min="15104" max="15104" width="17" style="618" customWidth="1"/>
    <col min="15105" max="15105" width="1.5" style="618" customWidth="1"/>
    <col min="15106" max="15106" width="9.5" style="618" customWidth="1"/>
    <col min="15107" max="15107" width="2" style="618" customWidth="1"/>
    <col min="15108" max="15108" width="11.375" style="618" customWidth="1"/>
    <col min="15109" max="15109" width="10.125" style="618" customWidth="1"/>
    <col min="15110" max="15110" width="11.75" style="618" customWidth="1"/>
    <col min="15111" max="15111" width="18.125" style="618" customWidth="1"/>
    <col min="15112" max="15355" width="9" style="618"/>
    <col min="15356" max="15356" width="22.375" style="618" customWidth="1"/>
    <col min="15357" max="15357" width="1.75" style="618" customWidth="1"/>
    <col min="15358" max="15358" width="15.5" style="618" customWidth="1"/>
    <col min="15359" max="15359" width="1.75" style="618" customWidth="1"/>
    <col min="15360" max="15360" width="17" style="618" customWidth="1"/>
    <col min="15361" max="15361" width="1.5" style="618" customWidth="1"/>
    <col min="15362" max="15362" width="9.5" style="618" customWidth="1"/>
    <col min="15363" max="15363" width="2" style="618" customWidth="1"/>
    <col min="15364" max="15364" width="11.375" style="618" customWidth="1"/>
    <col min="15365" max="15365" width="10.125" style="618" customWidth="1"/>
    <col min="15366" max="15366" width="11.75" style="618" customWidth="1"/>
    <col min="15367" max="15367" width="18.125" style="618" customWidth="1"/>
    <col min="15368" max="15611" width="9" style="618"/>
    <col min="15612" max="15612" width="22.375" style="618" customWidth="1"/>
    <col min="15613" max="15613" width="1.75" style="618" customWidth="1"/>
    <col min="15614" max="15614" width="15.5" style="618" customWidth="1"/>
    <col min="15615" max="15615" width="1.75" style="618" customWidth="1"/>
    <col min="15616" max="15616" width="17" style="618" customWidth="1"/>
    <col min="15617" max="15617" width="1.5" style="618" customWidth="1"/>
    <col min="15618" max="15618" width="9.5" style="618" customWidth="1"/>
    <col min="15619" max="15619" width="2" style="618" customWidth="1"/>
    <col min="15620" max="15620" width="11.375" style="618" customWidth="1"/>
    <col min="15621" max="15621" width="10.125" style="618" customWidth="1"/>
    <col min="15622" max="15622" width="11.75" style="618" customWidth="1"/>
    <col min="15623" max="15623" width="18.125" style="618" customWidth="1"/>
    <col min="15624" max="15867" width="9" style="618"/>
    <col min="15868" max="15868" width="22.375" style="618" customWidth="1"/>
    <col min="15869" max="15869" width="1.75" style="618" customWidth="1"/>
    <col min="15870" max="15870" width="15.5" style="618" customWidth="1"/>
    <col min="15871" max="15871" width="1.75" style="618" customWidth="1"/>
    <col min="15872" max="15872" width="17" style="618" customWidth="1"/>
    <col min="15873" max="15873" width="1.5" style="618" customWidth="1"/>
    <col min="15874" max="15874" width="9.5" style="618" customWidth="1"/>
    <col min="15875" max="15875" width="2" style="618" customWidth="1"/>
    <col min="15876" max="15876" width="11.375" style="618" customWidth="1"/>
    <col min="15877" max="15877" width="10.125" style="618" customWidth="1"/>
    <col min="15878" max="15878" width="11.75" style="618" customWidth="1"/>
    <col min="15879" max="15879" width="18.125" style="618" customWidth="1"/>
    <col min="15880" max="16123" width="9" style="618"/>
    <col min="16124" max="16124" width="22.375" style="618" customWidth="1"/>
    <col min="16125" max="16125" width="1.75" style="618" customWidth="1"/>
    <col min="16126" max="16126" width="15.5" style="618" customWidth="1"/>
    <col min="16127" max="16127" width="1.75" style="618" customWidth="1"/>
    <col min="16128" max="16128" width="17" style="618" customWidth="1"/>
    <col min="16129" max="16129" width="1.5" style="618" customWidth="1"/>
    <col min="16130" max="16130" width="9.5" style="618" customWidth="1"/>
    <col min="16131" max="16131" width="2" style="618" customWidth="1"/>
    <col min="16132" max="16132" width="11.375" style="618" customWidth="1"/>
    <col min="16133" max="16133" width="10.125" style="618" customWidth="1"/>
    <col min="16134" max="16134" width="11.75" style="618" customWidth="1"/>
    <col min="16135" max="16135" width="18.125" style="618" customWidth="1"/>
    <col min="16136" max="16384" width="9" style="618"/>
  </cols>
  <sheetData>
    <row r="1" spans="1:23" s="61" customFormat="1" ht="15.75">
      <c r="A1" s="61" t="s">
        <v>981</v>
      </c>
      <c r="E1" s="1308"/>
      <c r="F1" s="1308"/>
      <c r="G1" s="1308"/>
      <c r="H1" s="1308"/>
      <c r="I1" s="1308"/>
      <c r="J1" s="1308"/>
      <c r="K1" s="1308"/>
      <c r="L1" s="1308"/>
      <c r="M1" s="1308"/>
      <c r="N1" s="1308"/>
      <c r="O1" s="1308"/>
      <c r="P1" s="1550"/>
    </row>
    <row r="2" spans="1:23" s="27" customFormat="1" ht="18">
      <c r="B2" s="647"/>
      <c r="D2" s="40"/>
      <c r="E2" s="1551"/>
      <c r="F2" s="1551"/>
      <c r="G2" s="1551"/>
      <c r="H2" s="1551"/>
      <c r="I2" s="1551"/>
      <c r="J2" s="1551"/>
      <c r="K2" s="1551"/>
      <c r="L2" s="1551"/>
      <c r="M2" s="1551"/>
      <c r="N2" s="1551"/>
      <c r="O2" s="206"/>
      <c r="P2" s="1551"/>
      <c r="Q2" s="40"/>
      <c r="R2" s="40"/>
      <c r="S2" s="40"/>
      <c r="T2" s="40"/>
      <c r="U2" s="40"/>
      <c r="V2" s="40"/>
      <c r="W2" s="40"/>
    </row>
    <row r="3" spans="1:23" s="27" customFormat="1" ht="18">
      <c r="A3" s="1856" t="s">
        <v>200</v>
      </c>
      <c r="B3" s="1856"/>
      <c r="C3" s="1856"/>
      <c r="D3" s="1856"/>
      <c r="E3" s="1856"/>
      <c r="F3" s="1856"/>
      <c r="G3" s="1856"/>
      <c r="H3" s="1856"/>
      <c r="I3" s="1856"/>
      <c r="J3" s="1856"/>
      <c r="K3" s="1856"/>
      <c r="L3" s="1856"/>
      <c r="M3" s="1856"/>
      <c r="N3" s="1856"/>
      <c r="O3" s="1856"/>
      <c r="P3" s="1856"/>
      <c r="Q3" s="40"/>
      <c r="R3" s="40"/>
      <c r="S3" s="40"/>
      <c r="T3" s="40"/>
      <c r="U3" s="40"/>
      <c r="V3" s="40"/>
      <c r="W3" s="40"/>
    </row>
    <row r="4" spans="1:23" s="27" customFormat="1" ht="18">
      <c r="A4" s="1856" t="s">
        <v>103</v>
      </c>
      <c r="B4" s="1856"/>
      <c r="C4" s="1856"/>
      <c r="D4" s="1856"/>
      <c r="E4" s="1856"/>
      <c r="F4" s="1856"/>
      <c r="G4" s="1856"/>
      <c r="H4" s="1856"/>
      <c r="I4" s="1856"/>
      <c r="J4" s="1856"/>
      <c r="K4" s="1856"/>
      <c r="L4" s="1856"/>
      <c r="M4" s="1856"/>
      <c r="N4" s="1856"/>
      <c r="O4" s="1856"/>
      <c r="P4" s="1856"/>
      <c r="Q4" s="40"/>
      <c r="R4" s="40"/>
      <c r="S4" s="40"/>
      <c r="T4" s="40"/>
      <c r="U4" s="40"/>
      <c r="V4" s="40"/>
      <c r="W4" s="40"/>
    </row>
    <row r="5" spans="1:23" s="27" customFormat="1" ht="18">
      <c r="A5" s="1857" t="str">
        <f>SUMMARY!A7</f>
        <v>YEAR ENDING DECEMBER 31, 2018</v>
      </c>
      <c r="B5" s="1857"/>
      <c r="C5" s="1857"/>
      <c r="D5" s="1857"/>
      <c r="E5" s="1857"/>
      <c r="F5" s="1857"/>
      <c r="G5" s="1857"/>
      <c r="H5" s="1857"/>
      <c r="I5" s="1857"/>
      <c r="J5" s="1857"/>
      <c r="K5" s="1857"/>
      <c r="L5" s="1857"/>
      <c r="M5" s="1857"/>
      <c r="N5" s="1857"/>
      <c r="O5" s="1857"/>
      <c r="P5" s="1857"/>
    </row>
    <row r="6" spans="1:23" s="27" customFormat="1" ht="18">
      <c r="E6" s="206"/>
      <c r="F6" s="206"/>
      <c r="G6" s="206"/>
      <c r="H6" s="206"/>
      <c r="I6" s="206"/>
      <c r="J6" s="206"/>
      <c r="K6" s="206"/>
      <c r="L6" s="206"/>
      <c r="M6" s="206"/>
      <c r="N6" s="206"/>
      <c r="O6" s="206"/>
      <c r="P6" s="206"/>
      <c r="Q6" s="68"/>
      <c r="R6" s="68"/>
      <c r="S6" s="68"/>
      <c r="T6" s="68"/>
      <c r="U6" s="68"/>
      <c r="V6" s="68"/>
      <c r="W6" s="68"/>
    </row>
    <row r="7" spans="1:23" s="61" customFormat="1" ht="18">
      <c r="A7" s="1858" t="s">
        <v>982</v>
      </c>
      <c r="B7" s="1858"/>
      <c r="C7" s="1858"/>
      <c r="D7" s="1858"/>
      <c r="E7" s="1858"/>
      <c r="F7" s="1858"/>
      <c r="G7" s="1858"/>
      <c r="H7" s="1858"/>
      <c r="I7" s="1858"/>
      <c r="J7" s="1858"/>
      <c r="K7" s="1858"/>
      <c r="L7" s="1858"/>
      <c r="M7" s="1858"/>
      <c r="N7" s="1858"/>
      <c r="O7" s="1858"/>
      <c r="P7" s="1858"/>
    </row>
    <row r="8" spans="1:23" s="61" customFormat="1" ht="18">
      <c r="A8" s="1856" t="s">
        <v>288</v>
      </c>
      <c r="B8" s="1856"/>
      <c r="C8" s="1856"/>
      <c r="D8" s="1856"/>
      <c r="E8" s="1856"/>
      <c r="F8" s="1856"/>
      <c r="G8" s="1856"/>
      <c r="H8" s="1856"/>
      <c r="I8" s="1856"/>
      <c r="J8" s="1856"/>
      <c r="K8" s="1856"/>
      <c r="L8" s="1856"/>
      <c r="M8" s="1856"/>
      <c r="N8" s="1856"/>
      <c r="O8" s="1856"/>
      <c r="P8" s="1856"/>
    </row>
    <row r="10" spans="1:23">
      <c r="C10" s="1397" t="s">
        <v>192</v>
      </c>
      <c r="E10" s="1552" t="s">
        <v>193</v>
      </c>
      <c r="G10" s="1552" t="s">
        <v>194</v>
      </c>
      <c r="I10" s="1552" t="s">
        <v>195</v>
      </c>
      <c r="K10" s="1552" t="s">
        <v>196</v>
      </c>
      <c r="M10" s="1552" t="s">
        <v>371</v>
      </c>
      <c r="O10" s="1552" t="s">
        <v>372</v>
      </c>
    </row>
    <row r="11" spans="1:23" ht="15.75">
      <c r="C11" s="61"/>
      <c r="D11" s="61"/>
      <c r="E11" s="1553"/>
      <c r="F11" s="1553"/>
      <c r="G11" s="1553" t="s">
        <v>433</v>
      </c>
      <c r="H11" s="1553"/>
      <c r="I11" s="1553" t="s">
        <v>1153</v>
      </c>
      <c r="J11" s="1553"/>
      <c r="K11" s="1553" t="s">
        <v>1152</v>
      </c>
      <c r="L11" s="1553"/>
      <c r="M11" s="1553" t="s">
        <v>169</v>
      </c>
      <c r="N11" s="1553"/>
      <c r="O11" s="1553" t="s">
        <v>170</v>
      </c>
    </row>
    <row r="12" spans="1:23" ht="15.75">
      <c r="C12" s="620" t="s">
        <v>171</v>
      </c>
      <c r="D12" s="621"/>
      <c r="E12" s="1554" t="s">
        <v>338</v>
      </c>
      <c r="F12" s="1553"/>
      <c r="G12" s="1554" t="s">
        <v>365</v>
      </c>
      <c r="H12" s="1553"/>
      <c r="I12" s="1554" t="s">
        <v>1127</v>
      </c>
      <c r="J12" s="1553"/>
      <c r="K12" s="1554" t="s">
        <v>365</v>
      </c>
      <c r="L12" s="1553"/>
      <c r="M12" s="1554" t="s">
        <v>366</v>
      </c>
      <c r="N12" s="1553"/>
      <c r="O12" s="1554" t="s">
        <v>169</v>
      </c>
    </row>
    <row r="14" spans="1:23">
      <c r="B14" s="619">
        <v>1</v>
      </c>
      <c r="C14" s="618" t="s">
        <v>173</v>
      </c>
      <c r="E14" s="471">
        <f>AVERAGE('WP-DB'!E31,'WP-DB'!F31)</f>
        <v>783991731.5</v>
      </c>
      <c r="F14" s="1310" t="s">
        <v>821</v>
      </c>
      <c r="G14" s="1622">
        <f>IF($E$20&gt;0,E14/$E$20,0)</f>
        <v>0.14201483665423004</v>
      </c>
      <c r="I14" s="1602">
        <v>0.5</v>
      </c>
      <c r="K14" s="1602">
        <f>1-K18</f>
        <v>0.5</v>
      </c>
      <c r="M14" s="1622">
        <f>E32</f>
        <v>5.0521913022541783E-2</v>
      </c>
      <c r="N14" s="1310" t="s">
        <v>361</v>
      </c>
      <c r="O14" s="1622">
        <f>K14*M14</f>
        <v>2.5260956511270891E-2</v>
      </c>
    </row>
    <row r="16" spans="1:23">
      <c r="B16" s="619">
        <v>2</v>
      </c>
      <c r="C16" s="618" t="s">
        <v>174</v>
      </c>
      <c r="E16" s="1310">
        <v>0</v>
      </c>
      <c r="G16" s="1310">
        <f>IF($E$20&gt;0,E16/$E$20,0)</f>
        <v>0</v>
      </c>
      <c r="I16" s="1310">
        <v>0</v>
      </c>
      <c r="K16" s="1310">
        <f>I16</f>
        <v>0</v>
      </c>
      <c r="M16" s="1310">
        <f>E37</f>
        <v>0</v>
      </c>
      <c r="N16" s="1310" t="s">
        <v>362</v>
      </c>
      <c r="O16" s="1310">
        <f>K16*M16</f>
        <v>0</v>
      </c>
    </row>
    <row r="17" spans="2:15" ht="15.75" thickBot="1"/>
    <row r="18" spans="2:15" ht="15.75" thickBot="1">
      <c r="B18" s="619">
        <v>3</v>
      </c>
      <c r="C18" s="618" t="s">
        <v>175</v>
      </c>
      <c r="E18" s="1667">
        <f>+E24</f>
        <v>4736500000</v>
      </c>
      <c r="F18" s="1310" t="s">
        <v>360</v>
      </c>
      <c r="G18" s="1603">
        <f>IF($E$20&gt;0,E18/$E$20,0)</f>
        <v>0.85798516334577002</v>
      </c>
      <c r="I18" s="1603">
        <v>0.5</v>
      </c>
      <c r="K18" s="1603">
        <f>MIN(G18,I18)</f>
        <v>0.5</v>
      </c>
      <c r="L18" s="1310" t="s">
        <v>363</v>
      </c>
      <c r="M18" s="1556">
        <f>8.95%+0.5%</f>
        <v>9.4500000000000001E-2</v>
      </c>
      <c r="N18" s="1310" t="s">
        <v>820</v>
      </c>
      <c r="O18" s="1603">
        <f>K18*M18</f>
        <v>4.725E-2</v>
      </c>
    </row>
    <row r="19" spans="2:15">
      <c r="E19" s="471"/>
    </row>
    <row r="20" spans="2:15">
      <c r="B20" s="619">
        <v>4</v>
      </c>
      <c r="C20" s="618" t="s">
        <v>176</v>
      </c>
      <c r="E20" s="471">
        <f>SUM(E14:E18)</f>
        <v>5520491731.5</v>
      </c>
      <c r="G20" s="1310">
        <f>SUM(G14:G18)</f>
        <v>1</v>
      </c>
      <c r="I20" s="1604">
        <f>SUM(I14:I18)</f>
        <v>1</v>
      </c>
      <c r="K20" s="1604">
        <f>SUM(K14:K18)</f>
        <v>1</v>
      </c>
      <c r="O20" s="1622">
        <f>SUM(O14:O18)</f>
        <v>7.2510956511270888E-2</v>
      </c>
    </row>
    <row r="22" spans="2:15">
      <c r="B22" s="619" t="s">
        <v>341</v>
      </c>
    </row>
    <row r="23" spans="2:15">
      <c r="C23" s="618" t="s">
        <v>367</v>
      </c>
    </row>
    <row r="24" spans="2:15">
      <c r="B24" s="619">
        <v>5</v>
      </c>
      <c r="C24" s="618" t="s">
        <v>177</v>
      </c>
      <c r="E24" s="471">
        <f>+('WP-DB'!F41+'WP-DB'!E41)/2</f>
        <v>4736500000</v>
      </c>
      <c r="G24" s="1310" t="s">
        <v>1804</v>
      </c>
    </row>
    <row r="25" spans="2:15">
      <c r="B25" s="619">
        <v>6</v>
      </c>
      <c r="C25" s="618" t="s">
        <v>178</v>
      </c>
    </row>
    <row r="26" spans="2:15" ht="15.75" thickBot="1">
      <c r="B26" s="619">
        <v>7</v>
      </c>
      <c r="C26" s="618" t="s">
        <v>179</v>
      </c>
      <c r="E26" s="1555"/>
    </row>
    <row r="27" spans="2:15">
      <c r="B27" s="619">
        <v>8</v>
      </c>
      <c r="C27" s="619" t="s">
        <v>175</v>
      </c>
      <c r="E27" s="471">
        <f>SUM(E24:E26)</f>
        <v>4736500000</v>
      </c>
    </row>
    <row r="29" spans="2:15">
      <c r="C29" s="618" t="s">
        <v>368</v>
      </c>
    </row>
    <row r="30" spans="2:15">
      <c r="B30" s="619">
        <v>9</v>
      </c>
      <c r="C30" s="618" t="s">
        <v>1763</v>
      </c>
      <c r="E30" s="471">
        <f>'WP-DB'!E23</f>
        <v>39955353.759999998</v>
      </c>
      <c r="G30" s="1310" t="s">
        <v>1805</v>
      </c>
    </row>
    <row r="31" spans="2:15" ht="15.75" thickBot="1">
      <c r="B31" s="619">
        <v>10</v>
      </c>
      <c r="C31" s="618" t="s">
        <v>1728</v>
      </c>
      <c r="E31" s="1667">
        <f>+('WP-DB'!F39+'WP-DB'!E39)/2</f>
        <v>790851956.5</v>
      </c>
      <c r="G31" s="1310" t="s">
        <v>1806</v>
      </c>
    </row>
    <row r="32" spans="2:15">
      <c r="B32" s="619">
        <v>11</v>
      </c>
      <c r="C32" s="619" t="s">
        <v>824</v>
      </c>
      <c r="E32" s="1602">
        <f>E30/E31</f>
        <v>5.0521913022541783E-2</v>
      </c>
      <c r="F32" s="1310" t="s">
        <v>1710</v>
      </c>
    </row>
    <row r="34" spans="2:7">
      <c r="C34" s="618" t="s">
        <v>369</v>
      </c>
    </row>
    <row r="35" spans="2:7">
      <c r="B35" s="619">
        <v>12</v>
      </c>
      <c r="C35" s="618" t="s">
        <v>823</v>
      </c>
      <c r="E35" s="1310">
        <v>0</v>
      </c>
    </row>
    <row r="36" spans="2:7" ht="15.75" thickBot="1">
      <c r="B36" s="619">
        <v>13</v>
      </c>
      <c r="C36" s="618" t="s">
        <v>174</v>
      </c>
      <c r="E36" s="1555">
        <f>E16</f>
        <v>0</v>
      </c>
    </row>
    <row r="37" spans="2:7">
      <c r="B37" s="619">
        <v>14</v>
      </c>
      <c r="C37" s="619" t="s">
        <v>181</v>
      </c>
      <c r="E37" s="1310">
        <v>0</v>
      </c>
    </row>
    <row r="38" spans="2:7">
      <c r="C38" s="619"/>
    </row>
    <row r="39" spans="2:7">
      <c r="B39" s="619">
        <v>15</v>
      </c>
      <c r="C39" s="722" t="s">
        <v>1801</v>
      </c>
    </row>
    <row r="40" spans="2:7">
      <c r="C40" s="722" t="s">
        <v>1799</v>
      </c>
    </row>
    <row r="41" spans="2:7">
      <c r="C41" s="722" t="s">
        <v>1800</v>
      </c>
    </row>
    <row r="42" spans="2:7">
      <c r="C42" s="722"/>
    </row>
    <row r="43" spans="2:7">
      <c r="B43" s="619">
        <v>16</v>
      </c>
      <c r="C43" s="1275" t="s">
        <v>1798</v>
      </c>
    </row>
    <row r="44" spans="2:7">
      <c r="C44" s="1275" t="s">
        <v>1789</v>
      </c>
    </row>
    <row r="45" spans="2:7">
      <c r="E45" s="206"/>
      <c r="G45" s="206"/>
    </row>
    <row r="46" spans="2:7">
      <c r="B46" s="619">
        <v>17</v>
      </c>
      <c r="C46" s="618" t="s">
        <v>1802</v>
      </c>
    </row>
    <row r="47" spans="2:7">
      <c r="C47" s="618" t="s">
        <v>1779</v>
      </c>
    </row>
    <row r="49" spans="2:3">
      <c r="B49" s="619">
        <v>18</v>
      </c>
      <c r="C49" s="618" t="s">
        <v>1811</v>
      </c>
    </row>
    <row r="50" spans="2:3">
      <c r="C50" s="618" t="s">
        <v>1812</v>
      </c>
    </row>
  </sheetData>
  <customSheetViews>
    <customSheetView guid="{B321D76C-CDE5-48BB-9CDE-80FF97D58FCF}" showPageBreaks="1" fitToPage="1" printArea="1" view="pageBreakPreview">
      <selection activeCell="D33" sqref="D33"/>
      <pageMargins left="0.25" right="0.25" top="0.5" bottom="0.5" header="0.5" footer="0.5"/>
      <printOptions horizontalCentered="1"/>
      <pageSetup scale="55" fitToHeight="3" orientation="portrait" r:id="rId1"/>
      <headerFooter alignWithMargins="0"/>
    </customSheetView>
  </customSheetViews>
  <mergeCells count="5">
    <mergeCell ref="A7:P7"/>
    <mergeCell ref="A3:P3"/>
    <mergeCell ref="A4:P4"/>
    <mergeCell ref="A8:P8"/>
    <mergeCell ref="A5:P5"/>
  </mergeCells>
  <printOptions horizontalCentered="1"/>
  <pageMargins left="0.25" right="0.25" top="0.5" bottom="0.5" header="0.5" footer="0.5"/>
  <pageSetup scale="54" fitToHeight="3" orientation="portrait" r:id="rId2"/>
  <headerFooter alignWithMargins="0"/>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7030A0"/>
    <pageSetUpPr fitToPage="1"/>
  </sheetPr>
  <dimension ref="A1:K49"/>
  <sheetViews>
    <sheetView tabSelected="1" view="pageBreakPreview" zoomScaleNormal="90" zoomScaleSheetLayoutView="100" workbookViewId="0">
      <selection activeCell="C30" sqref="C30"/>
    </sheetView>
  </sheetViews>
  <sheetFormatPr defaultColWidth="9" defaultRowHeight="12.75"/>
  <cols>
    <col min="1" max="1" width="7.25" style="617" customWidth="1"/>
    <col min="2" max="2" width="5.5" style="617" customWidth="1"/>
    <col min="3" max="3" width="54" style="617" bestFit="1" customWidth="1"/>
    <col min="4" max="4" width="8.75" style="617" customWidth="1"/>
    <col min="5" max="5" width="18.375" style="617" bestFit="1" customWidth="1"/>
    <col min="6" max="6" width="18.5" style="617" customWidth="1"/>
    <col min="7" max="7" width="3.5" style="617" customWidth="1"/>
    <col min="8" max="8" width="19" style="617" customWidth="1"/>
    <col min="9" max="9" width="15.5" style="617" customWidth="1"/>
    <col min="10" max="10" width="2.375" style="617" customWidth="1"/>
    <col min="11" max="11" width="29.125" style="617" customWidth="1"/>
    <col min="12" max="16384" width="9" style="617"/>
  </cols>
  <sheetData>
    <row r="1" spans="1:11" s="100" customFormat="1" ht="15.75">
      <c r="A1" s="14" t="s">
        <v>983</v>
      </c>
      <c r="C1" s="442"/>
      <c r="K1" s="67"/>
    </row>
    <row r="2" spans="1:11" s="27" customFormat="1"/>
    <row r="3" spans="1:11" s="27" customFormat="1" ht="18">
      <c r="B3" s="11"/>
      <c r="D3" s="11"/>
      <c r="F3" s="11"/>
      <c r="G3" s="11"/>
      <c r="H3" s="11"/>
      <c r="I3" s="11"/>
      <c r="J3" s="11"/>
    </row>
    <row r="4" spans="1:11" s="27" customFormat="1" ht="18">
      <c r="A4" s="1788" t="s">
        <v>200</v>
      </c>
      <c r="B4" s="1788"/>
      <c r="C4" s="1788"/>
      <c r="D4" s="1788"/>
      <c r="E4" s="1788"/>
      <c r="F4" s="1788"/>
      <c r="G4" s="1788"/>
      <c r="H4" s="1788"/>
      <c r="I4" s="71"/>
      <c r="J4" s="71"/>
      <c r="K4" s="71"/>
    </row>
    <row r="5" spans="1:11" s="27" customFormat="1" ht="18">
      <c r="A5" s="1788" t="s">
        <v>103</v>
      </c>
      <c r="B5" s="1788"/>
      <c r="C5" s="1788"/>
      <c r="D5" s="1788"/>
      <c r="E5" s="1788"/>
      <c r="F5" s="1788"/>
      <c r="G5" s="1788"/>
      <c r="H5" s="1788"/>
      <c r="I5" s="71"/>
      <c r="J5" s="71"/>
      <c r="K5" s="71"/>
    </row>
    <row r="6" spans="1:11" s="27" customFormat="1" ht="18">
      <c r="A6" s="1789" t="str">
        <f>SUMMARY!A7</f>
        <v>YEAR ENDING DECEMBER 31, 2018</v>
      </c>
      <c r="B6" s="1789"/>
      <c r="C6" s="1789"/>
      <c r="D6" s="1789"/>
      <c r="E6" s="1789"/>
      <c r="F6" s="1789"/>
      <c r="G6" s="1789"/>
      <c r="H6" s="1789"/>
      <c r="I6" s="71"/>
      <c r="J6" s="71"/>
      <c r="K6" s="71"/>
    </row>
    <row r="7" spans="1:11" s="27" customFormat="1" ht="18">
      <c r="A7" s="427"/>
      <c r="B7" s="427"/>
      <c r="C7" s="427"/>
      <c r="D7" s="427"/>
      <c r="E7" s="427"/>
      <c r="F7" s="427"/>
      <c r="G7" s="1504"/>
      <c r="H7" s="427"/>
      <c r="I7" s="427"/>
      <c r="J7" s="427"/>
      <c r="K7" s="427"/>
    </row>
    <row r="8" spans="1:11" s="27" customFormat="1" ht="18">
      <c r="A8" s="1790" t="s">
        <v>984</v>
      </c>
      <c r="B8" s="1790"/>
      <c r="C8" s="1790"/>
      <c r="D8" s="1790"/>
      <c r="E8" s="1790"/>
      <c r="F8" s="1790"/>
      <c r="G8" s="1790"/>
      <c r="H8" s="1790"/>
      <c r="I8" s="29"/>
      <c r="J8" s="29"/>
      <c r="K8" s="29"/>
    </row>
    <row r="9" spans="1:11" s="27" customFormat="1" ht="18">
      <c r="A9" s="1788" t="s">
        <v>168</v>
      </c>
      <c r="B9" s="1788"/>
      <c r="C9" s="1788"/>
      <c r="D9" s="1788"/>
      <c r="E9" s="1788"/>
      <c r="F9" s="1788"/>
      <c r="G9" s="1788"/>
      <c r="H9" s="1788"/>
      <c r="I9" s="71"/>
      <c r="J9" s="71"/>
      <c r="K9" s="71"/>
    </row>
    <row r="10" spans="1:11" s="27" customFormat="1" ht="18">
      <c r="A10" s="1788" t="s">
        <v>287</v>
      </c>
      <c r="B10" s="1788"/>
      <c r="C10" s="1788"/>
      <c r="D10" s="1788"/>
      <c r="E10" s="1788"/>
      <c r="F10" s="1788"/>
      <c r="G10" s="1788"/>
      <c r="H10" s="1788"/>
      <c r="I10" s="71"/>
      <c r="J10" s="71"/>
      <c r="K10" s="71"/>
    </row>
    <row r="11" spans="1:11" s="27" customFormat="1" ht="18">
      <c r="A11" s="428"/>
      <c r="B11" s="428"/>
      <c r="C11" s="428"/>
      <c r="D11" s="428"/>
      <c r="E11" s="428"/>
      <c r="F11" s="428"/>
      <c r="G11" s="1505"/>
      <c r="H11" s="428"/>
      <c r="I11" s="428"/>
      <c r="J11" s="428"/>
      <c r="K11" s="428"/>
    </row>
    <row r="12" spans="1:11" s="27" customFormat="1" ht="15">
      <c r="B12" s="1397" t="s">
        <v>192</v>
      </c>
      <c r="C12" s="1397"/>
      <c r="D12" s="618"/>
      <c r="E12" s="1397" t="s">
        <v>193</v>
      </c>
      <c r="F12" s="1397" t="s">
        <v>194</v>
      </c>
      <c r="G12" s="1397"/>
      <c r="H12" s="1397" t="s">
        <v>195</v>
      </c>
    </row>
    <row r="13" spans="1:11" s="606" customFormat="1" ht="15.75">
      <c r="A13" s="1412"/>
      <c r="B13" s="1412"/>
      <c r="C13" s="1412"/>
      <c r="E13" s="607"/>
      <c r="F13" s="607"/>
      <c r="G13" s="607"/>
    </row>
    <row r="14" spans="1:11" s="606" customFormat="1" ht="31.5">
      <c r="E14" s="608" t="s">
        <v>2045</v>
      </c>
      <c r="F14" s="608" t="s">
        <v>1853</v>
      </c>
      <c r="G14" s="1507"/>
      <c r="H14" s="1506" t="s">
        <v>1773</v>
      </c>
      <c r="I14" s="609"/>
    </row>
    <row r="15" spans="1:11" s="606" customFormat="1" ht="15.75">
      <c r="E15" s="610"/>
      <c r="F15" s="610"/>
      <c r="G15" s="610"/>
      <c r="I15" s="609"/>
    </row>
    <row r="16" spans="1:11" s="606" customFormat="1" ht="15.75">
      <c r="A16" s="1398">
        <v>1</v>
      </c>
      <c r="B16" s="611" t="s">
        <v>1737</v>
      </c>
      <c r="G16" s="686"/>
    </row>
    <row r="17" spans="1:11" s="606" customFormat="1" ht="15.75">
      <c r="A17" s="1398" t="s">
        <v>471</v>
      </c>
      <c r="C17" s="1412" t="s">
        <v>1738</v>
      </c>
      <c r="D17" s="1508"/>
      <c r="E17" s="684">
        <v>42450838.759999998</v>
      </c>
      <c r="F17" s="684">
        <v>45136388.670000002</v>
      </c>
      <c r="G17" s="686"/>
      <c r="H17" s="606" t="s">
        <v>1752</v>
      </c>
      <c r="K17" s="1562"/>
    </row>
    <row r="18" spans="1:11" s="606" customFormat="1" ht="15.75">
      <c r="A18" s="1398" t="s">
        <v>473</v>
      </c>
      <c r="C18" s="1412" t="s">
        <v>1736</v>
      </c>
      <c r="D18" s="1508"/>
      <c r="E18" s="684">
        <v>855588</v>
      </c>
      <c r="F18" s="684">
        <v>838345</v>
      </c>
      <c r="G18" s="686"/>
      <c r="H18" s="606" t="s">
        <v>1753</v>
      </c>
      <c r="K18" s="1562"/>
    </row>
    <row r="19" spans="1:11" s="606" customFormat="1" ht="15.75">
      <c r="A19" s="1398" t="s">
        <v>494</v>
      </c>
      <c r="C19" s="1412" t="s">
        <v>1735</v>
      </c>
      <c r="E19" s="684"/>
      <c r="F19" s="684"/>
      <c r="G19" s="686"/>
      <c r="H19" s="606" t="s">
        <v>1754</v>
      </c>
      <c r="K19" s="1562"/>
    </row>
    <row r="20" spans="1:11" s="606" customFormat="1" ht="15.75">
      <c r="A20" s="1398" t="s">
        <v>495</v>
      </c>
      <c r="C20" s="1412" t="s">
        <v>1759</v>
      </c>
      <c r="D20" s="1508"/>
      <c r="E20" s="684">
        <v>-3351073</v>
      </c>
      <c r="F20" s="684">
        <v>-4080074</v>
      </c>
      <c r="G20" s="686"/>
      <c r="H20" s="606" t="s">
        <v>1755</v>
      </c>
      <c r="K20" s="1562"/>
    </row>
    <row r="21" spans="1:11" s="606" customFormat="1" ht="15.75">
      <c r="A21" s="1398" t="s">
        <v>496</v>
      </c>
      <c r="C21" s="1412" t="s">
        <v>1760</v>
      </c>
      <c r="D21" s="1508"/>
      <c r="E21" s="684"/>
      <c r="F21" s="684"/>
      <c r="G21" s="686"/>
      <c r="H21" s="606" t="s">
        <v>1756</v>
      </c>
      <c r="K21" s="612"/>
    </row>
    <row r="22" spans="1:11" s="606" customFormat="1" ht="15.75">
      <c r="A22" s="1398"/>
      <c r="C22" s="1412"/>
      <c r="E22" s="685"/>
      <c r="F22" s="685"/>
      <c r="G22" s="686"/>
    </row>
    <row r="23" spans="1:11" s="606" customFormat="1" ht="16.5" thickBot="1">
      <c r="A23" s="1398">
        <v>2</v>
      </c>
      <c r="B23" s="611" t="s">
        <v>1762</v>
      </c>
      <c r="C23" s="1509"/>
      <c r="E23" s="613">
        <f>SUM(E17:E21)</f>
        <v>39955353.759999998</v>
      </c>
      <c r="F23" s="613">
        <f>SUM(F17:F21)</f>
        <v>41894659.670000002</v>
      </c>
      <c r="G23" s="686"/>
      <c r="I23" s="611"/>
    </row>
    <row r="24" spans="1:11" s="606" customFormat="1" ht="15.75" thickTop="1">
      <c r="A24" s="1398"/>
      <c r="C24" s="1412"/>
      <c r="E24" s="685"/>
      <c r="F24" s="685"/>
      <c r="G24" s="685"/>
    </row>
    <row r="25" spans="1:11" s="606" customFormat="1" ht="15.75">
      <c r="A25" s="1398">
        <v>3</v>
      </c>
      <c r="B25" s="611" t="s">
        <v>180</v>
      </c>
      <c r="C25" s="1412"/>
      <c r="E25" s="685"/>
      <c r="F25" s="685"/>
      <c r="G25" s="685"/>
    </row>
    <row r="26" spans="1:11" s="606" customFormat="1" ht="15.75">
      <c r="A26" s="1398"/>
      <c r="B26" s="611"/>
      <c r="C26" s="1412"/>
      <c r="E26" s="685"/>
      <c r="F26" s="685"/>
      <c r="G26" s="685"/>
    </row>
    <row r="27" spans="1:11" s="606" customFormat="1" ht="15">
      <c r="A27" s="1398" t="s">
        <v>1277</v>
      </c>
      <c r="C27" s="1412" t="s">
        <v>1732</v>
      </c>
      <c r="E27" s="684">
        <v>640764150</v>
      </c>
      <c r="F27" s="684">
        <v>703789313</v>
      </c>
      <c r="H27" s="606" t="s">
        <v>1744</v>
      </c>
      <c r="K27" s="1562"/>
    </row>
    <row r="28" spans="1:11" s="606" customFormat="1" ht="15">
      <c r="A28" s="1398" t="s">
        <v>1278</v>
      </c>
      <c r="C28" s="1412" t="s">
        <v>1739</v>
      </c>
      <c r="E28" s="684">
        <v>0</v>
      </c>
      <c r="F28" s="684">
        <v>0</v>
      </c>
      <c r="H28" s="606" t="s">
        <v>1745</v>
      </c>
      <c r="K28" s="1562"/>
    </row>
    <row r="29" spans="1:11" s="606" customFormat="1" ht="15">
      <c r="A29" s="1398" t="s">
        <v>1280</v>
      </c>
      <c r="C29" s="1412" t="s">
        <v>1733</v>
      </c>
      <c r="E29" s="684">
        <v>112525000</v>
      </c>
      <c r="F29" s="684">
        <v>110905000</v>
      </c>
      <c r="H29" s="606" t="s">
        <v>1746</v>
      </c>
      <c r="K29" s="1562"/>
    </row>
    <row r="30" spans="1:11" s="606" customFormat="1" ht="15">
      <c r="A30" s="1398"/>
      <c r="C30" s="1412"/>
      <c r="E30" s="612"/>
      <c r="F30" s="612"/>
      <c r="G30" s="612"/>
      <c r="K30" s="1562"/>
    </row>
    <row r="31" spans="1:11" s="606" customFormat="1" ht="15.75">
      <c r="A31" s="1398" t="s">
        <v>1281</v>
      </c>
      <c r="B31" s="606" t="s">
        <v>1731</v>
      </c>
      <c r="C31" s="1412"/>
      <c r="E31" s="1512">
        <f>SUM(E27:E29)</f>
        <v>753289150</v>
      </c>
      <c r="F31" s="1512">
        <f>SUM(F27:F29)</f>
        <v>814694313</v>
      </c>
      <c r="G31" s="1511"/>
      <c r="I31" s="612"/>
      <c r="K31" s="1562"/>
    </row>
    <row r="32" spans="1:11" s="606" customFormat="1" ht="15.75">
      <c r="A32" s="1398"/>
      <c r="C32" s="1412"/>
      <c r="E32" s="614"/>
      <c r="F32" s="614"/>
      <c r="G32" s="614"/>
      <c r="I32" s="611"/>
      <c r="K32" s="1562"/>
    </row>
    <row r="33" spans="1:11" s="606" customFormat="1" ht="15.75">
      <c r="A33" s="1398" t="s">
        <v>1313</v>
      </c>
      <c r="C33" s="1412" t="s">
        <v>1761</v>
      </c>
      <c r="E33" s="684">
        <v>-1358067</v>
      </c>
      <c r="F33" s="684">
        <v>-1430445</v>
      </c>
      <c r="G33" s="614"/>
      <c r="H33" s="606" t="s">
        <v>1747</v>
      </c>
      <c r="I33" s="614"/>
      <c r="K33" s="1562"/>
    </row>
    <row r="34" spans="1:11" s="606" customFormat="1" ht="15.75">
      <c r="A34" s="1398" t="s">
        <v>1314</v>
      </c>
      <c r="C34" s="1412" t="s">
        <v>1741</v>
      </c>
      <c r="E34" s="684">
        <v>-6631156</v>
      </c>
      <c r="F34" s="684">
        <v>-7659551</v>
      </c>
      <c r="G34" s="614"/>
      <c r="H34" s="606" t="s">
        <v>1748</v>
      </c>
      <c r="I34" s="611"/>
      <c r="K34" s="1562"/>
    </row>
    <row r="35" spans="1:11" s="606" customFormat="1" ht="15.75">
      <c r="A35" s="1398" t="s">
        <v>1315</v>
      </c>
      <c r="C35" s="1412" t="s">
        <v>1742</v>
      </c>
      <c r="E35" s="684">
        <v>0</v>
      </c>
      <c r="F35" s="684">
        <v>0</v>
      </c>
      <c r="G35" s="614"/>
      <c r="H35" s="606" t="s">
        <v>1749</v>
      </c>
      <c r="I35" s="611"/>
      <c r="K35" s="1562"/>
    </row>
    <row r="36" spans="1:11" s="606" customFormat="1" ht="15.75">
      <c r="A36" s="1398" t="s">
        <v>1316</v>
      </c>
      <c r="C36" s="1412" t="s">
        <v>1740</v>
      </c>
      <c r="E36" s="684">
        <v>13724298</v>
      </c>
      <c r="F36" s="684">
        <v>17075371</v>
      </c>
      <c r="G36" s="614"/>
      <c r="H36" s="606" t="s">
        <v>1750</v>
      </c>
      <c r="I36" s="611"/>
    </row>
    <row r="37" spans="1:11" s="606" customFormat="1" ht="15.75">
      <c r="A37" s="1398" t="s">
        <v>1609</v>
      </c>
      <c r="C37" s="1412" t="s">
        <v>1734</v>
      </c>
      <c r="E37" s="684">
        <v>0</v>
      </c>
      <c r="F37" s="684">
        <v>0</v>
      </c>
      <c r="G37" s="614"/>
      <c r="H37" s="606" t="s">
        <v>1751</v>
      </c>
      <c r="I37" s="611"/>
    </row>
    <row r="38" spans="1:11" s="606" customFormat="1" ht="15.75">
      <c r="A38" s="1398"/>
      <c r="C38" s="1412"/>
      <c r="E38" s="614"/>
      <c r="F38" s="614"/>
      <c r="G38" s="614"/>
      <c r="I38" s="611"/>
    </row>
    <row r="39" spans="1:11" s="611" customFormat="1" ht="16.5" thickBot="1">
      <c r="A39" s="607">
        <v>4</v>
      </c>
      <c r="B39" s="611" t="s">
        <v>1729</v>
      </c>
      <c r="C39" s="1509"/>
      <c r="E39" s="613">
        <f>SUM(E31:E37)</f>
        <v>759024225</v>
      </c>
      <c r="F39" s="613">
        <f>SUM(F31:F37)</f>
        <v>822679688</v>
      </c>
      <c r="G39" s="614"/>
    </row>
    <row r="40" spans="1:11" s="606" customFormat="1" ht="16.5" thickTop="1">
      <c r="A40" s="1398"/>
      <c r="E40" s="614"/>
      <c r="F40" s="614"/>
      <c r="G40" s="614"/>
      <c r="I40" s="611"/>
    </row>
    <row r="41" spans="1:11" s="606" customFormat="1" ht="15.75">
      <c r="A41" s="1398">
        <v>5</v>
      </c>
      <c r="B41" s="611" t="s">
        <v>1743</v>
      </c>
      <c r="C41" s="611"/>
      <c r="E41" s="615">
        <f>'WP-AR-IS'!G63*1000000</f>
        <v>4734000000</v>
      </c>
      <c r="F41" s="615">
        <f>'WP-AR-IS'!H63*1000000</f>
        <v>4739000000</v>
      </c>
      <c r="G41" s="615"/>
      <c r="I41" s="611"/>
    </row>
    <row r="42" spans="1:11" s="606" customFormat="1" ht="15"/>
    <row r="43" spans="1:11" s="606" customFormat="1" ht="15.75">
      <c r="B43" s="611"/>
      <c r="C43" s="611"/>
    </row>
    <row r="44" spans="1:11" s="606" customFormat="1" ht="15">
      <c r="B44" s="616"/>
      <c r="E44" s="612"/>
    </row>
    <row r="45" spans="1:11" s="606" customFormat="1" ht="15"/>
    <row r="49" spans="2:3" ht="18">
      <c r="B49" s="65"/>
      <c r="C49" s="65"/>
    </row>
  </sheetData>
  <customSheetViews>
    <customSheetView guid="{B321D76C-CDE5-48BB-9CDE-80FF97D58FCF}" showPageBreaks="1" fitToPage="1" printArea="1" view="pageBreakPreview" topLeftCell="A17">
      <selection activeCell="D33" sqref="D33"/>
      <pageMargins left="0.2" right="0.2" top="0.5" bottom="0.25" header="0.3" footer="0.3"/>
      <printOptions horizontalCentered="1"/>
      <pageSetup scale="78" orientation="portrait" r:id="rId1"/>
    </customSheetView>
  </customSheetViews>
  <mergeCells count="6">
    <mergeCell ref="A10:H10"/>
    <mergeCell ref="A4:H4"/>
    <mergeCell ref="A5:H5"/>
    <mergeCell ref="A6:H6"/>
    <mergeCell ref="A8:H8"/>
    <mergeCell ref="A9:H9"/>
  </mergeCells>
  <printOptions horizontalCentered="1"/>
  <pageMargins left="0.2" right="0.2" top="0.5" bottom="0.25" header="0.3" footer="0.3"/>
  <pageSetup scale="78" orientation="portrait"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OS40"/>
  <sheetViews>
    <sheetView tabSelected="1" view="pageBreakPreview" topLeftCell="A13" zoomScaleNormal="100" zoomScaleSheetLayoutView="100" workbookViewId="0">
      <selection activeCell="C30" sqref="C30"/>
    </sheetView>
  </sheetViews>
  <sheetFormatPr defaultColWidth="9" defaultRowHeight="12.75"/>
  <cols>
    <col min="1" max="1" width="6.5" style="583" customWidth="1"/>
    <col min="2" max="2" width="10.75" style="583" bestFit="1" customWidth="1"/>
    <col min="3" max="3" width="4" style="583" customWidth="1"/>
    <col min="4" max="4" width="38.125" style="584" bestFit="1" customWidth="1"/>
    <col min="5" max="5" width="3.75" style="584" customWidth="1"/>
    <col min="6" max="6" width="15" style="584" bestFit="1" customWidth="1"/>
    <col min="7" max="7" width="3.75" style="584" customWidth="1"/>
    <col min="8" max="8" width="10" style="584" bestFit="1" customWidth="1"/>
    <col min="9" max="9" width="10.75" style="584" customWidth="1"/>
    <col min="10" max="10" width="1.5" style="583" customWidth="1"/>
    <col min="11" max="11" width="29.125" style="583" customWidth="1"/>
    <col min="12" max="239" width="9" style="583"/>
    <col min="240" max="240" width="18.75" style="583" bestFit="1" customWidth="1"/>
    <col min="241" max="241" width="13" style="583" bestFit="1" customWidth="1"/>
    <col min="242" max="242" width="14.375" style="583" customWidth="1"/>
    <col min="243" max="243" width="12" style="583" customWidth="1"/>
    <col min="244" max="244" width="12.125" style="583" customWidth="1"/>
    <col min="245" max="245" width="8.5" style="583" customWidth="1"/>
    <col min="246" max="246" width="8" style="583" customWidth="1"/>
    <col min="247" max="247" width="12.125" style="583" customWidth="1"/>
    <col min="248" max="249" width="11.125" style="583" customWidth="1"/>
    <col min="250" max="250" width="9.75" style="583" customWidth="1"/>
    <col min="251" max="251" width="10.75" style="583" bestFit="1" customWidth="1"/>
    <col min="252" max="252" width="12.125" style="583" bestFit="1" customWidth="1"/>
    <col min="253" max="253" width="10.125" style="583" customWidth="1"/>
    <col min="254" max="254" width="10.5" style="583" bestFit="1" customWidth="1"/>
    <col min="255" max="495" width="9" style="583"/>
    <col min="496" max="496" width="18.75" style="583" bestFit="1" customWidth="1"/>
    <col min="497" max="497" width="13" style="583" bestFit="1" customWidth="1"/>
    <col min="498" max="498" width="14.375" style="583" customWidth="1"/>
    <col min="499" max="499" width="12" style="583" customWidth="1"/>
    <col min="500" max="500" width="12.125" style="583" customWidth="1"/>
    <col min="501" max="501" width="8.5" style="583" customWidth="1"/>
    <col min="502" max="502" width="8" style="583" customWidth="1"/>
    <col min="503" max="503" width="12.125" style="583" customWidth="1"/>
    <col min="504" max="505" width="11.125" style="583" customWidth="1"/>
    <col min="506" max="506" width="9.75" style="583" customWidth="1"/>
    <col min="507" max="507" width="10.75" style="583" bestFit="1" customWidth="1"/>
    <col min="508" max="508" width="12.125" style="583" bestFit="1" customWidth="1"/>
    <col min="509" max="509" width="10.125" style="583" customWidth="1"/>
    <col min="510" max="510" width="10.5" style="583" bestFit="1" customWidth="1"/>
    <col min="511" max="751" width="9" style="583"/>
    <col min="752" max="752" width="18.75" style="583" bestFit="1" customWidth="1"/>
    <col min="753" max="753" width="13" style="583" bestFit="1" customWidth="1"/>
    <col min="754" max="754" width="14.375" style="583" customWidth="1"/>
    <col min="755" max="755" width="12" style="583" customWidth="1"/>
    <col min="756" max="756" width="12.125" style="583" customWidth="1"/>
    <col min="757" max="757" width="8.5" style="583" customWidth="1"/>
    <col min="758" max="758" width="8" style="583" customWidth="1"/>
    <col min="759" max="759" width="12.125" style="583" customWidth="1"/>
    <col min="760" max="761" width="11.125" style="583" customWidth="1"/>
    <col min="762" max="762" width="9.75" style="583" customWidth="1"/>
    <col min="763" max="763" width="10.75" style="583" bestFit="1" customWidth="1"/>
    <col min="764" max="764" width="12.125" style="583" bestFit="1" customWidth="1"/>
    <col min="765" max="765" width="10.125" style="583" customWidth="1"/>
    <col min="766" max="766" width="10.5" style="583" bestFit="1" customWidth="1"/>
    <col min="767" max="1007" width="9" style="583"/>
    <col min="1008" max="1008" width="18.75" style="583" bestFit="1" customWidth="1"/>
    <col min="1009" max="1009" width="13" style="583" bestFit="1" customWidth="1"/>
    <col min="1010" max="1010" width="14.375" style="583" customWidth="1"/>
    <col min="1011" max="1011" width="12" style="583" customWidth="1"/>
    <col min="1012" max="1012" width="12.125" style="583" customWidth="1"/>
    <col min="1013" max="1013" width="8.5" style="583" customWidth="1"/>
    <col min="1014" max="1014" width="8" style="583" customWidth="1"/>
    <col min="1015" max="1015" width="12.125" style="583" customWidth="1"/>
    <col min="1016" max="1017" width="11.125" style="583" customWidth="1"/>
    <col min="1018" max="1018" width="9.75" style="583" customWidth="1"/>
    <col min="1019" max="1019" width="10.75" style="583" bestFit="1" customWidth="1"/>
    <col min="1020" max="1020" width="12.125" style="583" bestFit="1" customWidth="1"/>
    <col min="1021" max="1021" width="10.125" style="583" customWidth="1"/>
    <col min="1022" max="1022" width="10.5" style="583" bestFit="1" customWidth="1"/>
    <col min="1023" max="1263" width="9" style="583"/>
    <col min="1264" max="1264" width="18.75" style="583" bestFit="1" customWidth="1"/>
    <col min="1265" max="1265" width="13" style="583" bestFit="1" customWidth="1"/>
    <col min="1266" max="1266" width="14.375" style="583" customWidth="1"/>
    <col min="1267" max="1267" width="12" style="583" customWidth="1"/>
    <col min="1268" max="1268" width="12.125" style="583" customWidth="1"/>
    <col min="1269" max="1269" width="8.5" style="583" customWidth="1"/>
    <col min="1270" max="1270" width="8" style="583" customWidth="1"/>
    <col min="1271" max="1271" width="12.125" style="583" customWidth="1"/>
    <col min="1272" max="1273" width="11.125" style="583" customWidth="1"/>
    <col min="1274" max="1274" width="9.75" style="583" customWidth="1"/>
    <col min="1275" max="1275" width="10.75" style="583" bestFit="1" customWidth="1"/>
    <col min="1276" max="1276" width="12.125" style="583" bestFit="1" customWidth="1"/>
    <col min="1277" max="1277" width="10.125" style="583" customWidth="1"/>
    <col min="1278" max="1278" width="10.5" style="583" bestFit="1" customWidth="1"/>
    <col min="1279" max="1519" width="9" style="583"/>
    <col min="1520" max="1520" width="18.75" style="583" bestFit="1" customWidth="1"/>
    <col min="1521" max="1521" width="13" style="583" bestFit="1" customWidth="1"/>
    <col min="1522" max="1522" width="14.375" style="583" customWidth="1"/>
    <col min="1523" max="1523" width="12" style="583" customWidth="1"/>
    <col min="1524" max="1524" width="12.125" style="583" customWidth="1"/>
    <col min="1525" max="1525" width="8.5" style="583" customWidth="1"/>
    <col min="1526" max="1526" width="8" style="583" customWidth="1"/>
    <col min="1527" max="1527" width="12.125" style="583" customWidth="1"/>
    <col min="1528" max="1529" width="11.125" style="583" customWidth="1"/>
    <col min="1530" max="1530" width="9.75" style="583" customWidth="1"/>
    <col min="1531" max="1531" width="10.75" style="583" bestFit="1" customWidth="1"/>
    <col min="1532" max="1532" width="12.125" style="583" bestFit="1" customWidth="1"/>
    <col min="1533" max="1533" width="10.125" style="583" customWidth="1"/>
    <col min="1534" max="1534" width="10.5" style="583" bestFit="1" customWidth="1"/>
    <col min="1535" max="1775" width="9" style="583"/>
    <col min="1776" max="1776" width="18.75" style="583" bestFit="1" customWidth="1"/>
    <col min="1777" max="1777" width="13" style="583" bestFit="1" customWidth="1"/>
    <col min="1778" max="1778" width="14.375" style="583" customWidth="1"/>
    <col min="1779" max="1779" width="12" style="583" customWidth="1"/>
    <col min="1780" max="1780" width="12.125" style="583" customWidth="1"/>
    <col min="1781" max="1781" width="8.5" style="583" customWidth="1"/>
    <col min="1782" max="1782" width="8" style="583" customWidth="1"/>
    <col min="1783" max="1783" width="12.125" style="583" customWidth="1"/>
    <col min="1784" max="1785" width="11.125" style="583" customWidth="1"/>
    <col min="1786" max="1786" width="9.75" style="583" customWidth="1"/>
    <col min="1787" max="1787" width="10.75" style="583" bestFit="1" customWidth="1"/>
    <col min="1788" max="1788" width="12.125" style="583" bestFit="1" customWidth="1"/>
    <col min="1789" max="1789" width="10.125" style="583" customWidth="1"/>
    <col min="1790" max="1790" width="10.5" style="583" bestFit="1" customWidth="1"/>
    <col min="1791" max="2031" width="9" style="583"/>
    <col min="2032" max="2032" width="18.75" style="583" bestFit="1" customWidth="1"/>
    <col min="2033" max="2033" width="13" style="583" bestFit="1" customWidth="1"/>
    <col min="2034" max="2034" width="14.375" style="583" customWidth="1"/>
    <col min="2035" max="2035" width="12" style="583" customWidth="1"/>
    <col min="2036" max="2036" width="12.125" style="583" customWidth="1"/>
    <col min="2037" max="2037" width="8.5" style="583" customWidth="1"/>
    <col min="2038" max="2038" width="8" style="583" customWidth="1"/>
    <col min="2039" max="2039" width="12.125" style="583" customWidth="1"/>
    <col min="2040" max="2041" width="11.125" style="583" customWidth="1"/>
    <col min="2042" max="2042" width="9.75" style="583" customWidth="1"/>
    <col min="2043" max="2043" width="10.75" style="583" bestFit="1" customWidth="1"/>
    <col min="2044" max="2044" width="12.125" style="583" bestFit="1" customWidth="1"/>
    <col min="2045" max="2045" width="10.125" style="583" customWidth="1"/>
    <col min="2046" max="2046" width="10.5" style="583" bestFit="1" customWidth="1"/>
    <col min="2047" max="2287" width="9" style="583"/>
    <col min="2288" max="2288" width="18.75" style="583" bestFit="1" customWidth="1"/>
    <col min="2289" max="2289" width="13" style="583" bestFit="1" customWidth="1"/>
    <col min="2290" max="2290" width="14.375" style="583" customWidth="1"/>
    <col min="2291" max="2291" width="12" style="583" customWidth="1"/>
    <col min="2292" max="2292" width="12.125" style="583" customWidth="1"/>
    <col min="2293" max="2293" width="8.5" style="583" customWidth="1"/>
    <col min="2294" max="2294" width="8" style="583" customWidth="1"/>
    <col min="2295" max="2295" width="12.125" style="583" customWidth="1"/>
    <col min="2296" max="2297" width="11.125" style="583" customWidth="1"/>
    <col min="2298" max="2298" width="9.75" style="583" customWidth="1"/>
    <col min="2299" max="2299" width="10.75" style="583" bestFit="1" customWidth="1"/>
    <col min="2300" max="2300" width="12.125" style="583" bestFit="1" customWidth="1"/>
    <col min="2301" max="2301" width="10.125" style="583" customWidth="1"/>
    <col min="2302" max="2302" width="10.5" style="583" bestFit="1" customWidth="1"/>
    <col min="2303" max="2543" width="9" style="583"/>
    <col min="2544" max="2544" width="18.75" style="583" bestFit="1" customWidth="1"/>
    <col min="2545" max="2545" width="13" style="583" bestFit="1" customWidth="1"/>
    <col min="2546" max="2546" width="14.375" style="583" customWidth="1"/>
    <col min="2547" max="2547" width="12" style="583" customWidth="1"/>
    <col min="2548" max="2548" width="12.125" style="583" customWidth="1"/>
    <col min="2549" max="2549" width="8.5" style="583" customWidth="1"/>
    <col min="2550" max="2550" width="8" style="583" customWidth="1"/>
    <col min="2551" max="2551" width="12.125" style="583" customWidth="1"/>
    <col min="2552" max="2553" width="11.125" style="583" customWidth="1"/>
    <col min="2554" max="2554" width="9.75" style="583" customWidth="1"/>
    <col min="2555" max="2555" width="10.75" style="583" bestFit="1" customWidth="1"/>
    <col min="2556" max="2556" width="12.125" style="583" bestFit="1" customWidth="1"/>
    <col min="2557" max="2557" width="10.125" style="583" customWidth="1"/>
    <col min="2558" max="2558" width="10.5" style="583" bestFit="1" customWidth="1"/>
    <col min="2559" max="2799" width="9" style="583"/>
    <col min="2800" max="2800" width="18.75" style="583" bestFit="1" customWidth="1"/>
    <col min="2801" max="2801" width="13" style="583" bestFit="1" customWidth="1"/>
    <col min="2802" max="2802" width="14.375" style="583" customWidth="1"/>
    <col min="2803" max="2803" width="12" style="583" customWidth="1"/>
    <col min="2804" max="2804" width="12.125" style="583" customWidth="1"/>
    <col min="2805" max="2805" width="8.5" style="583" customWidth="1"/>
    <col min="2806" max="2806" width="8" style="583" customWidth="1"/>
    <col min="2807" max="2807" width="12.125" style="583" customWidth="1"/>
    <col min="2808" max="2809" width="11.125" style="583" customWidth="1"/>
    <col min="2810" max="2810" width="9.75" style="583" customWidth="1"/>
    <col min="2811" max="2811" width="10.75" style="583" bestFit="1" customWidth="1"/>
    <col min="2812" max="2812" width="12.125" style="583" bestFit="1" customWidth="1"/>
    <col min="2813" max="2813" width="10.125" style="583" customWidth="1"/>
    <col min="2814" max="2814" width="10.5" style="583" bestFit="1" customWidth="1"/>
    <col min="2815" max="3055" width="9" style="583"/>
    <col min="3056" max="3056" width="18.75" style="583" bestFit="1" customWidth="1"/>
    <col min="3057" max="3057" width="13" style="583" bestFit="1" customWidth="1"/>
    <col min="3058" max="3058" width="14.375" style="583" customWidth="1"/>
    <col min="3059" max="3059" width="12" style="583" customWidth="1"/>
    <col min="3060" max="3060" width="12.125" style="583" customWidth="1"/>
    <col min="3061" max="3061" width="8.5" style="583" customWidth="1"/>
    <col min="3062" max="3062" width="8" style="583" customWidth="1"/>
    <col min="3063" max="3063" width="12.125" style="583" customWidth="1"/>
    <col min="3064" max="3065" width="11.125" style="583" customWidth="1"/>
    <col min="3066" max="3066" width="9.75" style="583" customWidth="1"/>
    <col min="3067" max="3067" width="10.75" style="583" bestFit="1" customWidth="1"/>
    <col min="3068" max="3068" width="12.125" style="583" bestFit="1" customWidth="1"/>
    <col min="3069" max="3069" width="10.125" style="583" customWidth="1"/>
    <col min="3070" max="3070" width="10.5" style="583" bestFit="1" customWidth="1"/>
    <col min="3071" max="3311" width="9" style="583"/>
    <col min="3312" max="3312" width="18.75" style="583" bestFit="1" customWidth="1"/>
    <col min="3313" max="3313" width="13" style="583" bestFit="1" customWidth="1"/>
    <col min="3314" max="3314" width="14.375" style="583" customWidth="1"/>
    <col min="3315" max="3315" width="12" style="583" customWidth="1"/>
    <col min="3316" max="3316" width="12.125" style="583" customWidth="1"/>
    <col min="3317" max="3317" width="8.5" style="583" customWidth="1"/>
    <col min="3318" max="3318" width="8" style="583" customWidth="1"/>
    <col min="3319" max="3319" width="12.125" style="583" customWidth="1"/>
    <col min="3320" max="3321" width="11.125" style="583" customWidth="1"/>
    <col min="3322" max="3322" width="9.75" style="583" customWidth="1"/>
    <col min="3323" max="3323" width="10.75" style="583" bestFit="1" customWidth="1"/>
    <col min="3324" max="3324" width="12.125" style="583" bestFit="1" customWidth="1"/>
    <col min="3325" max="3325" width="10.125" style="583" customWidth="1"/>
    <col min="3326" max="3326" width="10.5" style="583" bestFit="1" customWidth="1"/>
    <col min="3327" max="3567" width="9" style="583"/>
    <col min="3568" max="3568" width="18.75" style="583" bestFit="1" customWidth="1"/>
    <col min="3569" max="3569" width="13" style="583" bestFit="1" customWidth="1"/>
    <col min="3570" max="3570" width="14.375" style="583" customWidth="1"/>
    <col min="3571" max="3571" width="12" style="583" customWidth="1"/>
    <col min="3572" max="3572" width="12.125" style="583" customWidth="1"/>
    <col min="3573" max="3573" width="8.5" style="583" customWidth="1"/>
    <col min="3574" max="3574" width="8" style="583" customWidth="1"/>
    <col min="3575" max="3575" width="12.125" style="583" customWidth="1"/>
    <col min="3576" max="3577" width="11.125" style="583" customWidth="1"/>
    <col min="3578" max="3578" width="9.75" style="583" customWidth="1"/>
    <col min="3579" max="3579" width="10.75" style="583" bestFit="1" customWidth="1"/>
    <col min="3580" max="3580" width="12.125" style="583" bestFit="1" customWidth="1"/>
    <col min="3581" max="3581" width="10.125" style="583" customWidth="1"/>
    <col min="3582" max="3582" width="10.5" style="583" bestFit="1" customWidth="1"/>
    <col min="3583" max="3823" width="9" style="583"/>
    <col min="3824" max="3824" width="18.75" style="583" bestFit="1" customWidth="1"/>
    <col min="3825" max="3825" width="13" style="583" bestFit="1" customWidth="1"/>
    <col min="3826" max="3826" width="14.375" style="583" customWidth="1"/>
    <col min="3827" max="3827" width="12" style="583" customWidth="1"/>
    <col min="3828" max="3828" width="12.125" style="583" customWidth="1"/>
    <col min="3829" max="3829" width="8.5" style="583" customWidth="1"/>
    <col min="3830" max="3830" width="8" style="583" customWidth="1"/>
    <col min="3831" max="3831" width="12.125" style="583" customWidth="1"/>
    <col min="3832" max="3833" width="11.125" style="583" customWidth="1"/>
    <col min="3834" max="3834" width="9.75" style="583" customWidth="1"/>
    <col min="3835" max="3835" width="10.75" style="583" bestFit="1" customWidth="1"/>
    <col min="3836" max="3836" width="12.125" style="583" bestFit="1" customWidth="1"/>
    <col min="3837" max="3837" width="10.125" style="583" customWidth="1"/>
    <col min="3838" max="3838" width="10.5" style="583" bestFit="1" customWidth="1"/>
    <col min="3839" max="4079" width="9" style="583"/>
    <col min="4080" max="4080" width="18.75" style="583" bestFit="1" customWidth="1"/>
    <col min="4081" max="4081" width="13" style="583" bestFit="1" customWidth="1"/>
    <col min="4082" max="4082" width="14.375" style="583" customWidth="1"/>
    <col min="4083" max="4083" width="12" style="583" customWidth="1"/>
    <col min="4084" max="4084" width="12.125" style="583" customWidth="1"/>
    <col min="4085" max="4085" width="8.5" style="583" customWidth="1"/>
    <col min="4086" max="4086" width="8" style="583" customWidth="1"/>
    <col min="4087" max="4087" width="12.125" style="583" customWidth="1"/>
    <col min="4088" max="4089" width="11.125" style="583" customWidth="1"/>
    <col min="4090" max="4090" width="9.75" style="583" customWidth="1"/>
    <col min="4091" max="4091" width="10.75" style="583" bestFit="1" customWidth="1"/>
    <col min="4092" max="4092" width="12.125" style="583" bestFit="1" customWidth="1"/>
    <col min="4093" max="4093" width="10.125" style="583" customWidth="1"/>
    <col min="4094" max="4094" width="10.5" style="583" bestFit="1" customWidth="1"/>
    <col min="4095" max="4335" width="9" style="583"/>
    <col min="4336" max="4336" width="18.75" style="583" bestFit="1" customWidth="1"/>
    <col min="4337" max="4337" width="13" style="583" bestFit="1" customWidth="1"/>
    <col min="4338" max="4338" width="14.375" style="583" customWidth="1"/>
    <col min="4339" max="4339" width="12" style="583" customWidth="1"/>
    <col min="4340" max="4340" width="12.125" style="583" customWidth="1"/>
    <col min="4341" max="4341" width="8.5" style="583" customWidth="1"/>
    <col min="4342" max="4342" width="8" style="583" customWidth="1"/>
    <col min="4343" max="4343" width="12.125" style="583" customWidth="1"/>
    <col min="4344" max="4345" width="11.125" style="583" customWidth="1"/>
    <col min="4346" max="4346" width="9.75" style="583" customWidth="1"/>
    <col min="4347" max="4347" width="10.75" style="583" bestFit="1" customWidth="1"/>
    <col min="4348" max="4348" width="12.125" style="583" bestFit="1" customWidth="1"/>
    <col min="4349" max="4349" width="10.125" style="583" customWidth="1"/>
    <col min="4350" max="4350" width="10.5" style="583" bestFit="1" customWidth="1"/>
    <col min="4351" max="4591" width="9" style="583"/>
    <col min="4592" max="4592" width="18.75" style="583" bestFit="1" customWidth="1"/>
    <col min="4593" max="4593" width="13" style="583" bestFit="1" customWidth="1"/>
    <col min="4594" max="4594" width="14.375" style="583" customWidth="1"/>
    <col min="4595" max="4595" width="12" style="583" customWidth="1"/>
    <col min="4596" max="4596" width="12.125" style="583" customWidth="1"/>
    <col min="4597" max="4597" width="8.5" style="583" customWidth="1"/>
    <col min="4598" max="4598" width="8" style="583" customWidth="1"/>
    <col min="4599" max="4599" width="12.125" style="583" customWidth="1"/>
    <col min="4600" max="4601" width="11.125" style="583" customWidth="1"/>
    <col min="4602" max="4602" width="9.75" style="583" customWidth="1"/>
    <col min="4603" max="4603" width="10.75" style="583" bestFit="1" customWidth="1"/>
    <col min="4604" max="4604" width="12.125" style="583" bestFit="1" customWidth="1"/>
    <col min="4605" max="4605" width="10.125" style="583" customWidth="1"/>
    <col min="4606" max="4606" width="10.5" style="583" bestFit="1" customWidth="1"/>
    <col min="4607" max="4847" width="9" style="583"/>
    <col min="4848" max="4848" width="18.75" style="583" bestFit="1" customWidth="1"/>
    <col min="4849" max="4849" width="13" style="583" bestFit="1" customWidth="1"/>
    <col min="4850" max="4850" width="14.375" style="583" customWidth="1"/>
    <col min="4851" max="4851" width="12" style="583" customWidth="1"/>
    <col min="4852" max="4852" width="12.125" style="583" customWidth="1"/>
    <col min="4853" max="4853" width="8.5" style="583" customWidth="1"/>
    <col min="4854" max="4854" width="8" style="583" customWidth="1"/>
    <col min="4855" max="4855" width="12.125" style="583" customWidth="1"/>
    <col min="4856" max="4857" width="11.125" style="583" customWidth="1"/>
    <col min="4858" max="4858" width="9.75" style="583" customWidth="1"/>
    <col min="4859" max="4859" width="10.75" style="583" bestFit="1" customWidth="1"/>
    <col min="4860" max="4860" width="12.125" style="583" bestFit="1" customWidth="1"/>
    <col min="4861" max="4861" width="10.125" style="583" customWidth="1"/>
    <col min="4862" max="4862" width="10.5" style="583" bestFit="1" customWidth="1"/>
    <col min="4863" max="5103" width="9" style="583"/>
    <col min="5104" max="5104" width="18.75" style="583" bestFit="1" customWidth="1"/>
    <col min="5105" max="5105" width="13" style="583" bestFit="1" customWidth="1"/>
    <col min="5106" max="5106" width="14.375" style="583" customWidth="1"/>
    <col min="5107" max="5107" width="12" style="583" customWidth="1"/>
    <col min="5108" max="5108" width="12.125" style="583" customWidth="1"/>
    <col min="5109" max="5109" width="8.5" style="583" customWidth="1"/>
    <col min="5110" max="5110" width="8" style="583" customWidth="1"/>
    <col min="5111" max="5111" width="12.125" style="583" customWidth="1"/>
    <col min="5112" max="5113" width="11.125" style="583" customWidth="1"/>
    <col min="5114" max="5114" width="9.75" style="583" customWidth="1"/>
    <col min="5115" max="5115" width="10.75" style="583" bestFit="1" customWidth="1"/>
    <col min="5116" max="5116" width="12.125" style="583" bestFit="1" customWidth="1"/>
    <col min="5117" max="5117" width="10.125" style="583" customWidth="1"/>
    <col min="5118" max="5118" width="10.5" style="583" bestFit="1" customWidth="1"/>
    <col min="5119" max="5359" width="9" style="583"/>
    <col min="5360" max="5360" width="18.75" style="583" bestFit="1" customWidth="1"/>
    <col min="5361" max="5361" width="13" style="583" bestFit="1" customWidth="1"/>
    <col min="5362" max="5362" width="14.375" style="583" customWidth="1"/>
    <col min="5363" max="5363" width="12" style="583" customWidth="1"/>
    <col min="5364" max="5364" width="12.125" style="583" customWidth="1"/>
    <col min="5365" max="5365" width="8.5" style="583" customWidth="1"/>
    <col min="5366" max="5366" width="8" style="583" customWidth="1"/>
    <col min="5367" max="5367" width="12.125" style="583" customWidth="1"/>
    <col min="5368" max="5369" width="11.125" style="583" customWidth="1"/>
    <col min="5370" max="5370" width="9.75" style="583" customWidth="1"/>
    <col min="5371" max="5371" width="10.75" style="583" bestFit="1" customWidth="1"/>
    <col min="5372" max="5372" width="12.125" style="583" bestFit="1" customWidth="1"/>
    <col min="5373" max="5373" width="10.125" style="583" customWidth="1"/>
    <col min="5374" max="5374" width="10.5" style="583" bestFit="1" customWidth="1"/>
    <col min="5375" max="5615" width="9" style="583"/>
    <col min="5616" max="5616" width="18.75" style="583" bestFit="1" customWidth="1"/>
    <col min="5617" max="5617" width="13" style="583" bestFit="1" customWidth="1"/>
    <col min="5618" max="5618" width="14.375" style="583" customWidth="1"/>
    <col min="5619" max="5619" width="12" style="583" customWidth="1"/>
    <col min="5620" max="5620" width="12.125" style="583" customWidth="1"/>
    <col min="5621" max="5621" width="8.5" style="583" customWidth="1"/>
    <col min="5622" max="5622" width="8" style="583" customWidth="1"/>
    <col min="5623" max="5623" width="12.125" style="583" customWidth="1"/>
    <col min="5624" max="5625" width="11.125" style="583" customWidth="1"/>
    <col min="5626" max="5626" width="9.75" style="583" customWidth="1"/>
    <col min="5627" max="5627" width="10.75" style="583" bestFit="1" customWidth="1"/>
    <col min="5628" max="5628" width="12.125" style="583" bestFit="1" customWidth="1"/>
    <col min="5629" max="5629" width="10.125" style="583" customWidth="1"/>
    <col min="5630" max="5630" width="10.5" style="583" bestFit="1" customWidth="1"/>
    <col min="5631" max="5871" width="9" style="583"/>
    <col min="5872" max="5872" width="18.75" style="583" bestFit="1" customWidth="1"/>
    <col min="5873" max="5873" width="13" style="583" bestFit="1" customWidth="1"/>
    <col min="5874" max="5874" width="14.375" style="583" customWidth="1"/>
    <col min="5875" max="5875" width="12" style="583" customWidth="1"/>
    <col min="5876" max="5876" width="12.125" style="583" customWidth="1"/>
    <col min="5877" max="5877" width="8.5" style="583" customWidth="1"/>
    <col min="5878" max="5878" width="8" style="583" customWidth="1"/>
    <col min="5879" max="5879" width="12.125" style="583" customWidth="1"/>
    <col min="5880" max="5881" width="11.125" style="583" customWidth="1"/>
    <col min="5882" max="5882" width="9.75" style="583" customWidth="1"/>
    <col min="5883" max="5883" width="10.75" style="583" bestFit="1" customWidth="1"/>
    <col min="5884" max="5884" width="12.125" style="583" bestFit="1" customWidth="1"/>
    <col min="5885" max="5885" width="10.125" style="583" customWidth="1"/>
    <col min="5886" max="5886" width="10.5" style="583" bestFit="1" customWidth="1"/>
    <col min="5887" max="6127" width="9" style="583"/>
    <col min="6128" max="6128" width="18.75" style="583" bestFit="1" customWidth="1"/>
    <col min="6129" max="6129" width="13" style="583" bestFit="1" customWidth="1"/>
    <col min="6130" max="6130" width="14.375" style="583" customWidth="1"/>
    <col min="6131" max="6131" width="12" style="583" customWidth="1"/>
    <col min="6132" max="6132" width="12.125" style="583" customWidth="1"/>
    <col min="6133" max="6133" width="8.5" style="583" customWidth="1"/>
    <col min="6134" max="6134" width="8" style="583" customWidth="1"/>
    <col min="6135" max="6135" width="12.125" style="583" customWidth="1"/>
    <col min="6136" max="6137" width="11.125" style="583" customWidth="1"/>
    <col min="6138" max="6138" width="9.75" style="583" customWidth="1"/>
    <col min="6139" max="6139" width="10.75" style="583" bestFit="1" customWidth="1"/>
    <col min="6140" max="6140" width="12.125" style="583" bestFit="1" customWidth="1"/>
    <col min="6141" max="6141" width="10.125" style="583" customWidth="1"/>
    <col min="6142" max="6142" width="10.5" style="583" bestFit="1" customWidth="1"/>
    <col min="6143" max="6383" width="9" style="583"/>
    <col min="6384" max="6384" width="18.75" style="583" bestFit="1" customWidth="1"/>
    <col min="6385" max="6385" width="13" style="583" bestFit="1" customWidth="1"/>
    <col min="6386" max="6386" width="14.375" style="583" customWidth="1"/>
    <col min="6387" max="6387" width="12" style="583" customWidth="1"/>
    <col min="6388" max="6388" width="12.125" style="583" customWidth="1"/>
    <col min="6389" max="6389" width="8.5" style="583" customWidth="1"/>
    <col min="6390" max="6390" width="8" style="583" customWidth="1"/>
    <col min="6391" max="6391" width="12.125" style="583" customWidth="1"/>
    <col min="6392" max="6393" width="11.125" style="583" customWidth="1"/>
    <col min="6394" max="6394" width="9.75" style="583" customWidth="1"/>
    <col min="6395" max="6395" width="10.75" style="583" bestFit="1" customWidth="1"/>
    <col min="6396" max="6396" width="12.125" style="583" bestFit="1" customWidth="1"/>
    <col min="6397" max="6397" width="10.125" style="583" customWidth="1"/>
    <col min="6398" max="6398" width="10.5" style="583" bestFit="1" customWidth="1"/>
    <col min="6399" max="6639" width="9" style="583"/>
    <col min="6640" max="6640" width="18.75" style="583" bestFit="1" customWidth="1"/>
    <col min="6641" max="6641" width="13" style="583" bestFit="1" customWidth="1"/>
    <col min="6642" max="6642" width="14.375" style="583" customWidth="1"/>
    <col min="6643" max="6643" width="12" style="583" customWidth="1"/>
    <col min="6644" max="6644" width="12.125" style="583" customWidth="1"/>
    <col min="6645" max="6645" width="8.5" style="583" customWidth="1"/>
    <col min="6646" max="6646" width="8" style="583" customWidth="1"/>
    <col min="6647" max="6647" width="12.125" style="583" customWidth="1"/>
    <col min="6648" max="6649" width="11.125" style="583" customWidth="1"/>
    <col min="6650" max="6650" width="9.75" style="583" customWidth="1"/>
    <col min="6651" max="6651" width="10.75" style="583" bestFit="1" customWidth="1"/>
    <col min="6652" max="6652" width="12.125" style="583" bestFit="1" customWidth="1"/>
    <col min="6653" max="6653" width="10.125" style="583" customWidth="1"/>
    <col min="6654" max="6654" width="10.5" style="583" bestFit="1" customWidth="1"/>
    <col min="6655" max="6895" width="9" style="583"/>
    <col min="6896" max="6896" width="18.75" style="583" bestFit="1" customWidth="1"/>
    <col min="6897" max="6897" width="13" style="583" bestFit="1" customWidth="1"/>
    <col min="6898" max="6898" width="14.375" style="583" customWidth="1"/>
    <col min="6899" max="6899" width="12" style="583" customWidth="1"/>
    <col min="6900" max="6900" width="12.125" style="583" customWidth="1"/>
    <col min="6901" max="6901" width="8.5" style="583" customWidth="1"/>
    <col min="6902" max="6902" width="8" style="583" customWidth="1"/>
    <col min="6903" max="6903" width="12.125" style="583" customWidth="1"/>
    <col min="6904" max="6905" width="11.125" style="583" customWidth="1"/>
    <col min="6906" max="6906" width="9.75" style="583" customWidth="1"/>
    <col min="6907" max="6907" width="10.75" style="583" bestFit="1" customWidth="1"/>
    <col min="6908" max="6908" width="12.125" style="583" bestFit="1" customWidth="1"/>
    <col min="6909" max="6909" width="10.125" style="583" customWidth="1"/>
    <col min="6910" max="6910" width="10.5" style="583" bestFit="1" customWidth="1"/>
    <col min="6911" max="7151" width="9" style="583"/>
    <col min="7152" max="7152" width="18.75" style="583" bestFit="1" customWidth="1"/>
    <col min="7153" max="7153" width="13" style="583" bestFit="1" customWidth="1"/>
    <col min="7154" max="7154" width="14.375" style="583" customWidth="1"/>
    <col min="7155" max="7155" width="12" style="583" customWidth="1"/>
    <col min="7156" max="7156" width="12.125" style="583" customWidth="1"/>
    <col min="7157" max="7157" width="8.5" style="583" customWidth="1"/>
    <col min="7158" max="7158" width="8" style="583" customWidth="1"/>
    <col min="7159" max="7159" width="12.125" style="583" customWidth="1"/>
    <col min="7160" max="7161" width="11.125" style="583" customWidth="1"/>
    <col min="7162" max="7162" width="9.75" style="583" customWidth="1"/>
    <col min="7163" max="7163" width="10.75" style="583" bestFit="1" customWidth="1"/>
    <col min="7164" max="7164" width="12.125" style="583" bestFit="1" customWidth="1"/>
    <col min="7165" max="7165" width="10.125" style="583" customWidth="1"/>
    <col min="7166" max="7166" width="10.5" style="583" bestFit="1" customWidth="1"/>
    <col min="7167" max="7407" width="9" style="583"/>
    <col min="7408" max="7408" width="18.75" style="583" bestFit="1" customWidth="1"/>
    <col min="7409" max="7409" width="13" style="583" bestFit="1" customWidth="1"/>
    <col min="7410" max="7410" width="14.375" style="583" customWidth="1"/>
    <col min="7411" max="7411" width="12" style="583" customWidth="1"/>
    <col min="7412" max="7412" width="12.125" style="583" customWidth="1"/>
    <col min="7413" max="7413" width="8.5" style="583" customWidth="1"/>
    <col min="7414" max="7414" width="8" style="583" customWidth="1"/>
    <col min="7415" max="7415" width="12.125" style="583" customWidth="1"/>
    <col min="7416" max="7417" width="11.125" style="583" customWidth="1"/>
    <col min="7418" max="7418" width="9.75" style="583" customWidth="1"/>
    <col min="7419" max="7419" width="10.75" style="583" bestFit="1" customWidth="1"/>
    <col min="7420" max="7420" width="12.125" style="583" bestFit="1" customWidth="1"/>
    <col min="7421" max="7421" width="10.125" style="583" customWidth="1"/>
    <col min="7422" max="7422" width="10.5" style="583" bestFit="1" customWidth="1"/>
    <col min="7423" max="7663" width="9" style="583"/>
    <col min="7664" max="7664" width="18.75" style="583" bestFit="1" customWidth="1"/>
    <col min="7665" max="7665" width="13" style="583" bestFit="1" customWidth="1"/>
    <col min="7666" max="7666" width="14.375" style="583" customWidth="1"/>
    <col min="7667" max="7667" width="12" style="583" customWidth="1"/>
    <col min="7668" max="7668" width="12.125" style="583" customWidth="1"/>
    <col min="7669" max="7669" width="8.5" style="583" customWidth="1"/>
    <col min="7670" max="7670" width="8" style="583" customWidth="1"/>
    <col min="7671" max="7671" width="12.125" style="583" customWidth="1"/>
    <col min="7672" max="7673" width="11.125" style="583" customWidth="1"/>
    <col min="7674" max="7674" width="9.75" style="583" customWidth="1"/>
    <col min="7675" max="7675" width="10.75" style="583" bestFit="1" customWidth="1"/>
    <col min="7676" max="7676" width="12.125" style="583" bestFit="1" customWidth="1"/>
    <col min="7677" max="7677" width="10.125" style="583" customWidth="1"/>
    <col min="7678" max="7678" width="10.5" style="583" bestFit="1" customWidth="1"/>
    <col min="7679" max="7919" width="9" style="583"/>
    <col min="7920" max="7920" width="18.75" style="583" bestFit="1" customWidth="1"/>
    <col min="7921" max="7921" width="13" style="583" bestFit="1" customWidth="1"/>
    <col min="7922" max="7922" width="14.375" style="583" customWidth="1"/>
    <col min="7923" max="7923" width="12" style="583" customWidth="1"/>
    <col min="7924" max="7924" width="12.125" style="583" customWidth="1"/>
    <col min="7925" max="7925" width="8.5" style="583" customWidth="1"/>
    <col min="7926" max="7926" width="8" style="583" customWidth="1"/>
    <col min="7927" max="7927" width="12.125" style="583" customWidth="1"/>
    <col min="7928" max="7929" width="11.125" style="583" customWidth="1"/>
    <col min="7930" max="7930" width="9.75" style="583" customWidth="1"/>
    <col min="7931" max="7931" width="10.75" style="583" bestFit="1" customWidth="1"/>
    <col min="7932" max="7932" width="12.125" style="583" bestFit="1" customWidth="1"/>
    <col min="7933" max="7933" width="10.125" style="583" customWidth="1"/>
    <col min="7934" max="7934" width="10.5" style="583" bestFit="1" customWidth="1"/>
    <col min="7935" max="8175" width="9" style="583"/>
    <col min="8176" max="8176" width="18.75" style="583" bestFit="1" customWidth="1"/>
    <col min="8177" max="8177" width="13" style="583" bestFit="1" customWidth="1"/>
    <col min="8178" max="8178" width="14.375" style="583" customWidth="1"/>
    <col min="8179" max="8179" width="12" style="583" customWidth="1"/>
    <col min="8180" max="8180" width="12.125" style="583" customWidth="1"/>
    <col min="8181" max="8181" width="8.5" style="583" customWidth="1"/>
    <col min="8182" max="8182" width="8" style="583" customWidth="1"/>
    <col min="8183" max="8183" width="12.125" style="583" customWidth="1"/>
    <col min="8184" max="8185" width="11.125" style="583" customWidth="1"/>
    <col min="8186" max="8186" width="9.75" style="583" customWidth="1"/>
    <col min="8187" max="8187" width="10.75" style="583" bestFit="1" customWidth="1"/>
    <col min="8188" max="8188" width="12.125" style="583" bestFit="1" customWidth="1"/>
    <col min="8189" max="8189" width="10.125" style="583" customWidth="1"/>
    <col min="8190" max="8190" width="10.5" style="583" bestFit="1" customWidth="1"/>
    <col min="8191" max="8431" width="9" style="583"/>
    <col min="8432" max="8432" width="18.75" style="583" bestFit="1" customWidth="1"/>
    <col min="8433" max="8433" width="13" style="583" bestFit="1" customWidth="1"/>
    <col min="8434" max="8434" width="14.375" style="583" customWidth="1"/>
    <col min="8435" max="8435" width="12" style="583" customWidth="1"/>
    <col min="8436" max="8436" width="12.125" style="583" customWidth="1"/>
    <col min="8437" max="8437" width="8.5" style="583" customWidth="1"/>
    <col min="8438" max="8438" width="8" style="583" customWidth="1"/>
    <col min="8439" max="8439" width="12.125" style="583" customWidth="1"/>
    <col min="8440" max="8441" width="11.125" style="583" customWidth="1"/>
    <col min="8442" max="8442" width="9.75" style="583" customWidth="1"/>
    <col min="8443" max="8443" width="10.75" style="583" bestFit="1" customWidth="1"/>
    <col min="8444" max="8444" width="12.125" style="583" bestFit="1" customWidth="1"/>
    <col min="8445" max="8445" width="10.125" style="583" customWidth="1"/>
    <col min="8446" max="8446" width="10.5" style="583" bestFit="1" customWidth="1"/>
    <col min="8447" max="8687" width="9" style="583"/>
    <col min="8688" max="8688" width="18.75" style="583" bestFit="1" customWidth="1"/>
    <col min="8689" max="8689" width="13" style="583" bestFit="1" customWidth="1"/>
    <col min="8690" max="8690" width="14.375" style="583" customWidth="1"/>
    <col min="8691" max="8691" width="12" style="583" customWidth="1"/>
    <col min="8692" max="8692" width="12.125" style="583" customWidth="1"/>
    <col min="8693" max="8693" width="8.5" style="583" customWidth="1"/>
    <col min="8694" max="8694" width="8" style="583" customWidth="1"/>
    <col min="8695" max="8695" width="12.125" style="583" customWidth="1"/>
    <col min="8696" max="8697" width="11.125" style="583" customWidth="1"/>
    <col min="8698" max="8698" width="9.75" style="583" customWidth="1"/>
    <col min="8699" max="8699" width="10.75" style="583" bestFit="1" customWidth="1"/>
    <col min="8700" max="8700" width="12.125" style="583" bestFit="1" customWidth="1"/>
    <col min="8701" max="8701" width="10.125" style="583" customWidth="1"/>
    <col min="8702" max="8702" width="10.5" style="583" bestFit="1" customWidth="1"/>
    <col min="8703" max="8943" width="9" style="583"/>
    <col min="8944" max="8944" width="18.75" style="583" bestFit="1" customWidth="1"/>
    <col min="8945" max="8945" width="13" style="583" bestFit="1" customWidth="1"/>
    <col min="8946" max="8946" width="14.375" style="583" customWidth="1"/>
    <col min="8947" max="8947" width="12" style="583" customWidth="1"/>
    <col min="8948" max="8948" width="12.125" style="583" customWidth="1"/>
    <col min="8949" max="8949" width="8.5" style="583" customWidth="1"/>
    <col min="8950" max="8950" width="8" style="583" customWidth="1"/>
    <col min="8951" max="8951" width="12.125" style="583" customWidth="1"/>
    <col min="8952" max="8953" width="11.125" style="583" customWidth="1"/>
    <col min="8954" max="8954" width="9.75" style="583" customWidth="1"/>
    <col min="8955" max="8955" width="10.75" style="583" bestFit="1" customWidth="1"/>
    <col min="8956" max="8956" width="12.125" style="583" bestFit="1" customWidth="1"/>
    <col min="8957" max="8957" width="10.125" style="583" customWidth="1"/>
    <col min="8958" max="8958" width="10.5" style="583" bestFit="1" customWidth="1"/>
    <col min="8959" max="9199" width="9" style="583"/>
    <col min="9200" max="9200" width="18.75" style="583" bestFit="1" customWidth="1"/>
    <col min="9201" max="9201" width="13" style="583" bestFit="1" customWidth="1"/>
    <col min="9202" max="9202" width="14.375" style="583" customWidth="1"/>
    <col min="9203" max="9203" width="12" style="583" customWidth="1"/>
    <col min="9204" max="9204" width="12.125" style="583" customWidth="1"/>
    <col min="9205" max="9205" width="8.5" style="583" customWidth="1"/>
    <col min="9206" max="9206" width="8" style="583" customWidth="1"/>
    <col min="9207" max="9207" width="12.125" style="583" customWidth="1"/>
    <col min="9208" max="9209" width="11.125" style="583" customWidth="1"/>
    <col min="9210" max="9210" width="9.75" style="583" customWidth="1"/>
    <col min="9211" max="9211" width="10.75" style="583" bestFit="1" customWidth="1"/>
    <col min="9212" max="9212" width="12.125" style="583" bestFit="1" customWidth="1"/>
    <col min="9213" max="9213" width="10.125" style="583" customWidth="1"/>
    <col min="9214" max="9214" width="10.5" style="583" bestFit="1" customWidth="1"/>
    <col min="9215" max="9455" width="9" style="583"/>
    <col min="9456" max="9456" width="18.75" style="583" bestFit="1" customWidth="1"/>
    <col min="9457" max="9457" width="13" style="583" bestFit="1" customWidth="1"/>
    <col min="9458" max="9458" width="14.375" style="583" customWidth="1"/>
    <col min="9459" max="9459" width="12" style="583" customWidth="1"/>
    <col min="9460" max="9460" width="12.125" style="583" customWidth="1"/>
    <col min="9461" max="9461" width="8.5" style="583" customWidth="1"/>
    <col min="9462" max="9462" width="8" style="583" customWidth="1"/>
    <col min="9463" max="9463" width="12.125" style="583" customWidth="1"/>
    <col min="9464" max="9465" width="11.125" style="583" customWidth="1"/>
    <col min="9466" max="9466" width="9.75" style="583" customWidth="1"/>
    <col min="9467" max="9467" width="10.75" style="583" bestFit="1" customWidth="1"/>
    <col min="9468" max="9468" width="12.125" style="583" bestFit="1" customWidth="1"/>
    <col min="9469" max="9469" width="10.125" style="583" customWidth="1"/>
    <col min="9470" max="9470" width="10.5" style="583" bestFit="1" customWidth="1"/>
    <col min="9471" max="9711" width="9" style="583"/>
    <col min="9712" max="9712" width="18.75" style="583" bestFit="1" customWidth="1"/>
    <col min="9713" max="9713" width="13" style="583" bestFit="1" customWidth="1"/>
    <col min="9714" max="9714" width="14.375" style="583" customWidth="1"/>
    <col min="9715" max="9715" width="12" style="583" customWidth="1"/>
    <col min="9716" max="9716" width="12.125" style="583" customWidth="1"/>
    <col min="9717" max="9717" width="8.5" style="583" customWidth="1"/>
    <col min="9718" max="9718" width="8" style="583" customWidth="1"/>
    <col min="9719" max="9719" width="12.125" style="583" customWidth="1"/>
    <col min="9720" max="9721" width="11.125" style="583" customWidth="1"/>
    <col min="9722" max="9722" width="9.75" style="583" customWidth="1"/>
    <col min="9723" max="9723" width="10.75" style="583" bestFit="1" customWidth="1"/>
    <col min="9724" max="9724" width="12.125" style="583" bestFit="1" customWidth="1"/>
    <col min="9725" max="9725" width="10.125" style="583" customWidth="1"/>
    <col min="9726" max="9726" width="10.5" style="583" bestFit="1" customWidth="1"/>
    <col min="9727" max="9967" width="9" style="583"/>
    <col min="9968" max="9968" width="18.75" style="583" bestFit="1" customWidth="1"/>
    <col min="9969" max="9969" width="13" style="583" bestFit="1" customWidth="1"/>
    <col min="9970" max="9970" width="14.375" style="583" customWidth="1"/>
    <col min="9971" max="9971" width="12" style="583" customWidth="1"/>
    <col min="9972" max="9972" width="12.125" style="583" customWidth="1"/>
    <col min="9973" max="9973" width="8.5" style="583" customWidth="1"/>
    <col min="9974" max="9974" width="8" style="583" customWidth="1"/>
    <col min="9975" max="9975" width="12.125" style="583" customWidth="1"/>
    <col min="9976" max="9977" width="11.125" style="583" customWidth="1"/>
    <col min="9978" max="9978" width="9.75" style="583" customWidth="1"/>
    <col min="9979" max="9979" width="10.75" style="583" bestFit="1" customWidth="1"/>
    <col min="9980" max="9980" width="12.125" style="583" bestFit="1" customWidth="1"/>
    <col min="9981" max="9981" width="10.125" style="583" customWidth="1"/>
    <col min="9982" max="9982" width="10.5" style="583" bestFit="1" customWidth="1"/>
    <col min="9983" max="10223" width="9" style="583"/>
    <col min="10224" max="10224" width="18.75" style="583" bestFit="1" customWidth="1"/>
    <col min="10225" max="10225" width="13" style="583" bestFit="1" customWidth="1"/>
    <col min="10226" max="10226" width="14.375" style="583" customWidth="1"/>
    <col min="10227" max="10227" width="12" style="583" customWidth="1"/>
    <col min="10228" max="10228" width="12.125" style="583" customWidth="1"/>
    <col min="10229" max="10229" width="8.5" style="583" customWidth="1"/>
    <col min="10230" max="10230" width="8" style="583" customWidth="1"/>
    <col min="10231" max="10231" width="12.125" style="583" customWidth="1"/>
    <col min="10232" max="10233" width="11.125" style="583" customWidth="1"/>
    <col min="10234" max="10234" width="9.75" style="583" customWidth="1"/>
    <col min="10235" max="10235" width="10.75" style="583" bestFit="1" customWidth="1"/>
    <col min="10236" max="10236" width="12.125" style="583" bestFit="1" customWidth="1"/>
    <col min="10237" max="10237" width="10.125" style="583" customWidth="1"/>
    <col min="10238" max="10238" width="10.5" style="583" bestFit="1" customWidth="1"/>
    <col min="10239" max="10479" width="9" style="583"/>
    <col min="10480" max="10480" width="18.75" style="583" bestFit="1" customWidth="1"/>
    <col min="10481" max="10481" width="13" style="583" bestFit="1" customWidth="1"/>
    <col min="10482" max="10482" width="14.375" style="583" customWidth="1"/>
    <col min="10483" max="10483" width="12" style="583" customWidth="1"/>
    <col min="10484" max="10484" width="12.125" style="583" customWidth="1"/>
    <col min="10485" max="10485" width="8.5" style="583" customWidth="1"/>
    <col min="10486" max="10486" width="8" style="583" customWidth="1"/>
    <col min="10487" max="10487" width="12.125" style="583" customWidth="1"/>
    <col min="10488" max="10489" width="11.125" style="583" customWidth="1"/>
    <col min="10490" max="10490" width="9.75" style="583" customWidth="1"/>
    <col min="10491" max="10491" width="10.75" style="583" bestFit="1" customWidth="1"/>
    <col min="10492" max="10492" width="12.125" style="583" bestFit="1" customWidth="1"/>
    <col min="10493" max="10493" width="10.125" style="583" customWidth="1"/>
    <col min="10494" max="10494" width="10.5" style="583" bestFit="1" customWidth="1"/>
    <col min="10495" max="10735" width="9" style="583"/>
    <col min="10736" max="10736" width="18.75" style="583" bestFit="1" customWidth="1"/>
    <col min="10737" max="10737" width="13" style="583" bestFit="1" customWidth="1"/>
    <col min="10738" max="10738" width="14.375" style="583" customWidth="1"/>
    <col min="10739" max="10739" width="12" style="583" customWidth="1"/>
    <col min="10740" max="10740" width="12.125" style="583" customWidth="1"/>
    <col min="10741" max="10741" width="8.5" style="583" customWidth="1"/>
    <col min="10742" max="10742" width="8" style="583" customWidth="1"/>
    <col min="10743" max="10743" width="12.125" style="583" customWidth="1"/>
    <col min="10744" max="10745" width="11.125" style="583" customWidth="1"/>
    <col min="10746" max="10746" width="9.75" style="583" customWidth="1"/>
    <col min="10747" max="10747" width="10.75" style="583" bestFit="1" customWidth="1"/>
    <col min="10748" max="10748" width="12.125" style="583" bestFit="1" customWidth="1"/>
    <col min="10749" max="10749" width="10.125" style="583" customWidth="1"/>
    <col min="10750" max="10750" width="10.5" style="583" bestFit="1" customWidth="1"/>
    <col min="10751" max="10991" width="9" style="583"/>
    <col min="10992" max="10992" width="18.75" style="583" bestFit="1" customWidth="1"/>
    <col min="10993" max="10993" width="13" style="583" bestFit="1" customWidth="1"/>
    <col min="10994" max="10994" width="14.375" style="583" customWidth="1"/>
    <col min="10995" max="10995" width="12" style="583" customWidth="1"/>
    <col min="10996" max="10996" width="12.125" style="583" customWidth="1"/>
    <col min="10997" max="10997" width="8.5" style="583" customWidth="1"/>
    <col min="10998" max="10998" width="8" style="583" customWidth="1"/>
    <col min="10999" max="10999" width="12.125" style="583" customWidth="1"/>
    <col min="11000" max="11001" width="11.125" style="583" customWidth="1"/>
    <col min="11002" max="11002" width="9.75" style="583" customWidth="1"/>
    <col min="11003" max="11003" width="10.75" style="583" bestFit="1" customWidth="1"/>
    <col min="11004" max="11004" width="12.125" style="583" bestFit="1" customWidth="1"/>
    <col min="11005" max="11005" width="10.125" style="583" customWidth="1"/>
    <col min="11006" max="11006" width="10.5" style="583" bestFit="1" customWidth="1"/>
    <col min="11007" max="11247" width="9" style="583"/>
    <col min="11248" max="11248" width="18.75" style="583" bestFit="1" customWidth="1"/>
    <col min="11249" max="11249" width="13" style="583" bestFit="1" customWidth="1"/>
    <col min="11250" max="11250" width="14.375" style="583" customWidth="1"/>
    <col min="11251" max="11251" width="12" style="583" customWidth="1"/>
    <col min="11252" max="11252" width="12.125" style="583" customWidth="1"/>
    <col min="11253" max="11253" width="8.5" style="583" customWidth="1"/>
    <col min="11254" max="11254" width="8" style="583" customWidth="1"/>
    <col min="11255" max="11255" width="12.125" style="583" customWidth="1"/>
    <col min="11256" max="11257" width="11.125" style="583" customWidth="1"/>
    <col min="11258" max="11258" width="9.75" style="583" customWidth="1"/>
    <col min="11259" max="11259" width="10.75" style="583" bestFit="1" customWidth="1"/>
    <col min="11260" max="11260" width="12.125" style="583" bestFit="1" customWidth="1"/>
    <col min="11261" max="11261" width="10.125" style="583" customWidth="1"/>
    <col min="11262" max="11262" width="10.5" style="583" bestFit="1" customWidth="1"/>
    <col min="11263" max="11503" width="9" style="583"/>
    <col min="11504" max="11504" width="18.75" style="583" bestFit="1" customWidth="1"/>
    <col min="11505" max="11505" width="13" style="583" bestFit="1" customWidth="1"/>
    <col min="11506" max="11506" width="14.375" style="583" customWidth="1"/>
    <col min="11507" max="11507" width="12" style="583" customWidth="1"/>
    <col min="11508" max="11508" width="12.125" style="583" customWidth="1"/>
    <col min="11509" max="11509" width="8.5" style="583" customWidth="1"/>
    <col min="11510" max="11510" width="8" style="583" customWidth="1"/>
    <col min="11511" max="11511" width="12.125" style="583" customWidth="1"/>
    <col min="11512" max="11513" width="11.125" style="583" customWidth="1"/>
    <col min="11514" max="11514" width="9.75" style="583" customWidth="1"/>
    <col min="11515" max="11515" width="10.75" style="583" bestFit="1" customWidth="1"/>
    <col min="11516" max="11516" width="12.125" style="583" bestFit="1" customWidth="1"/>
    <col min="11517" max="11517" width="10.125" style="583" customWidth="1"/>
    <col min="11518" max="11518" width="10.5" style="583" bestFit="1" customWidth="1"/>
    <col min="11519" max="11759" width="9" style="583"/>
    <col min="11760" max="11760" width="18.75" style="583" bestFit="1" customWidth="1"/>
    <col min="11761" max="11761" width="13" style="583" bestFit="1" customWidth="1"/>
    <col min="11762" max="11762" width="14.375" style="583" customWidth="1"/>
    <col min="11763" max="11763" width="12" style="583" customWidth="1"/>
    <col min="11764" max="11764" width="12.125" style="583" customWidth="1"/>
    <col min="11765" max="11765" width="8.5" style="583" customWidth="1"/>
    <col min="11766" max="11766" width="8" style="583" customWidth="1"/>
    <col min="11767" max="11767" width="12.125" style="583" customWidth="1"/>
    <col min="11768" max="11769" width="11.125" style="583" customWidth="1"/>
    <col min="11770" max="11770" width="9.75" style="583" customWidth="1"/>
    <col min="11771" max="11771" width="10.75" style="583" bestFit="1" customWidth="1"/>
    <col min="11772" max="11772" width="12.125" style="583" bestFit="1" customWidth="1"/>
    <col min="11773" max="11773" width="10.125" style="583" customWidth="1"/>
    <col min="11774" max="11774" width="10.5" style="583" bestFit="1" customWidth="1"/>
    <col min="11775" max="12015" width="9" style="583"/>
    <col min="12016" max="12016" width="18.75" style="583" bestFit="1" customWidth="1"/>
    <col min="12017" max="12017" width="13" style="583" bestFit="1" customWidth="1"/>
    <col min="12018" max="12018" width="14.375" style="583" customWidth="1"/>
    <col min="12019" max="12019" width="12" style="583" customWidth="1"/>
    <col min="12020" max="12020" width="12.125" style="583" customWidth="1"/>
    <col min="12021" max="12021" width="8.5" style="583" customWidth="1"/>
    <col min="12022" max="12022" width="8" style="583" customWidth="1"/>
    <col min="12023" max="12023" width="12.125" style="583" customWidth="1"/>
    <col min="12024" max="12025" width="11.125" style="583" customWidth="1"/>
    <col min="12026" max="12026" width="9.75" style="583" customWidth="1"/>
    <col min="12027" max="12027" width="10.75" style="583" bestFit="1" customWidth="1"/>
    <col min="12028" max="12028" width="12.125" style="583" bestFit="1" customWidth="1"/>
    <col min="12029" max="12029" width="10.125" style="583" customWidth="1"/>
    <col min="12030" max="12030" width="10.5" style="583" bestFit="1" customWidth="1"/>
    <col min="12031" max="12271" width="9" style="583"/>
    <col min="12272" max="12272" width="18.75" style="583" bestFit="1" customWidth="1"/>
    <col min="12273" max="12273" width="13" style="583" bestFit="1" customWidth="1"/>
    <col min="12274" max="12274" width="14.375" style="583" customWidth="1"/>
    <col min="12275" max="12275" width="12" style="583" customWidth="1"/>
    <col min="12276" max="12276" width="12.125" style="583" customWidth="1"/>
    <col min="12277" max="12277" width="8.5" style="583" customWidth="1"/>
    <col min="12278" max="12278" width="8" style="583" customWidth="1"/>
    <col min="12279" max="12279" width="12.125" style="583" customWidth="1"/>
    <col min="12280" max="12281" width="11.125" style="583" customWidth="1"/>
    <col min="12282" max="12282" width="9.75" style="583" customWidth="1"/>
    <col min="12283" max="12283" width="10.75" style="583" bestFit="1" customWidth="1"/>
    <col min="12284" max="12284" width="12.125" style="583" bestFit="1" customWidth="1"/>
    <col min="12285" max="12285" width="10.125" style="583" customWidth="1"/>
    <col min="12286" max="12286" width="10.5" style="583" bestFit="1" customWidth="1"/>
    <col min="12287" max="12527" width="9" style="583"/>
    <col min="12528" max="12528" width="18.75" style="583" bestFit="1" customWidth="1"/>
    <col min="12529" max="12529" width="13" style="583" bestFit="1" customWidth="1"/>
    <col min="12530" max="12530" width="14.375" style="583" customWidth="1"/>
    <col min="12531" max="12531" width="12" style="583" customWidth="1"/>
    <col min="12532" max="12532" width="12.125" style="583" customWidth="1"/>
    <col min="12533" max="12533" width="8.5" style="583" customWidth="1"/>
    <col min="12534" max="12534" width="8" style="583" customWidth="1"/>
    <col min="12535" max="12535" width="12.125" style="583" customWidth="1"/>
    <col min="12536" max="12537" width="11.125" style="583" customWidth="1"/>
    <col min="12538" max="12538" width="9.75" style="583" customWidth="1"/>
    <col min="12539" max="12539" width="10.75" style="583" bestFit="1" customWidth="1"/>
    <col min="12540" max="12540" width="12.125" style="583" bestFit="1" customWidth="1"/>
    <col min="12541" max="12541" width="10.125" style="583" customWidth="1"/>
    <col min="12542" max="12542" width="10.5" style="583" bestFit="1" customWidth="1"/>
    <col min="12543" max="12783" width="9" style="583"/>
    <col min="12784" max="12784" width="18.75" style="583" bestFit="1" customWidth="1"/>
    <col min="12785" max="12785" width="13" style="583" bestFit="1" customWidth="1"/>
    <col min="12786" max="12786" width="14.375" style="583" customWidth="1"/>
    <col min="12787" max="12787" width="12" style="583" customWidth="1"/>
    <col min="12788" max="12788" width="12.125" style="583" customWidth="1"/>
    <col min="12789" max="12789" width="8.5" style="583" customWidth="1"/>
    <col min="12790" max="12790" width="8" style="583" customWidth="1"/>
    <col min="12791" max="12791" width="12.125" style="583" customWidth="1"/>
    <col min="12792" max="12793" width="11.125" style="583" customWidth="1"/>
    <col min="12794" max="12794" width="9.75" style="583" customWidth="1"/>
    <col min="12795" max="12795" width="10.75" style="583" bestFit="1" customWidth="1"/>
    <col min="12796" max="12796" width="12.125" style="583" bestFit="1" customWidth="1"/>
    <col min="12797" max="12797" width="10.125" style="583" customWidth="1"/>
    <col min="12798" max="12798" width="10.5" style="583" bestFit="1" customWidth="1"/>
    <col min="12799" max="13039" width="9" style="583"/>
    <col min="13040" max="13040" width="18.75" style="583" bestFit="1" customWidth="1"/>
    <col min="13041" max="13041" width="13" style="583" bestFit="1" customWidth="1"/>
    <col min="13042" max="13042" width="14.375" style="583" customWidth="1"/>
    <col min="13043" max="13043" width="12" style="583" customWidth="1"/>
    <col min="13044" max="13044" width="12.125" style="583" customWidth="1"/>
    <col min="13045" max="13045" width="8.5" style="583" customWidth="1"/>
    <col min="13046" max="13046" width="8" style="583" customWidth="1"/>
    <col min="13047" max="13047" width="12.125" style="583" customWidth="1"/>
    <col min="13048" max="13049" width="11.125" style="583" customWidth="1"/>
    <col min="13050" max="13050" width="9.75" style="583" customWidth="1"/>
    <col min="13051" max="13051" width="10.75" style="583" bestFit="1" customWidth="1"/>
    <col min="13052" max="13052" width="12.125" style="583" bestFit="1" customWidth="1"/>
    <col min="13053" max="13053" width="10.125" style="583" customWidth="1"/>
    <col min="13054" max="13054" width="10.5" style="583" bestFit="1" customWidth="1"/>
    <col min="13055" max="13295" width="9" style="583"/>
    <col min="13296" max="13296" width="18.75" style="583" bestFit="1" customWidth="1"/>
    <col min="13297" max="13297" width="13" style="583" bestFit="1" customWidth="1"/>
    <col min="13298" max="13298" width="14.375" style="583" customWidth="1"/>
    <col min="13299" max="13299" width="12" style="583" customWidth="1"/>
    <col min="13300" max="13300" width="12.125" style="583" customWidth="1"/>
    <col min="13301" max="13301" width="8.5" style="583" customWidth="1"/>
    <col min="13302" max="13302" width="8" style="583" customWidth="1"/>
    <col min="13303" max="13303" width="12.125" style="583" customWidth="1"/>
    <col min="13304" max="13305" width="11.125" style="583" customWidth="1"/>
    <col min="13306" max="13306" width="9.75" style="583" customWidth="1"/>
    <col min="13307" max="13307" width="10.75" style="583" bestFit="1" customWidth="1"/>
    <col min="13308" max="13308" width="12.125" style="583" bestFit="1" customWidth="1"/>
    <col min="13309" max="13309" width="10.125" style="583" customWidth="1"/>
    <col min="13310" max="13310" width="10.5" style="583" bestFit="1" customWidth="1"/>
    <col min="13311" max="13551" width="9" style="583"/>
    <col min="13552" max="13552" width="18.75" style="583" bestFit="1" customWidth="1"/>
    <col min="13553" max="13553" width="13" style="583" bestFit="1" customWidth="1"/>
    <col min="13554" max="13554" width="14.375" style="583" customWidth="1"/>
    <col min="13555" max="13555" width="12" style="583" customWidth="1"/>
    <col min="13556" max="13556" width="12.125" style="583" customWidth="1"/>
    <col min="13557" max="13557" width="8.5" style="583" customWidth="1"/>
    <col min="13558" max="13558" width="8" style="583" customWidth="1"/>
    <col min="13559" max="13559" width="12.125" style="583" customWidth="1"/>
    <col min="13560" max="13561" width="11.125" style="583" customWidth="1"/>
    <col min="13562" max="13562" width="9.75" style="583" customWidth="1"/>
    <col min="13563" max="13563" width="10.75" style="583" bestFit="1" customWidth="1"/>
    <col min="13564" max="13564" width="12.125" style="583" bestFit="1" customWidth="1"/>
    <col min="13565" max="13565" width="10.125" style="583" customWidth="1"/>
    <col min="13566" max="13566" width="10.5" style="583" bestFit="1" customWidth="1"/>
    <col min="13567" max="13807" width="9" style="583"/>
    <col min="13808" max="13808" width="18.75" style="583" bestFit="1" customWidth="1"/>
    <col min="13809" max="13809" width="13" style="583" bestFit="1" customWidth="1"/>
    <col min="13810" max="13810" width="14.375" style="583" customWidth="1"/>
    <col min="13811" max="13811" width="12" style="583" customWidth="1"/>
    <col min="13812" max="13812" width="12.125" style="583" customWidth="1"/>
    <col min="13813" max="13813" width="8.5" style="583" customWidth="1"/>
    <col min="13814" max="13814" width="8" style="583" customWidth="1"/>
    <col min="13815" max="13815" width="12.125" style="583" customWidth="1"/>
    <col min="13816" max="13817" width="11.125" style="583" customWidth="1"/>
    <col min="13818" max="13818" width="9.75" style="583" customWidth="1"/>
    <col min="13819" max="13819" width="10.75" style="583" bestFit="1" customWidth="1"/>
    <col min="13820" max="13820" width="12.125" style="583" bestFit="1" customWidth="1"/>
    <col min="13821" max="13821" width="10.125" style="583" customWidth="1"/>
    <col min="13822" max="13822" width="10.5" style="583" bestFit="1" customWidth="1"/>
    <col min="13823" max="14063" width="9" style="583"/>
    <col min="14064" max="14064" width="18.75" style="583" bestFit="1" customWidth="1"/>
    <col min="14065" max="14065" width="13" style="583" bestFit="1" customWidth="1"/>
    <col min="14066" max="14066" width="14.375" style="583" customWidth="1"/>
    <col min="14067" max="14067" width="12" style="583" customWidth="1"/>
    <col min="14068" max="14068" width="12.125" style="583" customWidth="1"/>
    <col min="14069" max="14069" width="8.5" style="583" customWidth="1"/>
    <col min="14070" max="14070" width="8" style="583" customWidth="1"/>
    <col min="14071" max="14071" width="12.125" style="583" customWidth="1"/>
    <col min="14072" max="14073" width="11.125" style="583" customWidth="1"/>
    <col min="14074" max="14074" width="9.75" style="583" customWidth="1"/>
    <col min="14075" max="14075" width="10.75" style="583" bestFit="1" customWidth="1"/>
    <col min="14076" max="14076" width="12.125" style="583" bestFit="1" customWidth="1"/>
    <col min="14077" max="14077" width="10.125" style="583" customWidth="1"/>
    <col min="14078" max="14078" width="10.5" style="583" bestFit="1" customWidth="1"/>
    <col min="14079" max="14319" width="9" style="583"/>
    <col min="14320" max="14320" width="18.75" style="583" bestFit="1" customWidth="1"/>
    <col min="14321" max="14321" width="13" style="583" bestFit="1" customWidth="1"/>
    <col min="14322" max="14322" width="14.375" style="583" customWidth="1"/>
    <col min="14323" max="14323" width="12" style="583" customWidth="1"/>
    <col min="14324" max="14324" width="12.125" style="583" customWidth="1"/>
    <col min="14325" max="14325" width="8.5" style="583" customWidth="1"/>
    <col min="14326" max="14326" width="8" style="583" customWidth="1"/>
    <col min="14327" max="14327" width="12.125" style="583" customWidth="1"/>
    <col min="14328" max="14329" width="11.125" style="583" customWidth="1"/>
    <col min="14330" max="14330" width="9.75" style="583" customWidth="1"/>
    <col min="14331" max="14331" width="10.75" style="583" bestFit="1" customWidth="1"/>
    <col min="14332" max="14332" width="12.125" style="583" bestFit="1" customWidth="1"/>
    <col min="14333" max="14333" width="10.125" style="583" customWidth="1"/>
    <col min="14334" max="14334" width="10.5" style="583" bestFit="1" customWidth="1"/>
    <col min="14335" max="14575" width="9" style="583"/>
    <col min="14576" max="14576" width="18.75" style="583" bestFit="1" customWidth="1"/>
    <col min="14577" max="14577" width="13" style="583" bestFit="1" customWidth="1"/>
    <col min="14578" max="14578" width="14.375" style="583" customWidth="1"/>
    <col min="14579" max="14579" width="12" style="583" customWidth="1"/>
    <col min="14580" max="14580" width="12.125" style="583" customWidth="1"/>
    <col min="14581" max="14581" width="8.5" style="583" customWidth="1"/>
    <col min="14582" max="14582" width="8" style="583" customWidth="1"/>
    <col min="14583" max="14583" width="12.125" style="583" customWidth="1"/>
    <col min="14584" max="14585" width="11.125" style="583" customWidth="1"/>
    <col min="14586" max="14586" width="9.75" style="583" customWidth="1"/>
    <col min="14587" max="14587" width="10.75" style="583" bestFit="1" customWidth="1"/>
    <col min="14588" max="14588" width="12.125" style="583" bestFit="1" customWidth="1"/>
    <col min="14589" max="14589" width="10.125" style="583" customWidth="1"/>
    <col min="14590" max="14590" width="10.5" style="583" bestFit="1" customWidth="1"/>
    <col min="14591" max="14831" width="9" style="583"/>
    <col min="14832" max="14832" width="18.75" style="583" bestFit="1" customWidth="1"/>
    <col min="14833" max="14833" width="13" style="583" bestFit="1" customWidth="1"/>
    <col min="14834" max="14834" width="14.375" style="583" customWidth="1"/>
    <col min="14835" max="14835" width="12" style="583" customWidth="1"/>
    <col min="14836" max="14836" width="12.125" style="583" customWidth="1"/>
    <col min="14837" max="14837" width="8.5" style="583" customWidth="1"/>
    <col min="14838" max="14838" width="8" style="583" customWidth="1"/>
    <col min="14839" max="14839" width="12.125" style="583" customWidth="1"/>
    <col min="14840" max="14841" width="11.125" style="583" customWidth="1"/>
    <col min="14842" max="14842" width="9.75" style="583" customWidth="1"/>
    <col min="14843" max="14843" width="10.75" style="583" bestFit="1" customWidth="1"/>
    <col min="14844" max="14844" width="12.125" style="583" bestFit="1" customWidth="1"/>
    <col min="14845" max="14845" width="10.125" style="583" customWidth="1"/>
    <col min="14846" max="14846" width="10.5" style="583" bestFit="1" customWidth="1"/>
    <col min="14847" max="15087" width="9" style="583"/>
    <col min="15088" max="15088" width="18.75" style="583" bestFit="1" customWidth="1"/>
    <col min="15089" max="15089" width="13" style="583" bestFit="1" customWidth="1"/>
    <col min="15090" max="15090" width="14.375" style="583" customWidth="1"/>
    <col min="15091" max="15091" width="12" style="583" customWidth="1"/>
    <col min="15092" max="15092" width="12.125" style="583" customWidth="1"/>
    <col min="15093" max="15093" width="8.5" style="583" customWidth="1"/>
    <col min="15094" max="15094" width="8" style="583" customWidth="1"/>
    <col min="15095" max="15095" width="12.125" style="583" customWidth="1"/>
    <col min="15096" max="15097" width="11.125" style="583" customWidth="1"/>
    <col min="15098" max="15098" width="9.75" style="583" customWidth="1"/>
    <col min="15099" max="15099" width="10.75" style="583" bestFit="1" customWidth="1"/>
    <col min="15100" max="15100" width="12.125" style="583" bestFit="1" customWidth="1"/>
    <col min="15101" max="15101" width="10.125" style="583" customWidth="1"/>
    <col min="15102" max="15102" width="10.5" style="583" bestFit="1" customWidth="1"/>
    <col min="15103" max="15343" width="9" style="583"/>
    <col min="15344" max="15344" width="18.75" style="583" bestFit="1" customWidth="1"/>
    <col min="15345" max="15345" width="13" style="583" bestFit="1" customWidth="1"/>
    <col min="15346" max="15346" width="14.375" style="583" customWidth="1"/>
    <col min="15347" max="15347" width="12" style="583" customWidth="1"/>
    <col min="15348" max="15348" width="12.125" style="583" customWidth="1"/>
    <col min="15349" max="15349" width="8.5" style="583" customWidth="1"/>
    <col min="15350" max="15350" width="8" style="583" customWidth="1"/>
    <col min="15351" max="15351" width="12.125" style="583" customWidth="1"/>
    <col min="15352" max="15353" width="11.125" style="583" customWidth="1"/>
    <col min="15354" max="15354" width="9.75" style="583" customWidth="1"/>
    <col min="15355" max="15355" width="10.75" style="583" bestFit="1" customWidth="1"/>
    <col min="15356" max="15356" width="12.125" style="583" bestFit="1" customWidth="1"/>
    <col min="15357" max="15357" width="10.125" style="583" customWidth="1"/>
    <col min="15358" max="15358" width="10.5" style="583" bestFit="1" customWidth="1"/>
    <col min="15359" max="15599" width="9" style="583"/>
    <col min="15600" max="15600" width="18.75" style="583" bestFit="1" customWidth="1"/>
    <col min="15601" max="15601" width="13" style="583" bestFit="1" customWidth="1"/>
    <col min="15602" max="15602" width="14.375" style="583" customWidth="1"/>
    <col min="15603" max="15603" width="12" style="583" customWidth="1"/>
    <col min="15604" max="15604" width="12.125" style="583" customWidth="1"/>
    <col min="15605" max="15605" width="8.5" style="583" customWidth="1"/>
    <col min="15606" max="15606" width="8" style="583" customWidth="1"/>
    <col min="15607" max="15607" width="12.125" style="583" customWidth="1"/>
    <col min="15608" max="15609" width="11.125" style="583" customWidth="1"/>
    <col min="15610" max="15610" width="9.75" style="583" customWidth="1"/>
    <col min="15611" max="15611" width="10.75" style="583" bestFit="1" customWidth="1"/>
    <col min="15612" max="15612" width="12.125" style="583" bestFit="1" customWidth="1"/>
    <col min="15613" max="15613" width="10.125" style="583" customWidth="1"/>
    <col min="15614" max="15614" width="10.5" style="583" bestFit="1" customWidth="1"/>
    <col min="15615" max="15855" width="9" style="583"/>
    <col min="15856" max="15856" width="18.75" style="583" bestFit="1" customWidth="1"/>
    <col min="15857" max="15857" width="13" style="583" bestFit="1" customWidth="1"/>
    <col min="15858" max="15858" width="14.375" style="583" customWidth="1"/>
    <col min="15859" max="15859" width="12" style="583" customWidth="1"/>
    <col min="15860" max="15860" width="12.125" style="583" customWidth="1"/>
    <col min="15861" max="15861" width="8.5" style="583" customWidth="1"/>
    <col min="15862" max="15862" width="8" style="583" customWidth="1"/>
    <col min="15863" max="15863" width="12.125" style="583" customWidth="1"/>
    <col min="15864" max="15865" width="11.125" style="583" customWidth="1"/>
    <col min="15866" max="15866" width="9.75" style="583" customWidth="1"/>
    <col min="15867" max="15867" width="10.75" style="583" bestFit="1" customWidth="1"/>
    <col min="15868" max="15868" width="12.125" style="583" bestFit="1" customWidth="1"/>
    <col min="15869" max="15869" width="10.125" style="583" customWidth="1"/>
    <col min="15870" max="15870" width="10.5" style="583" bestFit="1" customWidth="1"/>
    <col min="15871" max="16111" width="9" style="583"/>
    <col min="16112" max="16112" width="18.75" style="583" bestFit="1" customWidth="1"/>
    <col min="16113" max="16113" width="13" style="583" bestFit="1" customWidth="1"/>
    <col min="16114" max="16114" width="14.375" style="583" customWidth="1"/>
    <col min="16115" max="16115" width="12" style="583" customWidth="1"/>
    <col min="16116" max="16116" width="12.125" style="583" customWidth="1"/>
    <col min="16117" max="16117" width="8.5" style="583" customWidth="1"/>
    <col min="16118" max="16118" width="8" style="583" customWidth="1"/>
    <col min="16119" max="16119" width="12.125" style="583" customWidth="1"/>
    <col min="16120" max="16121" width="11.125" style="583" customWidth="1"/>
    <col min="16122" max="16122" width="9.75" style="583" customWidth="1"/>
    <col min="16123" max="16123" width="10.75" style="583" bestFit="1" customWidth="1"/>
    <col min="16124" max="16124" width="12.125" style="583" bestFit="1" customWidth="1"/>
    <col min="16125" max="16125" width="10.125" style="583" customWidth="1"/>
    <col min="16126" max="16126" width="10.5" style="583" bestFit="1" customWidth="1"/>
    <col min="16127" max="16384" width="9" style="583"/>
  </cols>
  <sheetData>
    <row r="1" spans="1:409" s="100" customFormat="1" ht="15.75">
      <c r="A1" s="14" t="s">
        <v>986</v>
      </c>
      <c r="D1" s="20"/>
      <c r="F1" s="20"/>
      <c r="G1" s="20"/>
      <c r="H1" s="20"/>
      <c r="I1" s="159"/>
    </row>
    <row r="2" spans="1:409" s="27" customFormat="1" ht="15">
      <c r="C2" s="20"/>
      <c r="D2" s="20"/>
      <c r="F2" s="20"/>
      <c r="G2" s="20"/>
      <c r="H2" s="20"/>
      <c r="I2" s="20"/>
      <c r="J2" s="20"/>
    </row>
    <row r="3" spans="1:409" s="27" customFormat="1" ht="15.75">
      <c r="A3" s="1796" t="s">
        <v>199</v>
      </c>
      <c r="B3" s="1796"/>
      <c r="C3" s="1796"/>
      <c r="D3" s="1796"/>
      <c r="E3" s="1796"/>
      <c r="F3" s="1796"/>
      <c r="G3" s="1796"/>
      <c r="H3" s="1796"/>
      <c r="I3" s="1796"/>
      <c r="J3" s="58"/>
      <c r="K3" s="58"/>
      <c r="L3" s="58"/>
      <c r="M3" s="58"/>
      <c r="N3" s="58"/>
      <c r="O3" s="58"/>
      <c r="P3" s="58"/>
      <c r="Q3" s="58"/>
      <c r="R3" s="58"/>
    </row>
    <row r="4" spans="1:409" s="27" customFormat="1" ht="15.75">
      <c r="A4" s="1796" t="s">
        <v>103</v>
      </c>
      <c r="B4" s="1796"/>
      <c r="C4" s="1796"/>
      <c r="D4" s="1796"/>
      <c r="E4" s="1796"/>
      <c r="F4" s="1796"/>
      <c r="G4" s="1796"/>
      <c r="H4" s="1796"/>
      <c r="I4" s="1796"/>
      <c r="J4" s="58"/>
      <c r="K4" s="58"/>
      <c r="L4" s="58"/>
      <c r="M4" s="58"/>
      <c r="N4" s="58"/>
      <c r="O4" s="58"/>
      <c r="P4" s="58"/>
      <c r="Q4" s="58"/>
      <c r="R4" s="58"/>
    </row>
    <row r="5" spans="1:409" s="27" customFormat="1" ht="15.75">
      <c r="A5" s="1792" t="str">
        <f>SUMMARY!A7</f>
        <v>YEAR ENDING DECEMBER 31, 2018</v>
      </c>
      <c r="B5" s="1792"/>
      <c r="C5" s="1792"/>
      <c r="D5" s="1792"/>
      <c r="E5" s="1792"/>
      <c r="F5" s="1792"/>
      <c r="G5" s="1792"/>
      <c r="H5" s="1792"/>
      <c r="I5" s="1792"/>
    </row>
    <row r="6" spans="1:409" s="27" customFormat="1" ht="15.75">
      <c r="J6" s="58"/>
      <c r="K6" s="58"/>
      <c r="L6" s="58"/>
      <c r="M6" s="58"/>
      <c r="N6" s="58"/>
      <c r="O6" s="58"/>
      <c r="P6" s="58"/>
      <c r="Q6" s="58"/>
      <c r="R6" s="58"/>
    </row>
    <row r="7" spans="1:409" s="579" customFormat="1" ht="15.75">
      <c r="A7" s="1796" t="s">
        <v>985</v>
      </c>
      <c r="B7" s="1796"/>
      <c r="C7" s="1796"/>
      <c r="D7" s="1796"/>
      <c r="E7" s="1796"/>
      <c r="F7" s="1796"/>
      <c r="G7" s="1796"/>
      <c r="H7" s="1796"/>
      <c r="I7" s="1796"/>
      <c r="J7" s="58"/>
      <c r="K7" s="58"/>
      <c r="L7" s="58"/>
      <c r="M7" s="58"/>
      <c r="N7" s="58"/>
      <c r="O7" s="58"/>
      <c r="P7" s="58"/>
      <c r="Q7" s="58"/>
      <c r="R7" s="5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8"/>
      <c r="BZ7" s="578"/>
      <c r="CA7" s="578"/>
      <c r="CB7" s="578"/>
      <c r="CC7" s="578"/>
      <c r="CD7" s="578"/>
      <c r="CE7" s="578"/>
      <c r="CF7" s="578"/>
      <c r="CG7" s="578"/>
      <c r="CH7" s="578"/>
      <c r="CI7" s="578"/>
      <c r="CJ7" s="578"/>
      <c r="CK7" s="578"/>
      <c r="CL7" s="578"/>
      <c r="CM7" s="578"/>
      <c r="CN7" s="578"/>
      <c r="CO7" s="578"/>
      <c r="CP7" s="578"/>
      <c r="CQ7" s="578"/>
      <c r="CR7" s="578"/>
      <c r="CS7" s="578"/>
      <c r="CT7" s="578"/>
      <c r="CU7" s="578"/>
      <c r="CV7" s="578"/>
      <c r="CW7" s="578"/>
      <c r="CX7" s="578"/>
      <c r="CY7" s="578"/>
      <c r="CZ7" s="578"/>
      <c r="DA7" s="578"/>
      <c r="DB7" s="578"/>
      <c r="DC7" s="578"/>
      <c r="DD7" s="578"/>
      <c r="DE7" s="578"/>
      <c r="DF7" s="578"/>
      <c r="DG7" s="578"/>
      <c r="DH7" s="578"/>
      <c r="DI7" s="578"/>
      <c r="DJ7" s="578"/>
      <c r="DK7" s="578"/>
      <c r="DL7" s="578"/>
      <c r="DM7" s="578"/>
      <c r="DN7" s="578"/>
      <c r="DO7" s="578"/>
      <c r="DP7" s="578"/>
      <c r="DQ7" s="578"/>
      <c r="DR7" s="578"/>
      <c r="DS7" s="578"/>
      <c r="DT7" s="578"/>
      <c r="DU7" s="578"/>
      <c r="DV7" s="578"/>
      <c r="DW7" s="578"/>
      <c r="DX7" s="578"/>
      <c r="DY7" s="578"/>
      <c r="DZ7" s="578"/>
      <c r="EA7" s="578"/>
      <c r="EB7" s="578"/>
      <c r="EC7" s="578"/>
      <c r="ED7" s="578"/>
      <c r="EE7" s="578"/>
      <c r="EF7" s="578"/>
      <c r="EG7" s="578"/>
      <c r="EH7" s="578"/>
      <c r="EI7" s="578"/>
      <c r="EJ7" s="578"/>
      <c r="EK7" s="578"/>
      <c r="EL7" s="578"/>
      <c r="EM7" s="578"/>
    </row>
    <row r="8" spans="1:409" s="579" customFormat="1" ht="15.75">
      <c r="A8" s="1796" t="s">
        <v>256</v>
      </c>
      <c r="B8" s="1796"/>
      <c r="C8" s="1796"/>
      <c r="D8" s="1796"/>
      <c r="E8" s="1796"/>
      <c r="F8" s="1796"/>
      <c r="G8" s="1796"/>
      <c r="H8" s="1796"/>
      <c r="I8" s="1796"/>
      <c r="J8" s="34"/>
      <c r="K8" s="34"/>
      <c r="L8" s="34"/>
      <c r="M8" s="34"/>
      <c r="N8" s="34"/>
      <c r="O8" s="34"/>
      <c r="P8" s="34"/>
      <c r="Q8" s="34"/>
      <c r="R8" s="34"/>
      <c r="S8" s="580"/>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8"/>
      <c r="BS8" s="578"/>
      <c r="BT8" s="578"/>
      <c r="BU8" s="578"/>
      <c r="BV8" s="578"/>
      <c r="BW8" s="578"/>
      <c r="BX8" s="578"/>
      <c r="BY8" s="578"/>
      <c r="BZ8" s="578"/>
      <c r="CA8" s="578"/>
      <c r="CB8" s="578"/>
      <c r="CC8" s="578"/>
      <c r="CD8" s="578"/>
      <c r="CE8" s="578"/>
      <c r="CF8" s="578"/>
      <c r="CG8" s="578"/>
      <c r="CH8" s="578"/>
      <c r="CI8" s="578"/>
      <c r="CJ8" s="578"/>
      <c r="CK8" s="578"/>
      <c r="CL8" s="578"/>
      <c r="CM8" s="578"/>
      <c r="CN8" s="578"/>
      <c r="CO8" s="578"/>
      <c r="CP8" s="578"/>
      <c r="CQ8" s="578"/>
      <c r="CR8" s="578"/>
      <c r="CS8" s="578"/>
      <c r="CT8" s="578"/>
      <c r="CU8" s="578"/>
      <c r="CV8" s="578"/>
      <c r="CW8" s="578"/>
      <c r="CX8" s="578"/>
      <c r="CY8" s="578"/>
      <c r="CZ8" s="578"/>
      <c r="DA8" s="578"/>
      <c r="DB8" s="578"/>
      <c r="DC8" s="578"/>
      <c r="DD8" s="578"/>
      <c r="DE8" s="578"/>
      <c r="DF8" s="578"/>
      <c r="DG8" s="578"/>
      <c r="DH8" s="578"/>
      <c r="DI8" s="578"/>
      <c r="DJ8" s="578"/>
      <c r="DK8" s="578"/>
      <c r="DL8" s="578"/>
      <c r="DM8" s="578"/>
      <c r="DN8" s="578"/>
      <c r="DO8" s="578"/>
      <c r="DP8" s="578"/>
      <c r="DQ8" s="578"/>
      <c r="DR8" s="578"/>
      <c r="DS8" s="578"/>
      <c r="DT8" s="578"/>
      <c r="DU8" s="578"/>
      <c r="DV8" s="578"/>
      <c r="DW8" s="578"/>
      <c r="DX8" s="578"/>
      <c r="DY8" s="578"/>
      <c r="DZ8" s="578"/>
      <c r="EA8" s="578"/>
      <c r="EB8" s="578"/>
      <c r="EC8" s="578"/>
      <c r="ED8" s="578"/>
      <c r="EE8" s="578"/>
      <c r="EF8" s="578"/>
      <c r="EG8" s="578"/>
      <c r="EH8" s="578"/>
      <c r="EI8" s="578"/>
      <c r="EJ8" s="578"/>
      <c r="EK8" s="578"/>
      <c r="EL8" s="578"/>
      <c r="EM8" s="578"/>
    </row>
    <row r="9" spans="1:409" s="160" customFormat="1" ht="14.25">
      <c r="A9" s="579"/>
      <c r="B9" s="581"/>
      <c r="C9" s="34"/>
      <c r="D9" s="34"/>
      <c r="E9" s="582"/>
      <c r="F9" s="34"/>
      <c r="G9" s="34"/>
      <c r="H9" s="62"/>
      <c r="I9" s="34"/>
    </row>
    <row r="10" spans="1:409">
      <c r="A10" s="160"/>
      <c r="B10" s="1397" t="s">
        <v>192</v>
      </c>
      <c r="C10" s="162"/>
      <c r="D10" s="1397" t="s">
        <v>193</v>
      </c>
      <c r="E10" s="161"/>
      <c r="F10" s="1397" t="s">
        <v>194</v>
      </c>
      <c r="G10" s="161"/>
      <c r="H10" s="1397" t="s">
        <v>195</v>
      </c>
      <c r="I10" s="161"/>
    </row>
    <row r="11" spans="1:409" s="587" customFormat="1" ht="15">
      <c r="A11" s="583"/>
      <c r="B11" s="583"/>
      <c r="C11" s="583"/>
      <c r="D11" s="584"/>
      <c r="E11" s="584"/>
      <c r="F11" s="584"/>
      <c r="G11" s="584"/>
      <c r="H11" s="584"/>
      <c r="I11" s="584"/>
      <c r="J11" s="47"/>
      <c r="K11" s="47"/>
      <c r="L11" s="47"/>
      <c r="M11" s="47"/>
      <c r="N11" s="47"/>
      <c r="O11" s="47"/>
      <c r="P11" s="585"/>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6"/>
      <c r="BX11" s="586"/>
      <c r="BY11" s="586"/>
      <c r="BZ11" s="586"/>
      <c r="CA11" s="586"/>
      <c r="CB11" s="586"/>
      <c r="CC11" s="586"/>
      <c r="CD11" s="586"/>
      <c r="CE11" s="586"/>
      <c r="CF11" s="586"/>
      <c r="CG11" s="586"/>
      <c r="CH11" s="586"/>
      <c r="CI11" s="586"/>
      <c r="CJ11" s="586"/>
      <c r="CK11" s="586"/>
      <c r="CL11" s="586"/>
      <c r="CM11" s="586"/>
      <c r="CN11" s="586"/>
      <c r="CO11" s="586"/>
      <c r="CP11" s="586"/>
      <c r="CQ11" s="586"/>
      <c r="CR11" s="586"/>
      <c r="CS11" s="586"/>
      <c r="CT11" s="586"/>
      <c r="CU11" s="586"/>
      <c r="CV11" s="586"/>
      <c r="CW11" s="586"/>
      <c r="CX11" s="586"/>
      <c r="CY11" s="586"/>
      <c r="CZ11" s="586"/>
      <c r="DA11" s="586"/>
      <c r="DB11" s="586"/>
      <c r="DC11" s="586"/>
      <c r="DD11" s="586"/>
      <c r="DE11" s="586"/>
      <c r="DF11" s="586"/>
      <c r="DG11" s="586"/>
      <c r="DH11" s="586"/>
      <c r="DI11" s="586"/>
      <c r="DJ11" s="586"/>
      <c r="DK11" s="586"/>
      <c r="DL11" s="586"/>
      <c r="DM11" s="586"/>
      <c r="DN11" s="586"/>
      <c r="DO11" s="586"/>
      <c r="DP11" s="586"/>
      <c r="DQ11" s="586"/>
      <c r="DR11" s="586"/>
      <c r="DS11" s="586"/>
      <c r="DT11" s="586"/>
      <c r="DU11" s="586"/>
      <c r="DV11" s="586"/>
      <c r="DW11" s="586"/>
      <c r="DX11" s="586"/>
      <c r="DY11" s="586"/>
      <c r="DZ11" s="586"/>
      <c r="EA11" s="586"/>
      <c r="EB11" s="586"/>
      <c r="EC11" s="586"/>
      <c r="ED11" s="586"/>
      <c r="EE11" s="586"/>
      <c r="EF11" s="586"/>
      <c r="EG11" s="586"/>
      <c r="EH11" s="586"/>
      <c r="EI11" s="586"/>
      <c r="EJ11" s="586"/>
    </row>
    <row r="12" spans="1:409" s="480" customFormat="1" ht="21" customHeight="1">
      <c r="A12" s="587"/>
      <c r="B12" s="588" t="s">
        <v>169</v>
      </c>
      <c r="C12" s="588"/>
      <c r="D12" s="589"/>
      <c r="E12" s="589"/>
      <c r="F12" s="589" t="s">
        <v>321</v>
      </c>
      <c r="G12" s="589"/>
      <c r="H12" s="590"/>
      <c r="I12" s="591"/>
    </row>
    <row r="13" spans="1:409" s="480" customFormat="1" ht="21" customHeight="1" thickBot="1">
      <c r="B13" s="592" t="s">
        <v>1122</v>
      </c>
      <c r="C13" s="588"/>
      <c r="D13" s="592" t="s">
        <v>231</v>
      </c>
      <c r="E13" s="589"/>
      <c r="F13" s="592" t="s">
        <v>376</v>
      </c>
      <c r="G13" s="589"/>
      <c r="H13" s="593" t="s">
        <v>147</v>
      </c>
      <c r="I13" s="591"/>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100"/>
      <c r="NJ13" s="100"/>
      <c r="NK13" s="100"/>
      <c r="NL13" s="100"/>
      <c r="NM13" s="100"/>
      <c r="NN13" s="100"/>
      <c r="NO13" s="100"/>
      <c r="NP13" s="100"/>
      <c r="NQ13" s="100"/>
      <c r="NR13" s="100"/>
      <c r="NS13" s="100"/>
      <c r="NT13" s="100"/>
      <c r="NU13" s="100"/>
      <c r="NV13" s="100"/>
      <c r="NW13" s="100"/>
      <c r="NX13" s="100"/>
      <c r="NY13" s="100"/>
      <c r="NZ13" s="100"/>
      <c r="OA13" s="100"/>
      <c r="OB13" s="100"/>
      <c r="OC13" s="100"/>
      <c r="OD13" s="100"/>
      <c r="OE13" s="100"/>
      <c r="OF13" s="100"/>
      <c r="OG13" s="100"/>
      <c r="OH13" s="100"/>
      <c r="OI13" s="100"/>
      <c r="OJ13" s="100"/>
      <c r="OK13" s="100"/>
      <c r="OL13" s="100"/>
      <c r="OM13" s="100"/>
      <c r="ON13" s="100"/>
      <c r="OO13" s="100"/>
      <c r="OP13" s="100"/>
      <c r="OQ13" s="100"/>
      <c r="OR13" s="100"/>
      <c r="OS13" s="100"/>
    </row>
    <row r="14" spans="1:409" s="480" customFormat="1" ht="15.75">
      <c r="A14" s="480" t="s">
        <v>471</v>
      </c>
      <c r="B14" s="594" t="s">
        <v>305</v>
      </c>
      <c r="C14" s="588"/>
      <c r="D14" s="595" t="s">
        <v>65</v>
      </c>
      <c r="E14" s="589"/>
      <c r="F14" s="682">
        <v>14837931.74</v>
      </c>
      <c r="G14" s="589"/>
      <c r="H14" s="1622">
        <f>IF(F$36=0,0,F14/$F$36)</f>
        <v>0.10790366848015748</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c r="NK14" s="100"/>
      <c r="NL14" s="100"/>
      <c r="NM14" s="100"/>
      <c r="NN14" s="100"/>
      <c r="NO14" s="100"/>
      <c r="NP14" s="100"/>
      <c r="NQ14" s="100"/>
      <c r="NR14" s="100"/>
      <c r="NS14" s="100"/>
      <c r="NT14" s="100"/>
      <c r="NU14" s="100"/>
      <c r="NV14" s="100"/>
      <c r="NW14" s="100"/>
      <c r="NX14" s="100"/>
      <c r="NY14" s="100"/>
      <c r="NZ14" s="100"/>
      <c r="OA14" s="100"/>
      <c r="OB14" s="100"/>
      <c r="OC14" s="100"/>
      <c r="OD14" s="100"/>
      <c r="OE14" s="100"/>
      <c r="OF14" s="100"/>
      <c r="OG14" s="100"/>
      <c r="OH14" s="100"/>
      <c r="OI14" s="100"/>
      <c r="OJ14" s="100"/>
      <c r="OK14" s="100"/>
      <c r="OL14" s="100"/>
      <c r="OM14" s="100"/>
      <c r="ON14" s="100"/>
      <c r="OO14" s="100"/>
      <c r="OP14" s="100"/>
      <c r="OQ14" s="100"/>
      <c r="OR14" s="100"/>
      <c r="OS14" s="100"/>
    </row>
    <row r="15" spans="1:409" s="480" customFormat="1" ht="15.75">
      <c r="A15" s="480" t="s">
        <v>473</v>
      </c>
      <c r="B15" s="594" t="s">
        <v>306</v>
      </c>
      <c r="C15" s="594"/>
      <c r="D15" s="595" t="s">
        <v>63</v>
      </c>
      <c r="E15" s="589"/>
      <c r="F15" s="682">
        <v>19544416.870000001</v>
      </c>
      <c r="G15" s="596"/>
      <c r="H15" s="1622">
        <f>IF(F$36=0,0,F15/$F$36)</f>
        <v>0.14212993532604545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100"/>
      <c r="JO15" s="100"/>
      <c r="JP15" s="100"/>
      <c r="JQ15" s="100"/>
      <c r="JR15" s="100"/>
      <c r="JS15" s="100"/>
      <c r="JT15" s="100"/>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00"/>
      <c r="NH15" s="100"/>
      <c r="NI15" s="100"/>
      <c r="NJ15" s="100"/>
      <c r="NK15" s="100"/>
      <c r="NL15" s="100"/>
      <c r="NM15" s="100"/>
      <c r="NN15" s="100"/>
      <c r="NO15" s="100"/>
      <c r="NP15" s="100"/>
      <c r="NQ15" s="100"/>
      <c r="NR15" s="100"/>
      <c r="NS15" s="100"/>
      <c r="NT15" s="100"/>
      <c r="NU15" s="100"/>
      <c r="NV15" s="100"/>
      <c r="NW15" s="100"/>
      <c r="NX15" s="100"/>
      <c r="NY15" s="100"/>
      <c r="NZ15" s="100"/>
      <c r="OA15" s="100"/>
      <c r="OB15" s="100"/>
      <c r="OC15" s="100"/>
      <c r="OD15" s="100"/>
      <c r="OE15" s="100"/>
      <c r="OF15" s="100"/>
      <c r="OG15" s="100"/>
      <c r="OH15" s="100"/>
      <c r="OI15" s="100"/>
      <c r="OJ15" s="100"/>
      <c r="OK15" s="100"/>
      <c r="OL15" s="100"/>
      <c r="OM15" s="100"/>
      <c r="ON15" s="100"/>
      <c r="OO15" s="100"/>
      <c r="OP15" s="100"/>
      <c r="OQ15" s="100"/>
      <c r="OR15" s="100"/>
      <c r="OS15" s="100"/>
    </row>
    <row r="16" spans="1:409" s="480" customFormat="1" ht="15.75">
      <c r="A16" s="480" t="s">
        <v>494</v>
      </c>
      <c r="B16" s="594" t="s">
        <v>307</v>
      </c>
      <c r="C16" s="594"/>
      <c r="D16" s="595" t="s">
        <v>64</v>
      </c>
      <c r="E16" s="597"/>
      <c r="F16" s="682">
        <v>34475501.700000003</v>
      </c>
      <c r="G16" s="596"/>
      <c r="H16" s="1622">
        <f>IF(F$36=0,0,F16/$F$36)</f>
        <v>0.25071102706959253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100"/>
      <c r="NF16" s="100"/>
      <c r="NG16" s="100"/>
      <c r="NH16" s="100"/>
      <c r="NI16" s="100"/>
      <c r="NJ16" s="100"/>
      <c r="NK16" s="100"/>
      <c r="NL16" s="100"/>
      <c r="NM16" s="100"/>
      <c r="NN16" s="100"/>
      <c r="NO16" s="100"/>
      <c r="NP16" s="100"/>
      <c r="NQ16" s="100"/>
      <c r="NR16" s="100"/>
      <c r="NS16" s="100"/>
      <c r="NT16" s="100"/>
      <c r="NU16" s="100"/>
      <c r="NV16" s="100"/>
      <c r="NW16" s="100"/>
      <c r="NX16" s="100"/>
      <c r="NY16" s="100"/>
      <c r="NZ16" s="100"/>
      <c r="OA16" s="100"/>
      <c r="OB16" s="100"/>
      <c r="OC16" s="100"/>
      <c r="OD16" s="100"/>
      <c r="OE16" s="100"/>
      <c r="OF16" s="100"/>
      <c r="OG16" s="100"/>
      <c r="OH16" s="100"/>
      <c r="OI16" s="100"/>
      <c r="OJ16" s="100"/>
      <c r="OK16" s="100"/>
      <c r="OL16" s="100"/>
      <c r="OM16" s="100"/>
      <c r="ON16" s="100"/>
      <c r="OO16" s="100"/>
      <c r="OP16" s="100"/>
      <c r="OQ16" s="100"/>
      <c r="OR16" s="100"/>
      <c r="OS16" s="100"/>
    </row>
    <row r="17" spans="1:75" s="480" customFormat="1" ht="15.75">
      <c r="A17" s="480" t="s">
        <v>495</v>
      </c>
      <c r="B17" s="594" t="s">
        <v>308</v>
      </c>
      <c r="C17" s="594"/>
      <c r="D17" s="595" t="s">
        <v>86</v>
      </c>
      <c r="E17" s="597"/>
      <c r="F17" s="682">
        <v>0</v>
      </c>
      <c r="G17" s="596"/>
      <c r="H17" s="1622">
        <f>IF(F$36=0,0,F17/$F$36)</f>
        <v>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row>
    <row r="18" spans="1:75" s="480" customFormat="1" ht="15.75">
      <c r="A18" s="480" t="s">
        <v>496</v>
      </c>
      <c r="B18" s="594" t="s">
        <v>310</v>
      </c>
      <c r="C18" s="594"/>
      <c r="D18" s="595" t="s">
        <v>220</v>
      </c>
      <c r="E18" s="597"/>
      <c r="F18" s="682">
        <v>4427832.51</v>
      </c>
      <c r="G18" s="596"/>
      <c r="H18" s="1622">
        <f>IF(F$36=0,0,F18/$F$36)</f>
        <v>3.2199863135689524E-2</v>
      </c>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row>
    <row r="19" spans="1:75" s="480" customFormat="1" ht="15.75">
      <c r="A19" s="480" t="s">
        <v>497</v>
      </c>
      <c r="B19" s="594"/>
      <c r="C19" s="594"/>
      <c r="D19" s="595"/>
      <c r="E19" s="597"/>
      <c r="F19" s="682"/>
      <c r="G19" s="596"/>
      <c r="H19" s="1622"/>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row>
    <row r="20" spans="1:75" s="480" customFormat="1" ht="15.75">
      <c r="A20" s="480" t="s">
        <v>498</v>
      </c>
      <c r="B20" s="594">
        <v>122</v>
      </c>
      <c r="C20" s="594"/>
      <c r="D20" s="595" t="s">
        <v>325</v>
      </c>
      <c r="E20" s="597"/>
      <c r="F20" s="682">
        <v>807190.69</v>
      </c>
      <c r="G20" s="596"/>
      <c r="H20" s="1622">
        <f>IF(F$36=0,0,F20/$F$36)</f>
        <v>5.8700119491201788E-3</v>
      </c>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row>
    <row r="21" spans="1:75" s="480" customFormat="1" ht="15.75">
      <c r="A21" s="480" t="s">
        <v>499</v>
      </c>
      <c r="B21" s="594"/>
      <c r="C21" s="598"/>
      <c r="D21" s="595"/>
      <c r="E21" s="597"/>
      <c r="F21" s="682"/>
      <c r="G21" s="596"/>
      <c r="H21" s="1622"/>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row>
    <row r="22" spans="1:75" s="480" customFormat="1" ht="15.75">
      <c r="A22" s="480" t="s">
        <v>500</v>
      </c>
      <c r="B22" s="594" t="s">
        <v>326</v>
      </c>
      <c r="D22" s="595" t="s">
        <v>322</v>
      </c>
      <c r="F22" s="682">
        <v>3507709.4099999997</v>
      </c>
      <c r="G22" s="596"/>
      <c r="H22" s="1622">
        <f>IF(F$36=0,0,F22/$F$36)</f>
        <v>2.5508589737006621E-2</v>
      </c>
      <c r="I22" s="100"/>
    </row>
    <row r="23" spans="1:75" s="480" customFormat="1" ht="15.75">
      <c r="A23" s="480" t="s">
        <v>501</v>
      </c>
      <c r="B23" s="594"/>
      <c r="C23" s="598"/>
      <c r="D23" s="595"/>
      <c r="E23" s="599"/>
      <c r="F23" s="682"/>
      <c r="G23" s="596"/>
      <c r="H23" s="1622"/>
      <c r="I23" s="100"/>
    </row>
    <row r="24" spans="1:75" s="480" customFormat="1" ht="15.75">
      <c r="A24" s="480" t="s">
        <v>502</v>
      </c>
      <c r="B24" s="594" t="s">
        <v>327</v>
      </c>
      <c r="D24" s="595" t="s">
        <v>329</v>
      </c>
      <c r="F24" s="683">
        <v>2333371</v>
      </c>
      <c r="G24" s="596"/>
      <c r="H24" s="1622">
        <f>IF(F$36=0,0,F24/$F$36)</f>
        <v>1.6968624417274314E-2</v>
      </c>
      <c r="I24" s="100"/>
    </row>
    <row r="25" spans="1:75" s="480" customFormat="1" ht="15.75">
      <c r="A25" s="480" t="s">
        <v>503</v>
      </c>
      <c r="B25" s="594"/>
      <c r="C25" s="594"/>
      <c r="D25" s="595"/>
      <c r="F25" s="683"/>
      <c r="G25" s="596"/>
      <c r="H25" s="1622"/>
      <c r="I25" s="100"/>
    </row>
    <row r="26" spans="1:75" s="480" customFormat="1" ht="15.75">
      <c r="A26" s="480" t="s">
        <v>505</v>
      </c>
      <c r="B26" s="594" t="s">
        <v>309</v>
      </c>
      <c r="C26" s="594"/>
      <c r="D26" s="595" t="s">
        <v>355</v>
      </c>
      <c r="E26" s="597"/>
      <c r="F26" s="683">
        <v>11458277.15</v>
      </c>
      <c r="G26" s="596"/>
      <c r="H26" s="1622">
        <f>IF(F$36=0,0,F26/$F$36)</f>
        <v>8.3326312629833116E-2</v>
      </c>
      <c r="I26" s="100"/>
    </row>
    <row r="27" spans="1:75" s="480" customFormat="1" ht="16.5" thickBot="1">
      <c r="A27" s="480" t="s">
        <v>504</v>
      </c>
      <c r="B27" s="594"/>
      <c r="C27" s="594"/>
      <c r="D27" s="595"/>
      <c r="E27" s="597"/>
      <c r="F27" s="682"/>
      <c r="G27" s="596"/>
      <c r="H27" s="1622"/>
      <c r="I27" s="100"/>
    </row>
    <row r="28" spans="1:75" s="480" customFormat="1" ht="16.5" thickBot="1">
      <c r="A28" s="480" t="s">
        <v>506</v>
      </c>
      <c r="B28" s="600" t="s">
        <v>328</v>
      </c>
      <c r="D28" s="595" t="s">
        <v>245</v>
      </c>
      <c r="F28" s="682">
        <v>40569708.819999993</v>
      </c>
      <c r="G28" s="601"/>
      <c r="H28" s="1556">
        <f>IF(F$36=0,0,F28/$F$36)</f>
        <v>0.29502901668219966</v>
      </c>
      <c r="I28" s="100"/>
    </row>
    <row r="29" spans="1:75" s="480" customFormat="1" ht="15.75">
      <c r="A29" s="480" t="s">
        <v>1169</v>
      </c>
      <c r="B29" s="600"/>
      <c r="D29" s="595"/>
      <c r="F29" s="682"/>
      <c r="G29" s="601"/>
      <c r="H29" s="1623"/>
      <c r="I29" s="100"/>
    </row>
    <row r="30" spans="1:75" s="480" customFormat="1" ht="15.75">
      <c r="A30" s="480" t="s">
        <v>1170</v>
      </c>
      <c r="B30" s="600">
        <v>321</v>
      </c>
      <c r="D30" s="595" t="s">
        <v>761</v>
      </c>
      <c r="F30" s="682">
        <v>1868009.27</v>
      </c>
      <c r="G30" s="601"/>
      <c r="H30" s="1622">
        <f>IF(F$36=0,0,F30/$F$36)</f>
        <v>1.3584444012810979E-2</v>
      </c>
      <c r="I30" s="100"/>
    </row>
    <row r="31" spans="1:75" s="480" customFormat="1" ht="15.75">
      <c r="A31" s="480" t="s">
        <v>1171</v>
      </c>
      <c r="D31" s="595"/>
      <c r="F31" s="682"/>
      <c r="G31" s="601"/>
      <c r="H31" s="1623"/>
      <c r="I31" s="100"/>
    </row>
    <row r="32" spans="1:75" s="480" customFormat="1" ht="15.75">
      <c r="A32" s="480" t="s">
        <v>1172</v>
      </c>
      <c r="B32" s="600">
        <v>600</v>
      </c>
      <c r="D32" s="595" t="s">
        <v>219</v>
      </c>
      <c r="F32" s="682">
        <v>3680961.72</v>
      </c>
      <c r="G32" s="601"/>
      <c r="H32" s="1622">
        <f>IF(F$36=0,0,F32/$F$36)</f>
        <v>2.6768506560270123E-2</v>
      </c>
      <c r="I32" s="100"/>
    </row>
    <row r="33" spans="1:9" s="480" customFormat="1" ht="15.75">
      <c r="B33" s="603"/>
      <c r="C33" s="603"/>
      <c r="D33" s="1413"/>
      <c r="F33" s="683"/>
      <c r="G33" s="601"/>
      <c r="H33" s="604"/>
      <c r="I33" s="100"/>
    </row>
    <row r="34" spans="1:9" s="480" customFormat="1" ht="16.5" thickBot="1">
      <c r="A34" s="1455" t="s">
        <v>541</v>
      </c>
      <c r="B34" s="1456" t="s">
        <v>1166</v>
      </c>
      <c r="C34" s="603"/>
      <c r="D34" s="1415" t="s">
        <v>1166</v>
      </c>
      <c r="F34" s="1415"/>
      <c r="G34" s="601"/>
      <c r="H34" s="1414" t="s">
        <v>1166</v>
      </c>
      <c r="I34" s="100"/>
    </row>
    <row r="35" spans="1:9" s="480" customFormat="1" ht="15.75">
      <c r="D35" s="595"/>
      <c r="F35" s="547"/>
      <c r="G35" s="601"/>
      <c r="H35" s="602"/>
      <c r="I35" s="100"/>
    </row>
    <row r="36" spans="1:9" s="480" customFormat="1" ht="15.75">
      <c r="D36" s="595" t="s">
        <v>323</v>
      </c>
      <c r="E36" s="595"/>
      <c r="F36" s="547">
        <f>SUM(F14:F32)</f>
        <v>137510910.88</v>
      </c>
      <c r="G36" s="596"/>
      <c r="H36" s="1624">
        <f>SUM(H14:H32)</f>
        <v>1</v>
      </c>
      <c r="I36" s="100"/>
    </row>
    <row r="37" spans="1:9" s="480" customFormat="1" ht="9.75" customHeight="1">
      <c r="F37" s="471"/>
      <c r="H37" s="1622"/>
      <c r="I37" s="100"/>
    </row>
    <row r="38" spans="1:9" s="605" customFormat="1" ht="15.75">
      <c r="A38" s="480"/>
      <c r="B38" s="480"/>
      <c r="C38" s="480"/>
      <c r="D38" s="595" t="s">
        <v>324</v>
      </c>
      <c r="E38" s="480"/>
      <c r="F38" s="547">
        <f>F36-F28</f>
        <v>96941202.060000002</v>
      </c>
      <c r="G38" s="596"/>
      <c r="H38" s="1622">
        <f>IF(F$36=0,0,F38/$F$36)</f>
        <v>0.70497098331780028</v>
      </c>
      <c r="I38" s="100"/>
    </row>
    <row r="39" spans="1:9">
      <c r="A39" s="605"/>
      <c r="B39" s="605"/>
      <c r="C39" s="605"/>
      <c r="D39" s="605"/>
      <c r="E39" s="605"/>
      <c r="F39" s="495"/>
      <c r="G39" s="605"/>
      <c r="H39" s="605"/>
      <c r="I39" s="27"/>
    </row>
    <row r="40" spans="1:9">
      <c r="F40" s="495"/>
    </row>
  </sheetData>
  <customSheetViews>
    <customSheetView guid="{B321D76C-CDE5-48BB-9CDE-80FF97D58FCF}" showPageBreaks="1" fitToPage="1" printArea="1" view="pageBreakPreview" topLeftCell="A9">
      <selection activeCell="D33" sqref="D33"/>
      <pageMargins left="0.2" right="0.2" top="0.25" bottom="0.25" header="0.3" footer="0.3"/>
      <printOptions horizontalCentered="1"/>
      <pageSetup scale="92" orientation="landscape" r:id="rId1"/>
    </customSheetView>
  </customSheetViews>
  <mergeCells count="5">
    <mergeCell ref="A3:I3"/>
    <mergeCell ref="A4:I4"/>
    <mergeCell ref="A5:I5"/>
    <mergeCell ref="A7:I7"/>
    <mergeCell ref="A8:I8"/>
  </mergeCells>
  <printOptions horizontalCentered="1"/>
  <pageMargins left="0.2" right="0.2" top="0.25" bottom="0.25" header="0.3" footer="0.3"/>
  <pageSetup scale="91" orientation="landscape"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66FF"/>
    <pageSetUpPr fitToPage="1"/>
  </sheetPr>
  <dimension ref="A1:L64"/>
  <sheetViews>
    <sheetView tabSelected="1" view="pageBreakPreview" topLeftCell="A33" zoomScaleNormal="90" zoomScaleSheetLayoutView="100" workbookViewId="0">
      <selection activeCell="C30" sqref="C30"/>
    </sheetView>
  </sheetViews>
  <sheetFormatPr defaultColWidth="9" defaultRowHeight="12"/>
  <cols>
    <col min="1" max="1" width="8.75" style="13" customWidth="1"/>
    <col min="2" max="2" width="3.125" style="13" customWidth="1"/>
    <col min="3" max="3" width="3.75" style="13" customWidth="1"/>
    <col min="4" max="4" width="7" style="13" customWidth="1"/>
    <col min="5" max="5" width="29" style="13" customWidth="1"/>
    <col min="6" max="6" width="9.75" style="13" customWidth="1"/>
    <col min="7" max="7" width="11.375" style="13" customWidth="1"/>
    <col min="8" max="8" width="10.5" style="13" customWidth="1"/>
    <col min="9" max="9" width="2.75" style="13" customWidth="1"/>
    <col min="10" max="10" width="12.25" style="13" customWidth="1"/>
    <col min="11" max="11" width="29.125" style="13" customWidth="1"/>
    <col min="12" max="16384" width="9" style="13"/>
  </cols>
  <sheetData>
    <row r="1" spans="1:12" s="17" customFormat="1" ht="15.75">
      <c r="A1" s="14" t="s">
        <v>987</v>
      </c>
      <c r="C1" s="20"/>
      <c r="D1" s="66"/>
      <c r="E1" s="20"/>
      <c r="F1" s="20"/>
      <c r="G1" s="20"/>
      <c r="J1" s="67"/>
    </row>
    <row r="2" spans="1:12" ht="18">
      <c r="B2" s="12"/>
      <c r="C2" s="11"/>
      <c r="D2" s="43"/>
      <c r="E2" s="11"/>
      <c r="F2" s="11"/>
      <c r="G2" s="11"/>
      <c r="H2" s="11"/>
      <c r="I2" s="11"/>
      <c r="J2" s="645"/>
    </row>
    <row r="3" spans="1:12" ht="18">
      <c r="A3" s="1788" t="s">
        <v>200</v>
      </c>
      <c r="B3" s="1788"/>
      <c r="C3" s="1788"/>
      <c r="D3" s="1788"/>
      <c r="E3" s="1788"/>
      <c r="F3" s="1788"/>
      <c r="G3" s="1788"/>
      <c r="H3" s="1788"/>
      <c r="I3" s="1788"/>
      <c r="J3" s="1788"/>
    </row>
    <row r="4" spans="1:12" ht="18">
      <c r="A4" s="1788" t="s">
        <v>103</v>
      </c>
      <c r="B4" s="1788"/>
      <c r="C4" s="1788"/>
      <c r="D4" s="1788"/>
      <c r="E4" s="1788"/>
      <c r="F4" s="1788"/>
      <c r="G4" s="1788"/>
      <c r="H4" s="1788"/>
      <c r="I4" s="1788"/>
      <c r="J4" s="1788"/>
    </row>
    <row r="5" spans="1:12" ht="18">
      <c r="A5" s="1789" t="str">
        <f>SUMMARY!A7</f>
        <v>YEAR ENDING DECEMBER 31, 2018</v>
      </c>
      <c r="B5" s="1789"/>
      <c r="C5" s="1789"/>
      <c r="D5" s="1789"/>
      <c r="E5" s="1789"/>
      <c r="F5" s="1789"/>
      <c r="G5" s="1789"/>
      <c r="H5" s="1789"/>
      <c r="I5" s="1789"/>
      <c r="J5" s="1789"/>
    </row>
    <row r="6" spans="1:12" ht="18">
      <c r="A6" s="11"/>
      <c r="C6" s="11"/>
      <c r="D6" s="23"/>
      <c r="E6" s="11"/>
      <c r="F6" s="11"/>
      <c r="G6" s="11"/>
      <c r="H6" s="11"/>
      <c r="I6" s="11"/>
      <c r="J6" s="11"/>
    </row>
    <row r="7" spans="1:12" ht="18">
      <c r="A7" s="1790" t="s">
        <v>994</v>
      </c>
      <c r="B7" s="1790"/>
      <c r="C7" s="1790"/>
      <c r="D7" s="1790"/>
      <c r="E7" s="1790"/>
      <c r="F7" s="1790"/>
      <c r="G7" s="1790"/>
      <c r="H7" s="1790"/>
      <c r="I7" s="1790"/>
      <c r="J7" s="1790"/>
    </row>
    <row r="8" spans="1:12" ht="16.899999999999999" customHeight="1">
      <c r="A8" s="1865" t="s">
        <v>772</v>
      </c>
      <c r="B8" s="1865"/>
      <c r="C8" s="1865"/>
      <c r="D8" s="1865"/>
      <c r="E8" s="1865"/>
      <c r="F8" s="1865"/>
      <c r="G8" s="1865"/>
      <c r="H8" s="1865"/>
      <c r="I8" s="1865"/>
      <c r="J8" s="1865"/>
    </row>
    <row r="9" spans="1:12" s="51" customFormat="1" ht="15.75">
      <c r="A9" s="1866" t="s">
        <v>1071</v>
      </c>
      <c r="B9" s="1866"/>
      <c r="C9" s="1866"/>
      <c r="D9" s="1866"/>
      <c r="E9" s="1866"/>
      <c r="F9" s="1866"/>
      <c r="G9" s="1866"/>
      <c r="H9" s="1866"/>
      <c r="I9" s="1866"/>
      <c r="J9" s="1866"/>
    </row>
    <row r="10" spans="1:12" s="51" customFormat="1" ht="15.75">
      <c r="B10" s="54"/>
      <c r="D10" s="52"/>
      <c r="E10" s="53"/>
      <c r="F10" s="53"/>
      <c r="H10" s="55"/>
    </row>
    <row r="11" spans="1:12" s="51" customFormat="1" ht="13.15" customHeight="1">
      <c r="D11" s="52"/>
      <c r="E11" s="1397"/>
      <c r="F11" s="53"/>
      <c r="G11" s="1397"/>
      <c r="H11" s="1397"/>
    </row>
    <row r="12" spans="1:12" s="51" customFormat="1" ht="15.75">
      <c r="B12" s="56"/>
      <c r="C12" s="72"/>
      <c r="D12" s="73"/>
      <c r="E12" s="74"/>
      <c r="F12" s="74"/>
      <c r="G12" s="482" t="s">
        <v>433</v>
      </c>
      <c r="H12" s="482" t="s">
        <v>433</v>
      </c>
    </row>
    <row r="13" spans="1:12" s="51" customFormat="1" ht="15.75">
      <c r="B13" s="1864" t="s">
        <v>104</v>
      </c>
      <c r="C13" s="1864"/>
      <c r="D13" s="1864"/>
      <c r="E13" s="1864"/>
      <c r="F13" s="75"/>
      <c r="G13" s="825" t="s">
        <v>2037</v>
      </c>
      <c r="H13" s="825" t="s">
        <v>1851</v>
      </c>
    </row>
    <row r="14" spans="1:12" s="51" customFormat="1" ht="13.15" customHeight="1">
      <c r="B14" s="1862" t="s">
        <v>192</v>
      </c>
      <c r="C14" s="1863"/>
      <c r="D14" s="1863"/>
      <c r="E14" s="1863"/>
      <c r="F14" s="119"/>
      <c r="G14" s="1416" t="s">
        <v>193</v>
      </c>
      <c r="H14" s="1416" t="s">
        <v>194</v>
      </c>
      <c r="K14" s="57"/>
      <c r="L14" s="57"/>
    </row>
    <row r="15" spans="1:12" s="27" customFormat="1" ht="12.75"/>
    <row r="16" spans="1:12" s="27" customFormat="1" ht="12.75">
      <c r="A16" s="274">
        <v>1</v>
      </c>
      <c r="C16" s="816" t="s">
        <v>222</v>
      </c>
    </row>
    <row r="17" spans="1:8" s="27" customFormat="1" ht="12.75">
      <c r="A17" s="1417" t="s">
        <v>471</v>
      </c>
      <c r="D17" s="27" t="s">
        <v>625</v>
      </c>
      <c r="G17" s="1277">
        <v>1812</v>
      </c>
      <c r="H17" s="1277">
        <v>1745</v>
      </c>
    </row>
    <row r="18" spans="1:8" s="27" customFormat="1" ht="12.75">
      <c r="A18" s="1417" t="s">
        <v>473</v>
      </c>
      <c r="D18" s="27" t="s">
        <v>626</v>
      </c>
      <c r="G18" s="1277">
        <v>202</v>
      </c>
      <c r="H18" s="1277">
        <v>189</v>
      </c>
    </row>
    <row r="19" spans="1:8" s="27" customFormat="1" ht="12.75">
      <c r="A19" s="1417" t="s">
        <v>494</v>
      </c>
      <c r="D19" s="27" t="s">
        <v>627</v>
      </c>
      <c r="G19" s="1277">
        <v>654</v>
      </c>
      <c r="H19" s="1277">
        <v>618</v>
      </c>
    </row>
    <row r="20" spans="1:8" s="27" customFormat="1" ht="12.75">
      <c r="A20" s="1417"/>
      <c r="D20" s="27" t="s">
        <v>67</v>
      </c>
      <c r="G20" s="1277">
        <v>21</v>
      </c>
      <c r="H20" s="1277">
        <v>21</v>
      </c>
    </row>
    <row r="21" spans="1:8" s="27" customFormat="1" ht="12.75">
      <c r="A21" s="1417" t="s">
        <v>541</v>
      </c>
      <c r="D21" s="1471" t="s">
        <v>1166</v>
      </c>
      <c r="E21" s="716"/>
      <c r="G21" s="1418">
        <v>0</v>
      </c>
      <c r="H21" s="1418"/>
    </row>
    <row r="22" spans="1:8" s="27" customFormat="1" ht="12.75">
      <c r="A22" s="274">
        <v>2</v>
      </c>
      <c r="C22" s="816" t="s">
        <v>226</v>
      </c>
      <c r="G22" s="818">
        <f>SUM(G17:G21)</f>
        <v>2689</v>
      </c>
      <c r="H22" s="818">
        <f>SUM(H17:H21)</f>
        <v>2573</v>
      </c>
    </row>
    <row r="23" spans="1:8" s="27" customFormat="1" ht="12.75">
      <c r="G23" s="819"/>
      <c r="H23" s="819"/>
    </row>
    <row r="24" spans="1:8" s="27" customFormat="1" ht="12.75">
      <c r="A24" s="274">
        <v>3</v>
      </c>
      <c r="C24" s="816" t="s">
        <v>106</v>
      </c>
      <c r="G24" s="820"/>
      <c r="H24" s="820"/>
    </row>
    <row r="25" spans="1:8" s="27" customFormat="1" ht="12.75">
      <c r="A25" s="27" t="s">
        <v>1277</v>
      </c>
      <c r="D25" s="27" t="s">
        <v>88</v>
      </c>
      <c r="G25" s="1277">
        <v>710</v>
      </c>
      <c r="H25" s="1277">
        <v>557</v>
      </c>
    </row>
    <row r="26" spans="1:8" s="27" customFormat="1" ht="12.75">
      <c r="A26" s="27" t="s">
        <v>1278</v>
      </c>
      <c r="D26" s="27" t="s">
        <v>628</v>
      </c>
      <c r="G26" s="1277">
        <v>189</v>
      </c>
      <c r="H26" s="1277">
        <v>165</v>
      </c>
    </row>
    <row r="27" spans="1:8" s="27" customFormat="1" ht="12.75">
      <c r="A27" s="27" t="s">
        <v>1279</v>
      </c>
      <c r="D27" s="27" t="s">
        <v>223</v>
      </c>
      <c r="G27" s="1278">
        <v>654</v>
      </c>
      <c r="H27" s="1278">
        <v>618</v>
      </c>
    </row>
    <row r="28" spans="1:8" s="27" customFormat="1" ht="12.75">
      <c r="A28" s="27" t="s">
        <v>1280</v>
      </c>
      <c r="D28" s="27" t="s">
        <v>629</v>
      </c>
      <c r="G28" s="1277">
        <v>534</v>
      </c>
      <c r="H28" s="1277">
        <v>547</v>
      </c>
    </row>
    <row r="29" spans="1:8" s="27" customFormat="1" ht="12.75">
      <c r="A29" s="27" t="s">
        <v>1281</v>
      </c>
      <c r="D29" s="27" t="s">
        <v>630</v>
      </c>
      <c r="G29" s="1277">
        <v>145</v>
      </c>
      <c r="H29" s="1277">
        <v>133</v>
      </c>
    </row>
    <row r="30" spans="1:8" s="27" customFormat="1" ht="12.75">
      <c r="A30" s="27" t="s">
        <v>1313</v>
      </c>
      <c r="D30" s="27" t="s">
        <v>68</v>
      </c>
      <c r="G30" s="1277">
        <v>235</v>
      </c>
      <c r="H30" s="1277">
        <v>242</v>
      </c>
    </row>
    <row r="31" spans="1:8" s="27" customFormat="1" ht="12.75">
      <c r="D31" s="27" t="s">
        <v>2020</v>
      </c>
      <c r="G31" s="1277">
        <v>0</v>
      </c>
      <c r="H31" s="1277">
        <v>73</v>
      </c>
    </row>
    <row r="32" spans="1:8" s="27" customFormat="1" ht="12.75">
      <c r="A32" s="1417" t="s">
        <v>541</v>
      </c>
      <c r="D32" s="1471" t="s">
        <v>1166</v>
      </c>
      <c r="E32" s="716"/>
      <c r="G32" s="1418"/>
      <c r="H32" s="1418"/>
    </row>
    <row r="33" spans="1:8" s="27" customFormat="1" ht="12.75">
      <c r="A33" s="274">
        <v>4</v>
      </c>
      <c r="C33" s="816" t="s">
        <v>225</v>
      </c>
      <c r="G33" s="818">
        <f>SUM(G25:G32)</f>
        <v>2467</v>
      </c>
      <c r="H33" s="818">
        <f>SUM(H25:H32)</f>
        <v>2335</v>
      </c>
    </row>
    <row r="34" spans="1:8" s="27" customFormat="1" ht="12.75">
      <c r="G34" s="819"/>
      <c r="H34" s="819"/>
    </row>
    <row r="35" spans="1:8" s="27" customFormat="1" ht="16.5" thickBot="1">
      <c r="A35" s="274">
        <v>5</v>
      </c>
      <c r="C35" s="322" t="s">
        <v>631</v>
      </c>
      <c r="D35" s="816"/>
      <c r="E35" s="816"/>
      <c r="F35" s="816"/>
      <c r="G35" s="821">
        <f>G22-G33</f>
        <v>222</v>
      </c>
      <c r="H35" s="821">
        <f>H22-H33</f>
        <v>238</v>
      </c>
    </row>
    <row r="36" spans="1:8" s="27" customFormat="1" ht="13.5" thickTop="1">
      <c r="G36" s="819"/>
      <c r="H36" s="819"/>
    </row>
    <row r="37" spans="1:8" s="27" customFormat="1" ht="12.75">
      <c r="A37" s="274">
        <v>6</v>
      </c>
      <c r="C37" s="816" t="s">
        <v>632</v>
      </c>
      <c r="G37" s="819"/>
      <c r="H37" s="819"/>
    </row>
    <row r="38" spans="1:8" s="27" customFormat="1" ht="12.75">
      <c r="A38" s="27" t="s">
        <v>1367</v>
      </c>
      <c r="D38" s="27" t="s">
        <v>735</v>
      </c>
      <c r="G38" s="1277">
        <v>21</v>
      </c>
      <c r="H38" s="1277">
        <v>12</v>
      </c>
    </row>
    <row r="39" spans="1:8" s="27" customFormat="1" ht="12.75">
      <c r="A39" s="27" t="s">
        <v>1368</v>
      </c>
      <c r="D39" s="27" t="s">
        <v>67</v>
      </c>
      <c r="G39" s="1277">
        <v>2</v>
      </c>
      <c r="H39" s="1277">
        <v>17</v>
      </c>
    </row>
    <row r="40" spans="1:8" s="27" customFormat="1" ht="12.75">
      <c r="A40" s="1417" t="s">
        <v>541</v>
      </c>
      <c r="D40" s="1471" t="s">
        <v>1166</v>
      </c>
      <c r="E40" s="716"/>
      <c r="G40" s="1418"/>
      <c r="H40" s="1418"/>
    </row>
    <row r="41" spans="1:8" s="27" customFormat="1" ht="12.75">
      <c r="A41" s="274">
        <v>7</v>
      </c>
      <c r="D41" s="816" t="s">
        <v>224</v>
      </c>
      <c r="G41" s="818">
        <f>SUM(G38:G40)</f>
        <v>23</v>
      </c>
      <c r="H41" s="818">
        <f>SUM(H38:H40)</f>
        <v>29</v>
      </c>
    </row>
    <row r="42" spans="1:8" s="27" customFormat="1" ht="12.75">
      <c r="A42" s="1417"/>
      <c r="G42" s="819"/>
      <c r="H42" s="819"/>
    </row>
    <row r="43" spans="1:8" s="27" customFormat="1" ht="12.75">
      <c r="A43" s="274">
        <v>8</v>
      </c>
      <c r="C43" s="816" t="s">
        <v>633</v>
      </c>
      <c r="G43" s="819"/>
      <c r="H43" s="819"/>
    </row>
    <row r="44" spans="1:8" s="27" customFormat="1" ht="12.75">
      <c r="A44" s="1417" t="s">
        <v>1167</v>
      </c>
      <c r="D44" s="27" t="s">
        <v>634</v>
      </c>
      <c r="G44" s="1279">
        <v>0</v>
      </c>
      <c r="H44" s="1279">
        <v>0</v>
      </c>
    </row>
    <row r="45" spans="1:8" s="27" customFormat="1" ht="12.75">
      <c r="A45" s="1417" t="s">
        <v>1168</v>
      </c>
      <c r="D45" s="27" t="s">
        <v>635</v>
      </c>
      <c r="G45" s="1279">
        <v>47</v>
      </c>
      <c r="H45" s="1279">
        <v>47</v>
      </c>
    </row>
    <row r="46" spans="1:8" s="27" customFormat="1" ht="12.75">
      <c r="A46" s="1417" t="s">
        <v>1188</v>
      </c>
      <c r="D46" s="27" t="s">
        <v>638</v>
      </c>
      <c r="G46" s="1279">
        <v>117</v>
      </c>
      <c r="H46" s="1279">
        <v>117</v>
      </c>
    </row>
    <row r="47" spans="1:8" s="27" customFormat="1" ht="12.75">
      <c r="A47" s="1417" t="s">
        <v>1189</v>
      </c>
      <c r="D47" s="27" t="s">
        <v>636</v>
      </c>
      <c r="G47" s="1279">
        <v>-18</v>
      </c>
      <c r="H47" s="1279">
        <v>-12</v>
      </c>
    </row>
    <row r="48" spans="1:8" s="27" customFormat="1" ht="12.75">
      <c r="A48" s="1417" t="s">
        <v>1190</v>
      </c>
      <c r="D48" s="27" t="s">
        <v>637</v>
      </c>
      <c r="G48" s="1279">
        <v>-3</v>
      </c>
      <c r="H48" s="1279">
        <v>-4</v>
      </c>
    </row>
    <row r="49" spans="1:9" s="27" customFormat="1" ht="12.75">
      <c r="A49" s="1417"/>
      <c r="D49" s="27" t="s">
        <v>2021</v>
      </c>
      <c r="G49" s="1279"/>
      <c r="H49" s="1279"/>
    </row>
    <row r="50" spans="1:9" s="27" customFormat="1" ht="12.75">
      <c r="A50" s="1417" t="s">
        <v>541</v>
      </c>
      <c r="D50" s="1471" t="s">
        <v>1166</v>
      </c>
      <c r="E50" s="716"/>
      <c r="G50" s="1418"/>
      <c r="H50" s="1418"/>
    </row>
    <row r="51" spans="1:9" s="27" customFormat="1" ht="12.75">
      <c r="A51" s="274">
        <v>9</v>
      </c>
      <c r="D51" s="816" t="s">
        <v>224</v>
      </c>
      <c r="G51" s="818">
        <f>SUM(G44:G50)</f>
        <v>143</v>
      </c>
      <c r="H51" s="818">
        <f>SUM(H44:H50)</f>
        <v>148</v>
      </c>
    </row>
    <row r="52" spans="1:9" s="27" customFormat="1" ht="12.75">
      <c r="A52" s="1417"/>
      <c r="G52" s="819"/>
      <c r="H52" s="819"/>
    </row>
    <row r="53" spans="1:9" s="27" customFormat="1" ht="16.5" thickBot="1">
      <c r="A53" s="274">
        <v>10</v>
      </c>
      <c r="C53" s="322" t="s">
        <v>639</v>
      </c>
      <c r="D53" s="816"/>
      <c r="E53" s="816"/>
      <c r="F53" s="816"/>
      <c r="G53" s="821">
        <f>G35+G41-G51</f>
        <v>102</v>
      </c>
      <c r="H53" s="821">
        <f>H35+H41-H51</f>
        <v>119</v>
      </c>
    </row>
    <row r="54" spans="1:9" s="27" customFormat="1" ht="13.5" thickTop="1">
      <c r="A54" s="1417"/>
      <c r="G54" s="819"/>
      <c r="H54" s="819"/>
    </row>
    <row r="55" spans="1:9" s="27" customFormat="1" ht="12.75">
      <c r="A55" s="274">
        <v>11</v>
      </c>
      <c r="D55" s="27" t="s">
        <v>640</v>
      </c>
      <c r="G55" s="1279"/>
      <c r="H55" s="1279"/>
    </row>
    <row r="56" spans="1:9" s="27" customFormat="1" ht="12.75">
      <c r="A56" s="274" t="s">
        <v>541</v>
      </c>
      <c r="D56" s="1471" t="s">
        <v>1166</v>
      </c>
      <c r="E56" s="716"/>
      <c r="G56" s="823"/>
      <c r="H56" s="823"/>
    </row>
    <row r="57" spans="1:9" s="27" customFormat="1" ht="12.75">
      <c r="A57" s="274"/>
      <c r="G57" s="1420">
        <f>SUM(G55:G56)</f>
        <v>0</v>
      </c>
      <c r="H57" s="1420">
        <f>SUM(H55:H56)</f>
        <v>0</v>
      </c>
      <c r="I57" s="1421"/>
    </row>
    <row r="58" spans="1:9" s="27" customFormat="1" ht="12.75">
      <c r="A58" s="274"/>
      <c r="G58" s="819"/>
      <c r="H58" s="819"/>
      <c r="I58" s="1421"/>
    </row>
    <row r="59" spans="1:9" s="27" customFormat="1" ht="12.75">
      <c r="A59" s="274">
        <v>13</v>
      </c>
      <c r="D59" s="27" t="s">
        <v>641</v>
      </c>
      <c r="G59" s="822">
        <f>+G57+G53</f>
        <v>102</v>
      </c>
      <c r="H59" s="822">
        <f>+H57+H53</f>
        <v>119</v>
      </c>
    </row>
    <row r="60" spans="1:9" s="27" customFormat="1" ht="12.75">
      <c r="A60" s="274"/>
      <c r="G60" s="822"/>
      <c r="H60" s="822"/>
    </row>
    <row r="61" spans="1:9" s="27" customFormat="1" ht="12.75">
      <c r="A61" s="274">
        <v>14</v>
      </c>
      <c r="D61" s="27" t="s">
        <v>446</v>
      </c>
      <c r="G61" s="823">
        <v>4632</v>
      </c>
      <c r="H61" s="823">
        <v>4620</v>
      </c>
    </row>
    <row r="62" spans="1:9" s="27" customFormat="1" ht="12.75">
      <c r="A62" s="274"/>
      <c r="G62" s="822"/>
      <c r="H62" s="822"/>
    </row>
    <row r="63" spans="1:9" s="27" customFormat="1" ht="13.5" thickBot="1">
      <c r="A63" s="274">
        <v>15</v>
      </c>
      <c r="D63" s="27" t="s">
        <v>447</v>
      </c>
      <c r="G63" s="824">
        <f>+G61+G59</f>
        <v>4734</v>
      </c>
      <c r="H63" s="824">
        <f>+H61+H59</f>
        <v>4739</v>
      </c>
    </row>
    <row r="64" spans="1:9">
      <c r="A64" s="1419"/>
    </row>
  </sheetData>
  <customSheetViews>
    <customSheetView guid="{B321D76C-CDE5-48BB-9CDE-80FF97D58FCF}" showPageBreaks="1" fitToPage="1" printArea="1" view="pageBreakPreview">
      <selection activeCell="D33" sqref="D33"/>
      <pageMargins left="0.2" right="0.2" top="0.25" bottom="0.25" header="0.3" footer="0.3"/>
      <printOptions horizontalCentered="1"/>
      <pageSetup scale="83" orientation="portrait" r:id="rId1"/>
    </customSheetView>
  </customSheetViews>
  <mergeCells count="8">
    <mergeCell ref="B14:E14"/>
    <mergeCell ref="B13:E13"/>
    <mergeCell ref="A3:J3"/>
    <mergeCell ref="A4:J4"/>
    <mergeCell ref="A5:J5"/>
    <mergeCell ref="A7:J7"/>
    <mergeCell ref="A8:J8"/>
    <mergeCell ref="A9:J9"/>
  </mergeCells>
  <printOptions horizontalCentered="1"/>
  <pageMargins left="0.2" right="0.2" top="0.25" bottom="0.25" header="0.3" footer="0.3"/>
  <pageSetup scale="81" orientation="portrait"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66FF"/>
  </sheetPr>
  <dimension ref="A1:J135"/>
  <sheetViews>
    <sheetView tabSelected="1" view="pageBreakPreview" topLeftCell="A110" zoomScaleNormal="115" zoomScaleSheetLayoutView="100" zoomScalePageLayoutView="110" workbookViewId="0">
      <selection activeCell="C30" sqref="C30"/>
    </sheetView>
  </sheetViews>
  <sheetFormatPr defaultColWidth="7" defaultRowHeight="15.75"/>
  <cols>
    <col min="1" max="1" width="9.375" style="76" bestFit="1" customWidth="1"/>
    <col min="2" max="2" width="45.25" style="120" customWidth="1"/>
    <col min="3" max="3" width="3.5" style="78" customWidth="1"/>
    <col min="4" max="5" width="18.75" style="78" customWidth="1"/>
    <col min="6" max="6" width="1.125" style="78" customWidth="1"/>
    <col min="7" max="7" width="11.25" style="78" bestFit="1" customWidth="1"/>
    <col min="8" max="10" width="7" style="78"/>
    <col min="11" max="11" width="29.125" style="78" customWidth="1"/>
    <col min="12" max="16384" width="7" style="78"/>
  </cols>
  <sheetData>
    <row r="1" spans="1:10" s="17" customFormat="1">
      <c r="A1" s="926" t="s">
        <v>988</v>
      </c>
      <c r="B1" s="123"/>
      <c r="C1" s="20"/>
      <c r="G1" s="98"/>
    </row>
    <row r="2" spans="1:10" s="13" customFormat="1" ht="18.75">
      <c r="A2" s="1419"/>
      <c r="B2" s="124"/>
      <c r="C2" s="11"/>
      <c r="D2" s="43"/>
      <c r="E2" s="11"/>
      <c r="F2" s="11"/>
      <c r="G2" s="11"/>
    </row>
    <row r="3" spans="1:10" s="13" customFormat="1" ht="18.75">
      <c r="A3" s="1419"/>
      <c r="B3" s="124"/>
      <c r="C3" s="11"/>
      <c r="D3" s="43"/>
      <c r="E3" s="11"/>
      <c r="F3" s="11"/>
      <c r="G3" s="11"/>
    </row>
    <row r="4" spans="1:10" s="13" customFormat="1" ht="18">
      <c r="A4" s="1788" t="s">
        <v>200</v>
      </c>
      <c r="B4" s="1788"/>
      <c r="C4" s="1788"/>
      <c r="D4" s="1788"/>
      <c r="E4" s="1788"/>
      <c r="F4" s="1788"/>
      <c r="G4" s="1788"/>
    </row>
    <row r="5" spans="1:10" s="13" customFormat="1" ht="18">
      <c r="A5" s="1788" t="s">
        <v>103</v>
      </c>
      <c r="B5" s="1788"/>
      <c r="C5" s="1788"/>
      <c r="D5" s="1788"/>
      <c r="E5" s="1788"/>
      <c r="F5" s="1788"/>
      <c r="G5" s="1788"/>
    </row>
    <row r="6" spans="1:10" s="13" customFormat="1" ht="18">
      <c r="A6" s="1789" t="str">
        <f>SUMMARY!A7</f>
        <v>YEAR ENDING DECEMBER 31, 2018</v>
      </c>
      <c r="B6" s="1789"/>
      <c r="C6" s="1789"/>
      <c r="D6" s="1789"/>
      <c r="E6" s="1789"/>
      <c r="F6" s="1789"/>
      <c r="G6" s="1789"/>
    </row>
    <row r="7" spans="1:10" s="13" customFormat="1" ht="12" customHeight="1">
      <c r="A7" s="18"/>
      <c r="B7" s="63"/>
      <c r="C7" s="11"/>
      <c r="D7" s="41"/>
      <c r="E7" s="11"/>
      <c r="F7" s="11"/>
      <c r="G7" s="11"/>
    </row>
    <row r="8" spans="1:10" s="13" customFormat="1" ht="18">
      <c r="A8" s="1790" t="s">
        <v>989</v>
      </c>
      <c r="B8" s="1790"/>
      <c r="C8" s="1790"/>
      <c r="D8" s="1790"/>
      <c r="E8" s="1790"/>
      <c r="F8" s="1790"/>
      <c r="G8" s="1790"/>
    </row>
    <row r="9" spans="1:10" s="13" customFormat="1" ht="18">
      <c r="A9" s="1790" t="s">
        <v>1084</v>
      </c>
      <c r="B9" s="1790"/>
      <c r="C9" s="1790"/>
      <c r="D9" s="1790"/>
      <c r="E9" s="1790"/>
      <c r="F9" s="1790"/>
      <c r="G9" s="1790"/>
    </row>
    <row r="10" spans="1:10" s="13" customFormat="1">
      <c r="A10" s="1866" t="s">
        <v>1071</v>
      </c>
      <c r="B10" s="1866"/>
      <c r="C10" s="1866"/>
      <c r="D10" s="1866"/>
      <c r="E10" s="1866"/>
      <c r="F10" s="1866"/>
      <c r="G10" s="1866"/>
      <c r="H10" s="1253"/>
      <c r="I10" s="1253"/>
      <c r="J10" s="1253"/>
    </row>
    <row r="11" spans="1:10" ht="12.6" customHeight="1">
      <c r="B11" s="125"/>
      <c r="C11" s="77"/>
      <c r="D11" s="79"/>
      <c r="E11" s="77"/>
      <c r="F11" s="77"/>
    </row>
    <row r="12" spans="1:10" ht="13.15" customHeight="1"/>
    <row r="13" spans="1:10" ht="13.15" customHeight="1">
      <c r="C13" s="120"/>
      <c r="D13" s="121"/>
      <c r="E13" s="120"/>
    </row>
    <row r="14" spans="1:10" ht="13.15" customHeight="1">
      <c r="A14" s="1430"/>
      <c r="B14" s="666" t="s">
        <v>60</v>
      </c>
      <c r="C14" s="122" t="s">
        <v>31</v>
      </c>
      <c r="D14" s="665" t="s">
        <v>2046</v>
      </c>
      <c r="E14" s="665" t="s">
        <v>2022</v>
      </c>
      <c r="F14" s="118"/>
    </row>
    <row r="15" spans="1:10" ht="18.75" customHeight="1">
      <c r="B15" s="1422" t="s">
        <v>192</v>
      </c>
      <c r="C15" s="1423"/>
      <c r="D15" s="1424" t="s">
        <v>193</v>
      </c>
      <c r="E15" s="1424" t="s">
        <v>194</v>
      </c>
      <c r="F15" s="77"/>
    </row>
    <row r="16" spans="1:10">
      <c r="A16" s="1431">
        <v>1</v>
      </c>
      <c r="B16" s="274" t="s">
        <v>675</v>
      </c>
      <c r="D16" s="130"/>
      <c r="E16" s="130"/>
      <c r="F16" s="130"/>
    </row>
    <row r="17" spans="1:6">
      <c r="A17" s="76" t="s">
        <v>471</v>
      </c>
      <c r="B17" s="27" t="s">
        <v>685</v>
      </c>
      <c r="D17" s="436"/>
      <c r="E17" s="436"/>
      <c r="F17" s="120"/>
    </row>
    <row r="18" spans="1:6">
      <c r="A18" s="76" t="s">
        <v>473</v>
      </c>
      <c r="B18" s="267" t="s">
        <v>676</v>
      </c>
      <c r="D18" s="1280">
        <v>7</v>
      </c>
      <c r="E18" s="1280">
        <v>37</v>
      </c>
      <c r="F18" s="120"/>
    </row>
    <row r="19" spans="1:6">
      <c r="A19" s="76" t="s">
        <v>494</v>
      </c>
      <c r="B19" s="267" t="s">
        <v>677</v>
      </c>
      <c r="D19" s="1280">
        <v>940</v>
      </c>
      <c r="E19" s="1280">
        <v>1065</v>
      </c>
      <c r="F19" s="120"/>
    </row>
    <row r="20" spans="1:6">
      <c r="A20" s="76" t="s">
        <v>495</v>
      </c>
      <c r="B20" s="267" t="s">
        <v>2023</v>
      </c>
      <c r="D20" s="1280">
        <v>180</v>
      </c>
      <c r="E20" s="1280">
        <v>0</v>
      </c>
      <c r="F20" s="126"/>
    </row>
    <row r="21" spans="1:6">
      <c r="A21" s="76" t="s">
        <v>496</v>
      </c>
      <c r="B21" s="267" t="s">
        <v>678</v>
      </c>
      <c r="D21" s="1280"/>
      <c r="E21" s="1280">
        <v>171</v>
      </c>
      <c r="F21" s="128"/>
    </row>
    <row r="22" spans="1:6">
      <c r="A22" s="76" t="s">
        <v>497</v>
      </c>
      <c r="B22" s="267" t="s">
        <v>679</v>
      </c>
      <c r="D22" s="1280"/>
      <c r="E22" s="1280"/>
      <c r="F22" s="128"/>
    </row>
    <row r="23" spans="1:6">
      <c r="A23" s="76" t="s">
        <v>498</v>
      </c>
      <c r="B23" s="276" t="s">
        <v>680</v>
      </c>
      <c r="D23" s="1280">
        <v>82</v>
      </c>
      <c r="E23" s="1280">
        <v>82</v>
      </c>
      <c r="F23" s="128"/>
    </row>
    <row r="24" spans="1:6">
      <c r="A24" s="76" t="s">
        <v>499</v>
      </c>
      <c r="B24" s="276" t="s">
        <v>681</v>
      </c>
      <c r="D24" s="1280">
        <v>33</v>
      </c>
      <c r="E24" s="1280">
        <v>27</v>
      </c>
      <c r="F24" s="128"/>
    </row>
    <row r="25" spans="1:6">
      <c r="A25" s="76" t="s">
        <v>500</v>
      </c>
      <c r="B25" s="267" t="s">
        <v>682</v>
      </c>
      <c r="D25" s="1280">
        <v>192</v>
      </c>
      <c r="E25" s="1280">
        <v>198</v>
      </c>
      <c r="F25" s="128"/>
    </row>
    <row r="26" spans="1:6">
      <c r="A26" s="76" t="s">
        <v>541</v>
      </c>
      <c r="B26" s="1426" t="s">
        <v>1166</v>
      </c>
      <c r="D26" s="1425"/>
      <c r="E26" s="1425"/>
      <c r="F26" s="128"/>
    </row>
    <row r="27" spans="1:6">
      <c r="B27" s="268"/>
      <c r="D27" s="437"/>
      <c r="E27" s="437"/>
      <c r="F27" s="120"/>
    </row>
    <row r="28" spans="1:6">
      <c r="A28" s="1431">
        <v>2</v>
      </c>
      <c r="B28" s="269" t="s">
        <v>683</v>
      </c>
      <c r="D28" s="438">
        <f>SUM(D18:D26)</f>
        <v>1434</v>
      </c>
      <c r="E28" s="438">
        <f>SUM(E18:E26)</f>
        <v>1580</v>
      </c>
      <c r="F28" s="126"/>
    </row>
    <row r="29" spans="1:6">
      <c r="B29" s="268"/>
      <c r="D29" s="437"/>
      <c r="E29" s="437"/>
      <c r="F29" s="120"/>
    </row>
    <row r="30" spans="1:6">
      <c r="A30" s="1431">
        <v>3</v>
      </c>
      <c r="B30" s="270" t="s">
        <v>684</v>
      </c>
      <c r="D30" s="437"/>
      <c r="E30" s="437"/>
      <c r="F30" s="126"/>
    </row>
    <row r="31" spans="1:6">
      <c r="A31" s="76" t="s">
        <v>1277</v>
      </c>
      <c r="B31" s="267" t="s">
        <v>686</v>
      </c>
      <c r="D31" s="437"/>
      <c r="E31" s="437"/>
      <c r="F31" s="126"/>
    </row>
    <row r="32" spans="1:6">
      <c r="A32" s="76" t="s">
        <v>1278</v>
      </c>
      <c r="B32" s="276" t="s">
        <v>676</v>
      </c>
      <c r="D32" s="1280">
        <v>31</v>
      </c>
      <c r="E32" s="1280">
        <v>26</v>
      </c>
      <c r="F32" s="126"/>
    </row>
    <row r="33" spans="1:6">
      <c r="A33" s="76" t="s">
        <v>1279</v>
      </c>
      <c r="B33" s="276" t="s">
        <v>677</v>
      </c>
      <c r="D33" s="1280">
        <v>30</v>
      </c>
      <c r="E33" s="1280">
        <v>33</v>
      </c>
      <c r="F33" s="131"/>
    </row>
    <row r="34" spans="1:6">
      <c r="A34" s="76" t="s">
        <v>541</v>
      </c>
      <c r="B34" s="1472" t="s">
        <v>1166</v>
      </c>
      <c r="D34" s="1425"/>
      <c r="E34" s="1425"/>
      <c r="F34" s="128"/>
    </row>
    <row r="35" spans="1:6">
      <c r="B35" s="268"/>
      <c r="D35" s="437"/>
      <c r="E35" s="437"/>
      <c r="F35" s="131"/>
    </row>
    <row r="36" spans="1:6">
      <c r="A36" s="1431">
        <v>4</v>
      </c>
      <c r="B36" s="269" t="s">
        <v>687</v>
      </c>
      <c r="D36" s="438">
        <f>SUM(D32:D34)</f>
        <v>61</v>
      </c>
      <c r="E36" s="438">
        <f>SUM(E32:E34)</f>
        <v>59</v>
      </c>
      <c r="F36" s="131"/>
    </row>
    <row r="37" spans="1:6">
      <c r="B37" s="268"/>
      <c r="D37" s="437"/>
      <c r="E37" s="437"/>
      <c r="F37" s="131"/>
    </row>
    <row r="38" spans="1:6">
      <c r="A38" s="1431">
        <v>5</v>
      </c>
      <c r="B38" s="267" t="s">
        <v>688</v>
      </c>
      <c r="D38" s="437"/>
      <c r="E38" s="437"/>
      <c r="F38" s="126"/>
    </row>
    <row r="39" spans="1:6">
      <c r="A39" s="76" t="s">
        <v>1274</v>
      </c>
      <c r="B39" s="276" t="s">
        <v>676</v>
      </c>
      <c r="D39" s="1280">
        <v>2</v>
      </c>
      <c r="E39" s="1280">
        <v>0</v>
      </c>
      <c r="F39" s="126"/>
    </row>
    <row r="40" spans="1:6">
      <c r="A40" s="76" t="s">
        <v>1275</v>
      </c>
      <c r="B40" s="276" t="s">
        <v>677</v>
      </c>
      <c r="D40" s="1280">
        <v>23</v>
      </c>
      <c r="E40" s="1280">
        <v>25</v>
      </c>
      <c r="F40" s="131"/>
    </row>
    <row r="41" spans="1:6">
      <c r="A41" s="76" t="s">
        <v>541</v>
      </c>
      <c r="B41" s="1472" t="s">
        <v>1166</v>
      </c>
      <c r="D41" s="1425"/>
      <c r="E41" s="1425"/>
      <c r="F41" s="128"/>
    </row>
    <row r="42" spans="1:6">
      <c r="B42" s="268"/>
      <c r="D42" s="437"/>
      <c r="E42" s="437"/>
      <c r="F42" s="131"/>
    </row>
    <row r="43" spans="1:6">
      <c r="A43" s="1431">
        <v>6</v>
      </c>
      <c r="B43" s="269" t="s">
        <v>692</v>
      </c>
      <c r="D43" s="438">
        <f>SUM(D39:D41)</f>
        <v>25</v>
      </c>
      <c r="E43" s="438">
        <f>SUM(E39:E41)</f>
        <v>25</v>
      </c>
      <c r="F43" s="131"/>
    </row>
    <row r="44" spans="1:6">
      <c r="B44" s="268"/>
      <c r="D44" s="437"/>
      <c r="E44" s="437"/>
      <c r="F44" s="131"/>
    </row>
    <row r="45" spans="1:6">
      <c r="A45" s="1431">
        <v>7</v>
      </c>
      <c r="B45" s="267" t="s">
        <v>689</v>
      </c>
      <c r="D45" s="437"/>
      <c r="E45" s="437"/>
      <c r="F45" s="126"/>
    </row>
    <row r="46" spans="1:6">
      <c r="A46" s="76" t="s">
        <v>1284</v>
      </c>
      <c r="B46" s="276" t="s">
        <v>690</v>
      </c>
      <c r="D46" s="1280">
        <v>896</v>
      </c>
      <c r="E46" s="1280">
        <v>758</v>
      </c>
      <c r="F46" s="126"/>
    </row>
    <row r="47" spans="1:6">
      <c r="A47" s="76" t="s">
        <v>1285</v>
      </c>
      <c r="B47" s="276" t="s">
        <v>691</v>
      </c>
      <c r="D47" s="1280">
        <v>4623</v>
      </c>
      <c r="E47" s="1280">
        <v>4684</v>
      </c>
      <c r="F47" s="131"/>
    </row>
    <row r="48" spans="1:6">
      <c r="A48" s="76" t="s">
        <v>541</v>
      </c>
      <c r="B48" s="1472" t="s">
        <v>1166</v>
      </c>
      <c r="D48" s="1425"/>
      <c r="E48" s="1425"/>
      <c r="F48" s="128"/>
    </row>
    <row r="49" spans="1:6">
      <c r="B49" s="268"/>
      <c r="D49" s="437"/>
      <c r="E49" s="437"/>
      <c r="F49" s="131"/>
    </row>
    <row r="50" spans="1:6">
      <c r="A50" s="1431">
        <v>8</v>
      </c>
      <c r="B50" s="269" t="s">
        <v>693</v>
      </c>
      <c r="D50" s="438">
        <f>SUM(D46:D48)</f>
        <v>5519</v>
      </c>
      <c r="E50" s="438">
        <f>SUM(E46:E48)</f>
        <v>5442</v>
      </c>
      <c r="F50" s="131"/>
    </row>
    <row r="51" spans="1:6">
      <c r="B51" s="268"/>
      <c r="D51" s="437"/>
      <c r="E51" s="437"/>
      <c r="F51" s="131"/>
    </row>
    <row r="52" spans="1:6">
      <c r="A52" s="76">
        <v>9</v>
      </c>
      <c r="B52" s="270" t="s">
        <v>694</v>
      </c>
      <c r="D52" s="437"/>
      <c r="E52" s="437"/>
      <c r="F52" s="131"/>
    </row>
    <row r="53" spans="1:6">
      <c r="A53" s="76" t="s">
        <v>1288</v>
      </c>
      <c r="B53" s="267" t="s">
        <v>695</v>
      </c>
      <c r="D53" s="1280">
        <v>129</v>
      </c>
      <c r="E53" s="1280">
        <v>172</v>
      </c>
      <c r="F53" s="131"/>
    </row>
    <row r="54" spans="1:6">
      <c r="A54" s="76" t="s">
        <v>1289</v>
      </c>
      <c r="B54" s="267" t="s">
        <v>696</v>
      </c>
      <c r="D54" s="1280">
        <v>1583</v>
      </c>
      <c r="E54" s="1280">
        <v>1382</v>
      </c>
      <c r="F54" s="131"/>
    </row>
    <row r="55" spans="1:6">
      <c r="A55" s="76" t="s">
        <v>1290</v>
      </c>
      <c r="B55" s="267" t="s">
        <v>697</v>
      </c>
      <c r="D55" s="1280"/>
      <c r="E55" s="1280"/>
      <c r="F55" s="131"/>
    </row>
    <row r="56" spans="1:6">
      <c r="A56" s="76" t="s">
        <v>541</v>
      </c>
      <c r="B56" s="1472" t="s">
        <v>1166</v>
      </c>
      <c r="D56" s="1425"/>
      <c r="E56" s="1425"/>
      <c r="F56" s="128"/>
    </row>
    <row r="57" spans="1:6">
      <c r="B57" s="268"/>
      <c r="D57" s="437"/>
      <c r="E57" s="437"/>
      <c r="F57" s="131"/>
    </row>
    <row r="58" spans="1:6">
      <c r="A58" s="1431">
        <v>10</v>
      </c>
      <c r="B58" s="272" t="s">
        <v>698</v>
      </c>
      <c r="D58" s="438">
        <f>SUM(D53:D56)</f>
        <v>1712</v>
      </c>
      <c r="E58" s="438">
        <f>SUM(E53:E56)</f>
        <v>1554</v>
      </c>
      <c r="F58" s="131"/>
    </row>
    <row r="59" spans="1:6">
      <c r="B59" s="273"/>
      <c r="D59" s="437"/>
      <c r="E59" s="437"/>
      <c r="F59" s="131"/>
    </row>
    <row r="60" spans="1:6">
      <c r="A60" s="1431">
        <v>11</v>
      </c>
      <c r="B60" s="272" t="s">
        <v>699</v>
      </c>
      <c r="D60" s="438">
        <f>D58+D36+D43+D50</f>
        <v>7317</v>
      </c>
      <c r="E60" s="438">
        <f>E58+E36+E43+E50</f>
        <v>7080</v>
      </c>
      <c r="F60" s="131"/>
    </row>
    <row r="61" spans="1:6">
      <c r="A61" s="1431"/>
      <c r="B61" s="273"/>
      <c r="D61" s="437"/>
      <c r="E61" s="437"/>
      <c r="F61" s="131"/>
    </row>
    <row r="62" spans="1:6">
      <c r="A62" s="1431">
        <v>12</v>
      </c>
      <c r="B62" s="272" t="s">
        <v>700</v>
      </c>
      <c r="D62" s="438">
        <f>D60+D28</f>
        <v>8751</v>
      </c>
      <c r="E62" s="438">
        <f>E60+E28</f>
        <v>8660</v>
      </c>
      <c r="F62" s="131"/>
    </row>
    <row r="63" spans="1:6">
      <c r="A63" s="1431"/>
      <c r="B63" s="268"/>
      <c r="D63" s="437"/>
      <c r="E63" s="437"/>
      <c r="F63" s="131"/>
    </row>
    <row r="64" spans="1:6">
      <c r="A64" s="1431">
        <v>13</v>
      </c>
      <c r="B64" s="270" t="s">
        <v>701</v>
      </c>
      <c r="D64" s="437"/>
      <c r="E64" s="437"/>
      <c r="F64" s="131"/>
    </row>
    <row r="65" spans="1:10">
      <c r="A65" s="76" t="s">
        <v>1295</v>
      </c>
      <c r="B65" s="270" t="s">
        <v>734</v>
      </c>
      <c r="D65" s="1280">
        <v>1</v>
      </c>
      <c r="E65" s="1280"/>
      <c r="F65" s="131"/>
    </row>
    <row r="66" spans="1:10">
      <c r="A66" s="76" t="s">
        <v>1296</v>
      </c>
      <c r="B66" s="270" t="s">
        <v>2025</v>
      </c>
      <c r="D66" s="1280">
        <v>89</v>
      </c>
      <c r="E66" s="1280">
        <v>66</v>
      </c>
      <c r="F66" s="131"/>
    </row>
    <row r="67" spans="1:10">
      <c r="A67" s="76" t="s">
        <v>1297</v>
      </c>
      <c r="B67" s="270" t="s">
        <v>2047</v>
      </c>
      <c r="D67" s="1280">
        <v>47</v>
      </c>
      <c r="E67" s="1280"/>
      <c r="F67" s="131"/>
      <c r="J67" s="1697"/>
    </row>
    <row r="68" spans="1:10">
      <c r="A68" s="76" t="s">
        <v>541</v>
      </c>
      <c r="B68" s="1472" t="s">
        <v>1166</v>
      </c>
      <c r="D68" s="1425"/>
      <c r="E68" s="1425"/>
      <c r="F68" s="128"/>
    </row>
    <row r="69" spans="1:10">
      <c r="A69" s="1431">
        <v>14</v>
      </c>
      <c r="B69" s="270" t="s">
        <v>1616</v>
      </c>
      <c r="D69" s="1281">
        <f>SUM(D65:D68)</f>
        <v>137</v>
      </c>
      <c r="E69" s="1281">
        <f>SUM(E65:E68)</f>
        <v>66</v>
      </c>
      <c r="F69" s="131"/>
    </row>
    <row r="70" spans="1:10">
      <c r="B70" s="268"/>
      <c r="D70" s="437"/>
      <c r="E70" s="437"/>
      <c r="F70" s="131"/>
    </row>
    <row r="71" spans="1:10" s="279" customFormat="1" ht="16.5" thickBot="1">
      <c r="A71" s="1431">
        <v>15</v>
      </c>
      <c r="B71" s="278" t="s">
        <v>702</v>
      </c>
      <c r="D71" s="439">
        <f>D69+D62</f>
        <v>8888</v>
      </c>
      <c r="E71" s="439">
        <f>E69+E62</f>
        <v>8726</v>
      </c>
      <c r="F71" s="266"/>
    </row>
    <row r="72" spans="1:10" s="279" customFormat="1" ht="16.5" thickTop="1">
      <c r="A72" s="1431"/>
      <c r="B72" s="278"/>
      <c r="D72" s="280"/>
      <c r="E72" s="280"/>
      <c r="F72" s="266"/>
    </row>
    <row r="73" spans="1:10">
      <c r="A73" s="1432" t="s">
        <v>364</v>
      </c>
      <c r="B73" s="127" t="s">
        <v>100</v>
      </c>
      <c r="D73" s="128"/>
      <c r="E73" s="128"/>
      <c r="F73" s="120"/>
    </row>
    <row r="74" spans="1:10">
      <c r="A74" s="1433"/>
      <c r="B74" s="127"/>
      <c r="D74" s="186"/>
      <c r="E74" s="186"/>
      <c r="F74" s="120"/>
    </row>
    <row r="75" spans="1:10">
      <c r="D75" s="121"/>
      <c r="E75" s="121"/>
      <c r="F75" s="120"/>
    </row>
    <row r="76" spans="1:10">
      <c r="A76" s="1430"/>
      <c r="B76" s="666" t="s">
        <v>60</v>
      </c>
      <c r="C76" s="80"/>
      <c r="D76" s="667" t="str">
        <f>D14</f>
        <v>DECEMBER 2018</v>
      </c>
      <c r="E76" s="667" t="str">
        <f>E14</f>
        <v>DECEMBER 2017</v>
      </c>
      <c r="F76" s="129"/>
    </row>
    <row r="77" spans="1:10">
      <c r="B77" s="125"/>
      <c r="C77" s="77"/>
      <c r="D77" s="125"/>
      <c r="E77" s="125"/>
      <c r="F77" s="125"/>
    </row>
    <row r="78" spans="1:10">
      <c r="A78" s="1431">
        <v>16</v>
      </c>
      <c r="B78" s="274" t="s">
        <v>642</v>
      </c>
      <c r="D78" s="130"/>
      <c r="E78" s="130"/>
      <c r="F78" s="130"/>
    </row>
    <row r="79" spans="1:10">
      <c r="A79" s="76" t="s">
        <v>1617</v>
      </c>
      <c r="B79" s="27" t="s">
        <v>643</v>
      </c>
      <c r="D79" s="128"/>
      <c r="E79" s="128"/>
      <c r="F79" s="120"/>
    </row>
    <row r="80" spans="1:10">
      <c r="A80" s="76" t="s">
        <v>1618</v>
      </c>
      <c r="B80" s="267" t="s">
        <v>644</v>
      </c>
      <c r="D80" s="1280">
        <v>424</v>
      </c>
      <c r="E80" s="1280">
        <v>406</v>
      </c>
      <c r="F80" s="120"/>
    </row>
    <row r="81" spans="1:6">
      <c r="A81" s="76" t="s">
        <v>1619</v>
      </c>
      <c r="B81" s="267" t="s">
        <v>645</v>
      </c>
      <c r="D81" s="1280">
        <v>526</v>
      </c>
      <c r="E81" s="1280">
        <v>485</v>
      </c>
      <c r="F81" s="120"/>
    </row>
    <row r="82" spans="1:6">
      <c r="A82" s="76" t="s">
        <v>1620</v>
      </c>
      <c r="B82" s="267" t="s">
        <v>646</v>
      </c>
      <c r="D82" s="1280">
        <v>64</v>
      </c>
      <c r="E82" s="1280">
        <v>62</v>
      </c>
      <c r="F82" s="126"/>
    </row>
    <row r="83" spans="1:6">
      <c r="A83" s="76" t="s">
        <v>1621</v>
      </c>
      <c r="B83" s="267" t="s">
        <v>647</v>
      </c>
      <c r="D83" s="1280">
        <v>37</v>
      </c>
      <c r="E83" s="1280">
        <v>31</v>
      </c>
      <c r="F83" s="128"/>
    </row>
    <row r="84" spans="1:6">
      <c r="A84" s="76" t="s">
        <v>1622</v>
      </c>
      <c r="B84" s="267" t="s">
        <v>648</v>
      </c>
      <c r="D84" s="1280"/>
      <c r="E84" s="1280"/>
      <c r="F84" s="128"/>
    </row>
    <row r="85" spans="1:6">
      <c r="A85" s="76" t="s">
        <v>541</v>
      </c>
      <c r="B85" s="1472" t="s">
        <v>1166</v>
      </c>
      <c r="D85" s="1425"/>
      <c r="E85" s="1281"/>
      <c r="F85" s="128"/>
    </row>
    <row r="86" spans="1:6">
      <c r="B86" s="268"/>
      <c r="D86" s="437"/>
      <c r="E86" s="437"/>
      <c r="F86" s="120"/>
    </row>
    <row r="87" spans="1:6">
      <c r="A87" s="1431">
        <v>17</v>
      </c>
      <c r="B87" s="269" t="s">
        <v>649</v>
      </c>
      <c r="D87" s="438">
        <f>SUM(D80:D85)</f>
        <v>1051</v>
      </c>
      <c r="E87" s="438">
        <f>SUM(E80:E85)</f>
        <v>984</v>
      </c>
      <c r="F87" s="126"/>
    </row>
    <row r="88" spans="1:6">
      <c r="B88" s="268"/>
      <c r="D88" s="437"/>
      <c r="E88" s="437"/>
      <c r="F88" s="120"/>
    </row>
    <row r="89" spans="1:6">
      <c r="A89" s="76">
        <v>18</v>
      </c>
      <c r="B89" s="270" t="s">
        <v>650</v>
      </c>
      <c r="D89" s="437"/>
      <c r="E89" s="437"/>
      <c r="F89" s="126"/>
    </row>
    <row r="90" spans="1:6">
      <c r="A90" s="76" t="s">
        <v>1623</v>
      </c>
      <c r="B90" s="267" t="s">
        <v>651</v>
      </c>
      <c r="D90" s="437"/>
      <c r="E90" s="437"/>
      <c r="F90" s="126"/>
    </row>
    <row r="91" spans="1:6">
      <c r="A91" s="76" t="s">
        <v>1624</v>
      </c>
      <c r="B91" s="271" t="s">
        <v>652</v>
      </c>
      <c r="D91" s="437"/>
      <c r="E91" s="437"/>
      <c r="F91" s="120"/>
    </row>
    <row r="92" spans="1:6">
      <c r="A92" s="76" t="s">
        <v>1625</v>
      </c>
      <c r="B92" s="272" t="s">
        <v>653</v>
      </c>
      <c r="D92" s="1280">
        <v>653</v>
      </c>
      <c r="E92" s="1280">
        <v>720</v>
      </c>
      <c r="F92" s="120"/>
    </row>
    <row r="93" spans="1:6">
      <c r="A93" s="76" t="s">
        <v>1626</v>
      </c>
      <c r="B93" s="272" t="s">
        <v>654</v>
      </c>
      <c r="D93" s="1280"/>
      <c r="E93" s="1280"/>
      <c r="F93" s="120"/>
    </row>
    <row r="94" spans="1:6">
      <c r="A94" s="76" t="s">
        <v>1627</v>
      </c>
      <c r="B94" s="271" t="s">
        <v>655</v>
      </c>
      <c r="D94" s="1280"/>
      <c r="E94" s="1280"/>
      <c r="F94" s="120"/>
    </row>
    <row r="95" spans="1:6">
      <c r="A95" s="76" t="s">
        <v>1628</v>
      </c>
      <c r="B95" s="272" t="s">
        <v>704</v>
      </c>
      <c r="D95" s="1280">
        <v>43</v>
      </c>
      <c r="E95" s="1280">
        <v>44</v>
      </c>
      <c r="F95" s="126"/>
    </row>
    <row r="96" spans="1:6">
      <c r="A96" s="76" t="s">
        <v>1629</v>
      </c>
      <c r="B96" s="272" t="s">
        <v>656</v>
      </c>
      <c r="D96" s="1280">
        <v>5</v>
      </c>
      <c r="E96" s="1280">
        <v>5</v>
      </c>
      <c r="F96" s="131"/>
    </row>
    <row r="97" spans="1:6">
      <c r="A97" s="76" t="s">
        <v>541</v>
      </c>
      <c r="B97" s="1472" t="s">
        <v>1166</v>
      </c>
      <c r="D97" s="1425"/>
      <c r="E97" s="1425"/>
      <c r="F97" s="128"/>
    </row>
    <row r="98" spans="1:6">
      <c r="B98" s="268"/>
      <c r="D98" s="437"/>
      <c r="E98" s="437"/>
      <c r="F98" s="131"/>
    </row>
    <row r="99" spans="1:6">
      <c r="A99" s="1431">
        <v>19</v>
      </c>
      <c r="B99" s="269" t="s">
        <v>657</v>
      </c>
      <c r="D99" s="438">
        <f>SUM(D92:D97)</f>
        <v>701</v>
      </c>
      <c r="E99" s="438">
        <f>SUM(E92:E97)</f>
        <v>769</v>
      </c>
      <c r="F99" s="131"/>
    </row>
    <row r="100" spans="1:6">
      <c r="B100" s="268"/>
      <c r="D100" s="437"/>
      <c r="E100" s="437"/>
      <c r="F100" s="131"/>
    </row>
    <row r="101" spans="1:6">
      <c r="A101" s="76">
        <v>20</v>
      </c>
      <c r="B101" s="270" t="s">
        <v>658</v>
      </c>
      <c r="D101" s="437"/>
      <c r="E101" s="437"/>
      <c r="F101" s="131"/>
    </row>
    <row r="102" spans="1:6">
      <c r="A102" s="76" t="s">
        <v>1630</v>
      </c>
      <c r="B102" s="267" t="s">
        <v>659</v>
      </c>
      <c r="D102" s="1280">
        <v>1077</v>
      </c>
      <c r="E102" s="1280">
        <v>1114</v>
      </c>
      <c r="F102" s="131"/>
    </row>
    <row r="103" spans="1:6">
      <c r="A103" s="76" t="s">
        <v>1631</v>
      </c>
      <c r="B103" s="267" t="s">
        <v>660</v>
      </c>
      <c r="D103" s="1280"/>
      <c r="E103" s="1280"/>
      <c r="F103" s="131"/>
    </row>
    <row r="104" spans="1:6">
      <c r="A104" s="76" t="s">
        <v>1632</v>
      </c>
      <c r="B104" s="267" t="s">
        <v>661</v>
      </c>
      <c r="D104" s="1280">
        <v>223</v>
      </c>
      <c r="E104" s="1280">
        <v>219</v>
      </c>
      <c r="F104" s="131"/>
    </row>
    <row r="105" spans="1:6">
      <c r="A105" s="76" t="s">
        <v>1633</v>
      </c>
      <c r="B105" s="267" t="s">
        <v>662</v>
      </c>
      <c r="D105" s="1280">
        <v>244</v>
      </c>
      <c r="E105" s="1280">
        <v>250</v>
      </c>
      <c r="F105" s="131"/>
    </row>
    <row r="106" spans="1:6">
      <c r="A106" s="76" t="s">
        <v>1634</v>
      </c>
      <c r="B106" s="267" t="s">
        <v>648</v>
      </c>
      <c r="D106" s="1280"/>
      <c r="E106" s="1280"/>
      <c r="F106" s="131"/>
    </row>
    <row r="107" spans="1:6">
      <c r="A107" s="76" t="s">
        <v>1635</v>
      </c>
      <c r="B107" s="267" t="s">
        <v>663</v>
      </c>
      <c r="D107" s="1280">
        <v>386</v>
      </c>
      <c r="E107" s="1280">
        <v>303</v>
      </c>
      <c r="F107" s="131"/>
    </row>
    <row r="108" spans="1:6">
      <c r="A108" s="76" t="s">
        <v>541</v>
      </c>
      <c r="B108" s="1472" t="s">
        <v>1166</v>
      </c>
      <c r="D108" s="1425"/>
      <c r="E108" s="1425"/>
      <c r="F108" s="128"/>
    </row>
    <row r="109" spans="1:6">
      <c r="B109" s="268"/>
      <c r="D109" s="437"/>
      <c r="E109" s="437"/>
      <c r="F109" s="131"/>
    </row>
    <row r="110" spans="1:6">
      <c r="A110" s="1431">
        <v>21</v>
      </c>
      <c r="B110" s="272" t="s">
        <v>664</v>
      </c>
      <c r="D110" s="438">
        <f>SUM(D102:D108)</f>
        <v>1930</v>
      </c>
      <c r="E110" s="438">
        <f>SUM(E102:E108)</f>
        <v>1886</v>
      </c>
      <c r="F110" s="131"/>
    </row>
    <row r="111" spans="1:6">
      <c r="B111" s="273"/>
      <c r="D111" s="437"/>
      <c r="E111" s="437"/>
      <c r="F111" s="131"/>
    </row>
    <row r="112" spans="1:6">
      <c r="A112" s="1431">
        <v>22</v>
      </c>
      <c r="B112" s="272" t="s">
        <v>665</v>
      </c>
      <c r="D112" s="438">
        <f>D110+D99</f>
        <v>2631</v>
      </c>
      <c r="E112" s="438">
        <f>E110+E99</f>
        <v>2655</v>
      </c>
      <c r="F112" s="131"/>
    </row>
    <row r="113" spans="1:9">
      <c r="B113" s="273"/>
      <c r="D113" s="437"/>
      <c r="E113" s="437"/>
      <c r="F113" s="131"/>
    </row>
    <row r="114" spans="1:9">
      <c r="A114" s="1431">
        <v>23</v>
      </c>
      <c r="B114" s="272" t="s">
        <v>666</v>
      </c>
      <c r="D114" s="438">
        <f>D112+D87</f>
        <v>3682</v>
      </c>
      <c r="E114" s="438">
        <f>E112+E87</f>
        <v>3639</v>
      </c>
      <c r="F114" s="131"/>
    </row>
    <row r="115" spans="1:9">
      <c r="B115" s="268"/>
      <c r="D115" s="437"/>
      <c r="E115" s="437"/>
      <c r="F115" s="131"/>
    </row>
    <row r="116" spans="1:9">
      <c r="A116" s="1431">
        <v>24</v>
      </c>
      <c r="B116" s="270" t="s">
        <v>667</v>
      </c>
      <c r="D116" s="437"/>
      <c r="E116" s="437"/>
      <c r="F116" s="131"/>
    </row>
    <row r="117" spans="1:9">
      <c r="A117" s="76" t="s">
        <v>1329</v>
      </c>
      <c r="B117" s="270" t="s">
        <v>668</v>
      </c>
      <c r="D117" s="1280">
        <v>348</v>
      </c>
      <c r="E117" s="1280">
        <v>330</v>
      </c>
      <c r="F117" s="131"/>
    </row>
    <row r="118" spans="1:9">
      <c r="A118" s="76" t="s">
        <v>1330</v>
      </c>
      <c r="B118" s="270" t="s">
        <v>2026</v>
      </c>
      <c r="D118" s="1280">
        <v>7</v>
      </c>
      <c r="E118" s="1280">
        <v>8</v>
      </c>
      <c r="F118" s="131"/>
    </row>
    <row r="119" spans="1:9">
      <c r="A119" s="76" t="s">
        <v>1331</v>
      </c>
      <c r="B119" s="270" t="s">
        <v>2024</v>
      </c>
      <c r="D119" s="1280">
        <v>76</v>
      </c>
      <c r="E119" s="1280">
        <v>10</v>
      </c>
      <c r="F119" s="131"/>
      <c r="I119" s="1697"/>
    </row>
    <row r="120" spans="1:9">
      <c r="A120" s="76" t="s">
        <v>1332</v>
      </c>
      <c r="B120" s="270" t="s">
        <v>2047</v>
      </c>
      <c r="D120" s="1280">
        <v>41</v>
      </c>
      <c r="E120" s="1280"/>
      <c r="F120" s="131"/>
    </row>
    <row r="121" spans="1:9">
      <c r="A121" s="76" t="s">
        <v>541</v>
      </c>
      <c r="B121" s="1472" t="s">
        <v>1166</v>
      </c>
      <c r="D121" s="1425"/>
      <c r="E121" s="1425"/>
      <c r="F121" s="128"/>
    </row>
    <row r="122" spans="1:9">
      <c r="B122" s="268"/>
      <c r="D122" s="437">
        <f>SUM(D117:D121)</f>
        <v>472</v>
      </c>
      <c r="E122" s="437">
        <f>SUM(E117:E121)</f>
        <v>348</v>
      </c>
      <c r="F122" s="131"/>
    </row>
    <row r="123" spans="1:9">
      <c r="A123" s="1431">
        <v>25</v>
      </c>
      <c r="B123" s="270" t="s">
        <v>669</v>
      </c>
      <c r="D123" s="437"/>
      <c r="E123" s="437"/>
      <c r="F123" s="131"/>
    </row>
    <row r="124" spans="1:9">
      <c r="A124" s="76" t="s">
        <v>567</v>
      </c>
      <c r="B124" s="267" t="s">
        <v>670</v>
      </c>
      <c r="D124" s="1280">
        <v>3171</v>
      </c>
      <c r="E124" s="1280">
        <v>2973</v>
      </c>
      <c r="F124" s="131"/>
    </row>
    <row r="125" spans="1:9">
      <c r="A125" s="76" t="s">
        <v>568</v>
      </c>
      <c r="B125" s="267" t="s">
        <v>671</v>
      </c>
      <c r="D125" s="1280">
        <v>42</v>
      </c>
      <c r="E125" s="1280">
        <v>32</v>
      </c>
      <c r="F125" s="131"/>
    </row>
    <row r="126" spans="1:9">
      <c r="A126" s="76" t="s">
        <v>569</v>
      </c>
      <c r="B126" s="267" t="s">
        <v>672</v>
      </c>
      <c r="D126" s="1280">
        <v>1521</v>
      </c>
      <c r="E126" s="1280">
        <v>1734</v>
      </c>
      <c r="F126" s="131"/>
    </row>
    <row r="127" spans="1:9">
      <c r="A127" s="76" t="s">
        <v>2048</v>
      </c>
      <c r="B127" s="270" t="s">
        <v>2047</v>
      </c>
      <c r="D127" s="1280"/>
      <c r="E127" s="1280"/>
      <c r="F127" s="131"/>
    </row>
    <row r="128" spans="1:9">
      <c r="A128" s="76" t="s">
        <v>541</v>
      </c>
      <c r="B128" s="1472" t="s">
        <v>1166</v>
      </c>
      <c r="D128" s="1425"/>
      <c r="E128" s="1425"/>
      <c r="F128" s="128"/>
    </row>
    <row r="129" spans="1:6">
      <c r="B129" s="268"/>
      <c r="D129" s="437"/>
      <c r="E129" s="437"/>
      <c r="F129" s="131"/>
    </row>
    <row r="130" spans="1:6">
      <c r="A130" s="1431">
        <v>26</v>
      </c>
      <c r="B130" s="277" t="s">
        <v>673</v>
      </c>
      <c r="D130" s="438">
        <f>SUM(D124:D128)</f>
        <v>4734</v>
      </c>
      <c r="E130" s="438">
        <f>SUM(E124:E128)</f>
        <v>4739</v>
      </c>
      <c r="F130" s="131"/>
    </row>
    <row r="131" spans="1:6" s="279" customFormat="1" ht="16.5" thickBot="1">
      <c r="A131" s="1431">
        <v>27</v>
      </c>
      <c r="B131" s="278" t="s">
        <v>674</v>
      </c>
      <c r="D131" s="439">
        <f>D130+D122+D114</f>
        <v>8888</v>
      </c>
      <c r="E131" s="439">
        <f>E130+E122+E114</f>
        <v>8726</v>
      </c>
      <c r="F131" s="266"/>
    </row>
    <row r="132" spans="1:6" ht="16.5" thickTop="1">
      <c r="B132" s="126"/>
      <c r="D132" s="275"/>
      <c r="E132" s="275"/>
      <c r="F132" s="131"/>
    </row>
    <row r="134" spans="1:6" ht="15">
      <c r="A134" s="1432" t="str">
        <f>A73</f>
        <v>1/  Source:</v>
      </c>
      <c r="B134" s="127" t="str">
        <f>B73</f>
        <v>Annual Financial Statements</v>
      </c>
      <c r="D134" s="1697"/>
    </row>
    <row r="135" spans="1:6" ht="15">
      <c r="A135" s="1433"/>
      <c r="B135" s="127"/>
    </row>
  </sheetData>
  <customSheetViews>
    <customSheetView guid="{B321D76C-CDE5-48BB-9CDE-80FF97D58FCF}" showPageBreaks="1" printArea="1" view="pageBreakPreview">
      <selection activeCell="D33" sqref="D33"/>
      <rowBreaks count="1" manualBreakCount="1">
        <brk id="70" max="6" man="1"/>
      </rowBreaks>
      <pageMargins left="0.25" right="0.25" top="0" bottom="0" header="0.5" footer="0.5"/>
      <printOptions horizontalCentered="1"/>
      <pageSetup scale="75" fitToHeight="2" orientation="portrait" r:id="rId1"/>
      <headerFooter alignWithMargins="0"/>
    </customSheetView>
  </customSheetViews>
  <mergeCells count="6">
    <mergeCell ref="A4:G4"/>
    <mergeCell ref="A5:G5"/>
    <mergeCell ref="A6:G6"/>
    <mergeCell ref="A8:G8"/>
    <mergeCell ref="A10:G10"/>
    <mergeCell ref="A9:G9"/>
  </mergeCells>
  <printOptions horizontalCentered="1"/>
  <pageMargins left="0.25" right="0.25" top="0" bottom="0" header="0.5" footer="0.5"/>
  <pageSetup scale="75" fitToHeight="2" orientation="portrait" r:id="rId2"/>
  <headerFooter alignWithMargins="0"/>
  <rowBreaks count="1" manualBreakCount="1">
    <brk id="73" max="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tabColor rgb="FF92D050"/>
    <pageSetUpPr fitToPage="1"/>
  </sheetPr>
  <dimension ref="A1:O46"/>
  <sheetViews>
    <sheetView showGridLines="0" tabSelected="1" defaultGridColor="0" view="pageBreakPreview" colorId="22" zoomScale="62" zoomScaleNormal="90" zoomScaleSheetLayoutView="62" workbookViewId="0">
      <selection activeCell="C30" sqref="C30"/>
    </sheetView>
  </sheetViews>
  <sheetFormatPr defaultColWidth="13.5" defaultRowHeight="12"/>
  <cols>
    <col min="1" max="1" width="6.75" style="13" customWidth="1"/>
    <col min="2" max="2" width="8.75" style="13" customWidth="1"/>
    <col min="3" max="3" width="8.5" style="24" customWidth="1"/>
    <col min="4" max="4" width="2.375" style="13" customWidth="1"/>
    <col min="5" max="5" width="15.375" style="13" customWidth="1"/>
    <col min="6" max="6" width="25.25" style="13" customWidth="1"/>
    <col min="7" max="7" width="20" style="13" bestFit="1" customWidth="1"/>
    <col min="8" max="8" width="21.25" style="13" customWidth="1"/>
    <col min="9" max="9" width="14.5" style="13" bestFit="1" customWidth="1"/>
    <col min="10" max="10" width="26.625" style="13" customWidth="1"/>
    <col min="11" max="11" width="29.125" style="13" customWidth="1"/>
    <col min="12" max="12" width="27.5" style="13" customWidth="1"/>
    <col min="13" max="13" width="24.75" style="13" bestFit="1" customWidth="1"/>
    <col min="14" max="14" width="11" style="13" bestFit="1" customWidth="1"/>
    <col min="15" max="15" width="29.75" style="13" bestFit="1" customWidth="1"/>
    <col min="16" max="16" width="12.5" style="13" bestFit="1" customWidth="1"/>
    <col min="17" max="17" width="1.5" style="13" customWidth="1"/>
    <col min="18" max="18" width="12.5" style="13" bestFit="1" customWidth="1"/>
    <col min="19" max="16384" width="13.5" style="13"/>
  </cols>
  <sheetData>
    <row r="1" spans="1:13" s="17" customFormat="1" ht="15.75">
      <c r="A1" s="14" t="s">
        <v>891</v>
      </c>
      <c r="B1" s="20"/>
      <c r="C1" s="101"/>
      <c r="D1" s="20"/>
      <c r="E1" s="20"/>
      <c r="F1" s="20"/>
      <c r="G1" s="20"/>
      <c r="H1" s="20"/>
      <c r="I1" s="20"/>
      <c r="J1" s="20"/>
      <c r="K1" s="20"/>
      <c r="L1" s="159"/>
      <c r="M1" s="60"/>
    </row>
    <row r="2" spans="1:13" s="17" customFormat="1" ht="15.75">
      <c r="A2" s="14"/>
      <c r="B2" s="20"/>
      <c r="C2" s="101"/>
      <c r="D2" s="20"/>
      <c r="E2" s="20"/>
      <c r="F2" s="20"/>
      <c r="G2" s="20"/>
      <c r="H2" s="20"/>
      <c r="I2" s="20"/>
      <c r="J2" s="20"/>
      <c r="K2" s="20"/>
      <c r="L2" s="102"/>
      <c r="M2" s="154"/>
    </row>
    <row r="3" spans="1:13" ht="18">
      <c r="A3" s="1788" t="s">
        <v>200</v>
      </c>
      <c r="B3" s="1788"/>
      <c r="C3" s="1788"/>
      <c r="D3" s="1788"/>
      <c r="E3" s="1788"/>
      <c r="F3" s="1788"/>
      <c r="G3" s="1788"/>
      <c r="H3" s="1788"/>
      <c r="I3" s="1788"/>
      <c r="J3" s="1788"/>
      <c r="K3" s="1788"/>
      <c r="L3" s="1788"/>
      <c r="M3" s="1788"/>
    </row>
    <row r="4" spans="1:13" ht="18">
      <c r="A4" s="1788" t="s">
        <v>103</v>
      </c>
      <c r="B4" s="1788"/>
      <c r="C4" s="1788"/>
      <c r="D4" s="1788"/>
      <c r="E4" s="1788"/>
      <c r="F4" s="1788"/>
      <c r="G4" s="1788"/>
      <c r="H4" s="1788"/>
      <c r="I4" s="1788"/>
      <c r="J4" s="1788"/>
      <c r="K4" s="1788"/>
      <c r="L4" s="1788"/>
      <c r="M4" s="1788"/>
    </row>
    <row r="5" spans="1:13" ht="18">
      <c r="A5" s="1789" t="s">
        <v>2036</v>
      </c>
      <c r="B5" s="1789"/>
      <c r="C5" s="1789"/>
      <c r="D5" s="1789"/>
      <c r="E5" s="1789"/>
      <c r="F5" s="1789"/>
      <c r="G5" s="1789"/>
      <c r="H5" s="1789"/>
      <c r="I5" s="1789"/>
      <c r="J5" s="1789"/>
      <c r="K5" s="1789"/>
      <c r="L5" s="1789"/>
      <c r="M5" s="1789"/>
    </row>
    <row r="6" spans="1:13" ht="18">
      <c r="A6" s="11"/>
      <c r="B6" s="11"/>
      <c r="C6" s="23"/>
      <c r="D6" s="11"/>
      <c r="E6" s="11"/>
      <c r="F6" s="11"/>
      <c r="G6" s="11"/>
      <c r="H6" s="11"/>
      <c r="I6" s="11"/>
      <c r="J6" s="11"/>
      <c r="K6" s="11"/>
      <c r="L6" s="11"/>
      <c r="M6" s="11"/>
    </row>
    <row r="7" spans="1:13" ht="18">
      <c r="A7" s="1790" t="s">
        <v>890</v>
      </c>
      <c r="B7" s="1790"/>
      <c r="C7" s="1790"/>
      <c r="D7" s="1790"/>
      <c r="E7" s="1790"/>
      <c r="F7" s="1790"/>
      <c r="G7" s="1790"/>
      <c r="H7" s="1790"/>
      <c r="I7" s="1790"/>
      <c r="J7" s="1790"/>
      <c r="K7" s="1790"/>
      <c r="L7" s="1790"/>
      <c r="M7" s="1790"/>
    </row>
    <row r="8" spans="1:13" s="17" customFormat="1" ht="18">
      <c r="A8" s="1788" t="s">
        <v>201</v>
      </c>
      <c r="B8" s="1788"/>
      <c r="C8" s="1788"/>
      <c r="D8" s="1788"/>
      <c r="E8" s="1788"/>
      <c r="F8" s="1788"/>
      <c r="G8" s="1788"/>
      <c r="H8" s="1788"/>
      <c r="I8" s="1788"/>
      <c r="J8" s="1788"/>
      <c r="K8" s="1788"/>
      <c r="L8" s="1788"/>
      <c r="M8" s="1788"/>
    </row>
    <row r="9" spans="1:13" s="100" customFormat="1" ht="18">
      <c r="A9" s="758"/>
      <c r="B9" s="758"/>
      <c r="C9" s="758"/>
      <c r="D9" s="758"/>
      <c r="E9" s="758"/>
      <c r="F9" s="758"/>
      <c r="G9" s="758"/>
      <c r="H9" s="758"/>
      <c r="I9" s="758"/>
      <c r="J9" s="758"/>
      <c r="K9" s="758"/>
      <c r="L9" s="758"/>
      <c r="M9" s="758"/>
    </row>
    <row r="10" spans="1:13" s="100" customFormat="1" ht="15">
      <c r="A10" s="20"/>
      <c r="B10" s="20"/>
      <c r="C10" s="918"/>
      <c r="D10" s="20"/>
      <c r="E10" s="20"/>
      <c r="F10" s="20"/>
      <c r="G10" s="20"/>
      <c r="H10" s="20"/>
      <c r="I10" s="20"/>
      <c r="K10" s="20"/>
      <c r="L10" s="20"/>
      <c r="M10" s="20"/>
    </row>
    <row r="11" spans="1:13" s="322" customFormat="1" ht="15.75">
      <c r="A11" s="14"/>
      <c r="B11" s="14"/>
      <c r="C11" s="895" t="s">
        <v>0</v>
      </c>
      <c r="D11" s="14"/>
      <c r="E11" s="14"/>
      <c r="F11" s="14"/>
      <c r="G11" s="14"/>
      <c r="H11" s="759" t="s">
        <v>304</v>
      </c>
      <c r="I11" s="759" t="s">
        <v>34</v>
      </c>
      <c r="J11" s="759" t="s">
        <v>33</v>
      </c>
      <c r="K11" s="14"/>
      <c r="L11" s="14"/>
      <c r="M11" s="14"/>
    </row>
    <row r="12" spans="1:13" s="322" customFormat="1" ht="15.75">
      <c r="A12" s="14"/>
      <c r="B12" s="893" t="s">
        <v>1</v>
      </c>
      <c r="C12" s="919" t="s">
        <v>2</v>
      </c>
      <c r="D12" s="14"/>
      <c r="E12" s="894" t="s">
        <v>3</v>
      </c>
      <c r="F12" s="14"/>
      <c r="G12" s="14" t="s">
        <v>455</v>
      </c>
      <c r="H12" s="893" t="s">
        <v>817</v>
      </c>
      <c r="I12" s="893" t="s">
        <v>359</v>
      </c>
      <c r="J12" s="893" t="s">
        <v>340</v>
      </c>
      <c r="K12" s="14"/>
      <c r="L12" s="894" t="s">
        <v>35</v>
      </c>
      <c r="M12" s="894" t="s">
        <v>1773</v>
      </c>
    </row>
    <row r="13" spans="1:13" s="100" customFormat="1" ht="15">
      <c r="A13" s="20"/>
      <c r="B13" s="20"/>
      <c r="C13" s="918" t="s">
        <v>6</v>
      </c>
      <c r="D13" s="20"/>
      <c r="E13" s="21" t="s">
        <v>7</v>
      </c>
      <c r="F13" s="20"/>
      <c r="G13" s="20"/>
      <c r="H13" s="21" t="s">
        <v>8</v>
      </c>
      <c r="I13" s="21" t="s">
        <v>9</v>
      </c>
      <c r="J13" s="21" t="s">
        <v>28</v>
      </c>
      <c r="K13" s="20"/>
      <c r="L13" s="21" t="s">
        <v>29</v>
      </c>
      <c r="M13" s="918" t="s">
        <v>372</v>
      </c>
    </row>
    <row r="14" spans="1:13" s="100" customFormat="1" ht="15">
      <c r="A14" s="20"/>
      <c r="B14" s="20"/>
      <c r="C14" s="918"/>
      <c r="D14" s="20"/>
      <c r="E14" s="20"/>
      <c r="F14" s="20"/>
      <c r="G14" s="20"/>
      <c r="H14" s="20"/>
      <c r="I14" s="20"/>
      <c r="J14" s="20"/>
      <c r="K14" s="20"/>
      <c r="L14" s="20"/>
      <c r="M14" s="20"/>
    </row>
    <row r="15" spans="1:13" s="100" customFormat="1" ht="15.75">
      <c r="A15" s="20"/>
      <c r="B15" s="759"/>
      <c r="C15" s="920" t="s">
        <v>36</v>
      </c>
      <c r="D15" s="921"/>
      <c r="E15" s="921"/>
      <c r="F15" s="20"/>
      <c r="G15" s="20"/>
      <c r="H15" s="914"/>
      <c r="I15" s="914"/>
      <c r="J15" s="914"/>
      <c r="K15" s="20"/>
      <c r="L15" s="20"/>
      <c r="M15" s="20"/>
    </row>
    <row r="16" spans="1:13" s="100" customFormat="1" ht="15.75">
      <c r="A16" s="20"/>
      <c r="B16" s="759">
        <v>1</v>
      </c>
      <c r="C16" s="568">
        <v>920</v>
      </c>
      <c r="D16" s="20" t="s">
        <v>11</v>
      </c>
      <c r="E16" s="20" t="s">
        <v>37</v>
      </c>
      <c r="F16" s="20"/>
      <c r="G16" s="20" t="s">
        <v>1637</v>
      </c>
      <c r="H16" s="1577">
        <f>'WP-AA'!F34</f>
        <v>72575353.396908149</v>
      </c>
      <c r="I16" s="1577"/>
      <c r="J16" s="1577"/>
      <c r="K16" s="20"/>
      <c r="L16" s="20"/>
      <c r="M16" s="20" t="s">
        <v>1687</v>
      </c>
    </row>
    <row r="17" spans="1:15" s="100" customFormat="1" ht="15.75">
      <c r="A17" s="20"/>
      <c r="B17" s="759">
        <f t="shared" ref="B17:B23" si="0">B16+1</f>
        <v>2</v>
      </c>
      <c r="C17" s="568">
        <v>921</v>
      </c>
      <c r="D17" s="20"/>
      <c r="E17" s="20" t="s">
        <v>38</v>
      </c>
      <c r="F17" s="20"/>
      <c r="G17" s="20" t="s">
        <v>1637</v>
      </c>
      <c r="H17" s="1577">
        <f>'WP-AA'!F35</f>
        <v>28131768.875966236</v>
      </c>
      <c r="I17" s="1577"/>
      <c r="J17" s="1577"/>
      <c r="K17" s="20"/>
      <c r="L17" s="20"/>
      <c r="M17" s="20" t="s">
        <v>1688</v>
      </c>
    </row>
    <row r="18" spans="1:15" s="100" customFormat="1" ht="15.75">
      <c r="A18" s="20"/>
      <c r="B18" s="759">
        <f t="shared" si="0"/>
        <v>3</v>
      </c>
      <c r="C18" s="568">
        <v>922</v>
      </c>
      <c r="D18" s="20"/>
      <c r="E18" s="20" t="s">
        <v>320</v>
      </c>
      <c r="F18" s="20"/>
      <c r="G18" s="20" t="s">
        <v>1637</v>
      </c>
      <c r="H18" s="1577">
        <f>'WP-AA'!F36</f>
        <v>-14239040.280000001</v>
      </c>
      <c r="I18" s="1577"/>
      <c r="J18" s="1577"/>
      <c r="K18" s="20"/>
      <c r="L18" s="20"/>
      <c r="M18" s="20" t="s">
        <v>1689</v>
      </c>
    </row>
    <row r="19" spans="1:15" s="100" customFormat="1" ht="15.75">
      <c r="A19" s="20"/>
      <c r="B19" s="759">
        <f t="shared" si="0"/>
        <v>4</v>
      </c>
      <c r="C19" s="568">
        <v>923</v>
      </c>
      <c r="D19" s="20"/>
      <c r="E19" s="20" t="s">
        <v>39</v>
      </c>
      <c r="F19" s="20"/>
      <c r="G19" s="20" t="s">
        <v>1637</v>
      </c>
      <c r="H19" s="1577">
        <f>'WP-AA'!F37</f>
        <v>30439458.986750524</v>
      </c>
      <c r="I19" s="1592"/>
      <c r="J19" s="1577"/>
      <c r="K19" s="20"/>
      <c r="L19" s="20"/>
      <c r="M19" s="20" t="s">
        <v>1690</v>
      </c>
    </row>
    <row r="20" spans="1:15" s="100" customFormat="1" ht="15.75">
      <c r="A20" s="20"/>
      <c r="B20" s="759">
        <f t="shared" si="0"/>
        <v>5</v>
      </c>
      <c r="C20" s="568">
        <v>924</v>
      </c>
      <c r="D20" s="20"/>
      <c r="E20" s="20" t="s">
        <v>40</v>
      </c>
      <c r="F20" s="20"/>
      <c r="G20" s="20" t="s">
        <v>1637</v>
      </c>
      <c r="H20" s="1577">
        <f>'WP-AA'!F38</f>
        <v>5649171.5380288279</v>
      </c>
      <c r="I20" s="1594"/>
      <c r="J20" s="1577">
        <f>'WP-AG'!J37</f>
        <v>1200287.7805344225</v>
      </c>
      <c r="K20" s="914"/>
      <c r="L20" s="914" t="s">
        <v>1642</v>
      </c>
      <c r="M20" s="20" t="s">
        <v>1691</v>
      </c>
      <c r="N20" s="208"/>
      <c r="O20" s="923"/>
    </row>
    <row r="21" spans="1:15" s="100" customFormat="1" ht="15.75">
      <c r="A21" s="20"/>
      <c r="B21" s="759">
        <f t="shared" si="0"/>
        <v>6</v>
      </c>
      <c r="C21" s="568" t="s">
        <v>333</v>
      </c>
      <c r="D21" s="20"/>
      <c r="E21" s="20" t="s">
        <v>334</v>
      </c>
      <c r="F21" s="20"/>
      <c r="G21" s="20" t="s">
        <v>1637</v>
      </c>
      <c r="H21" s="1577">
        <f>'WP-AA'!F39</f>
        <v>3642073.8284281199</v>
      </c>
      <c r="I21" s="1310"/>
      <c r="J21" s="1577">
        <f>'WP-AH'!J36</f>
        <v>1320589.4433446685</v>
      </c>
      <c r="K21" s="914"/>
      <c r="L21" s="914" t="s">
        <v>1643</v>
      </c>
      <c r="M21" s="20" t="s">
        <v>1692</v>
      </c>
      <c r="N21" s="208"/>
      <c r="O21" s="923"/>
    </row>
    <row r="22" spans="1:15" s="100" customFormat="1" ht="15.75">
      <c r="A22" s="20"/>
      <c r="B22" s="759">
        <f t="shared" si="0"/>
        <v>7</v>
      </c>
      <c r="C22" s="568">
        <v>926</v>
      </c>
      <c r="D22" s="20"/>
      <c r="E22" s="20" t="s">
        <v>41</v>
      </c>
      <c r="F22" s="20"/>
      <c r="G22" s="20" t="s">
        <v>1637</v>
      </c>
      <c r="H22" s="1577">
        <f>'WP-AA'!F40+'WP-AA'!F41</f>
        <v>27097724.102288321</v>
      </c>
      <c r="I22" s="1577"/>
      <c r="J22" s="1577"/>
      <c r="K22" s="20"/>
      <c r="L22" s="20"/>
      <c r="M22" s="20" t="s">
        <v>1693</v>
      </c>
    </row>
    <row r="23" spans="1:15" s="100" customFormat="1" ht="15.75">
      <c r="A23" s="20"/>
      <c r="B23" s="759">
        <f t="shared" si="0"/>
        <v>8</v>
      </c>
      <c r="C23" s="568">
        <v>928</v>
      </c>
      <c r="D23" s="20"/>
      <c r="E23" s="20" t="s">
        <v>42</v>
      </c>
      <c r="F23" s="20"/>
      <c r="G23" s="20" t="s">
        <v>1637</v>
      </c>
      <c r="H23" s="1577">
        <f>'WP-AA'!F42</f>
        <v>4471345.75</v>
      </c>
      <c r="I23" s="1577"/>
      <c r="J23" s="1577">
        <f>'WP-AA'!D42</f>
        <v>0</v>
      </c>
      <c r="K23" s="20"/>
      <c r="L23" s="20" t="s">
        <v>1641</v>
      </c>
      <c r="M23" s="20" t="s">
        <v>1694</v>
      </c>
    </row>
    <row r="24" spans="1:15" s="100" customFormat="1" ht="15.75">
      <c r="A24" s="20"/>
      <c r="B24" s="759">
        <f t="shared" ref="B24:B30" si="1">B23+1</f>
        <v>9</v>
      </c>
      <c r="C24" s="568" t="s">
        <v>449</v>
      </c>
      <c r="D24" s="20"/>
      <c r="E24" s="20" t="s">
        <v>445</v>
      </c>
      <c r="F24" s="20"/>
      <c r="G24" s="20" t="s">
        <v>1637</v>
      </c>
      <c r="H24" s="1577">
        <f>'WP-AA'!F43</f>
        <v>797681.58</v>
      </c>
      <c r="I24" s="1577"/>
      <c r="J24" s="1577"/>
      <c r="K24" s="20"/>
      <c r="L24" s="20"/>
      <c r="M24" s="20" t="s">
        <v>1695</v>
      </c>
    </row>
    <row r="25" spans="1:15" s="100" customFormat="1" ht="15.75">
      <c r="A25" s="20"/>
      <c r="B25" s="759">
        <f t="shared" si="1"/>
        <v>10</v>
      </c>
      <c r="C25" s="568" t="s">
        <v>606</v>
      </c>
      <c r="D25" s="20"/>
      <c r="E25" s="20" t="s">
        <v>607</v>
      </c>
      <c r="F25" s="20"/>
      <c r="G25" s="20" t="s">
        <v>1637</v>
      </c>
      <c r="H25" s="1577">
        <f>'WP-AA'!F44</f>
        <v>239551.59223703726</v>
      </c>
      <c r="I25" s="1577"/>
      <c r="J25" s="1577"/>
      <c r="K25" s="20"/>
      <c r="L25" s="20"/>
      <c r="M25" s="20" t="s">
        <v>1696</v>
      </c>
    </row>
    <row r="26" spans="1:15" s="100" customFormat="1" ht="15.75">
      <c r="A26" s="20"/>
      <c r="B26" s="759">
        <f t="shared" si="1"/>
        <v>11</v>
      </c>
      <c r="C26" s="924" t="s">
        <v>380</v>
      </c>
      <c r="D26" s="914"/>
      <c r="E26" s="914" t="s">
        <v>378</v>
      </c>
      <c r="F26" s="914"/>
      <c r="G26" s="20" t="s">
        <v>1637</v>
      </c>
      <c r="H26" s="1577">
        <f>'WP-AA'!F45</f>
        <v>5887245.0271568047</v>
      </c>
      <c r="I26" s="1577"/>
      <c r="J26" s="1577"/>
      <c r="K26" s="20"/>
      <c r="L26" s="20"/>
      <c r="M26" s="20" t="s">
        <v>1697</v>
      </c>
    </row>
    <row r="27" spans="1:15" s="100" customFormat="1" ht="15.75">
      <c r="A27" s="20"/>
      <c r="B27" s="759">
        <f t="shared" si="1"/>
        <v>12</v>
      </c>
      <c r="C27" s="924" t="s">
        <v>377</v>
      </c>
      <c r="D27" s="914"/>
      <c r="E27" s="914" t="s">
        <v>379</v>
      </c>
      <c r="F27" s="914"/>
      <c r="G27" s="20" t="s">
        <v>361</v>
      </c>
      <c r="H27" s="1577">
        <f>'WP-AA'!F46</f>
        <v>8774249.75</v>
      </c>
      <c r="I27" s="1577"/>
      <c r="J27" s="1577">
        <f>('WP-AA'!D46)+(('WP-AA'!E46)*'E1-Labor Ratio'!H21)</f>
        <v>4015972.0246002944</v>
      </c>
      <c r="K27" s="20"/>
      <c r="L27" s="368" t="s">
        <v>361</v>
      </c>
      <c r="M27" s="20" t="s">
        <v>1698</v>
      </c>
    </row>
    <row r="28" spans="1:15" s="100" customFormat="1" ht="15.75">
      <c r="A28" s="20"/>
      <c r="B28" s="759">
        <f>B27+1</f>
        <v>13</v>
      </c>
      <c r="C28" s="568">
        <v>931</v>
      </c>
      <c r="D28" s="20"/>
      <c r="E28" s="20" t="s">
        <v>17</v>
      </c>
      <c r="F28" s="20"/>
      <c r="G28" s="20" t="s">
        <v>1637</v>
      </c>
      <c r="H28" s="1577">
        <f>'WP-AA'!F47</f>
        <v>854718.10223599686</v>
      </c>
      <c r="I28" s="1577"/>
      <c r="J28" s="1577"/>
      <c r="K28" s="20"/>
      <c r="L28" s="20"/>
      <c r="M28" s="20" t="s">
        <v>1699</v>
      </c>
    </row>
    <row r="29" spans="1:15" s="100" customFormat="1" ht="15.75">
      <c r="A29" s="20"/>
      <c r="B29" s="759">
        <f t="shared" si="1"/>
        <v>14</v>
      </c>
      <c r="C29" s="568">
        <v>935</v>
      </c>
      <c r="D29" s="20"/>
      <c r="E29" s="20" t="s">
        <v>43</v>
      </c>
      <c r="F29" s="20"/>
      <c r="G29" s="20" t="s">
        <v>1637</v>
      </c>
      <c r="H29" s="1595">
        <f>'WP-AA'!F48</f>
        <v>5561363.3699999992</v>
      </c>
      <c r="I29" s="1592"/>
      <c r="J29" s="1581"/>
      <c r="K29" s="20"/>
      <c r="L29" s="20"/>
      <c r="M29" s="20" t="s">
        <v>1700</v>
      </c>
    </row>
    <row r="30" spans="1:15" s="100" customFormat="1" ht="15.75">
      <c r="A30" s="20"/>
      <c r="B30" s="759">
        <f t="shared" si="1"/>
        <v>15</v>
      </c>
      <c r="C30" s="918"/>
      <c r="D30" s="20"/>
      <c r="E30" s="759" t="s">
        <v>32</v>
      </c>
      <c r="F30" s="20"/>
      <c r="G30" s="20" t="s">
        <v>466</v>
      </c>
      <c r="H30" s="1588">
        <f>SUM(H16:H29)</f>
        <v>179882665.62</v>
      </c>
      <c r="I30" s="1588"/>
      <c r="J30" s="1588"/>
      <c r="K30" s="20"/>
      <c r="L30" s="20"/>
      <c r="M30" s="20"/>
    </row>
    <row r="31" spans="1:15" s="100" customFormat="1" ht="15.75">
      <c r="A31" s="20"/>
      <c r="B31" s="759"/>
      <c r="C31" s="918"/>
      <c r="D31" s="20"/>
      <c r="E31" s="759"/>
      <c r="F31" s="20"/>
      <c r="G31" s="20"/>
      <c r="H31" s="1588"/>
      <c r="I31" s="1588"/>
      <c r="J31" s="1588"/>
      <c r="K31" s="20"/>
      <c r="L31" s="20"/>
      <c r="M31" s="20"/>
    </row>
    <row r="32" spans="1:15" s="100" customFormat="1" ht="15.75">
      <c r="A32" s="20"/>
      <c r="B32" s="759">
        <f>B30+1</f>
        <v>16</v>
      </c>
      <c r="C32" s="918"/>
      <c r="D32" s="20"/>
      <c r="E32" s="20" t="s">
        <v>44</v>
      </c>
      <c r="F32" s="20"/>
      <c r="G32" s="20" t="s">
        <v>464</v>
      </c>
      <c r="H32" s="1596">
        <f>-H20</f>
        <v>-5649171.5380288279</v>
      </c>
      <c r="I32" s="1579"/>
      <c r="J32" s="1579"/>
      <c r="K32" s="20"/>
      <c r="L32" s="20"/>
      <c r="M32" s="20" t="s">
        <v>1691</v>
      </c>
    </row>
    <row r="33" spans="1:13" s="100" customFormat="1" ht="17.25" customHeight="1">
      <c r="A33" s="20"/>
      <c r="B33" s="759">
        <f>B32+1</f>
        <v>17</v>
      </c>
      <c r="C33" s="918"/>
      <c r="D33" s="20"/>
      <c r="E33" s="20" t="s">
        <v>343</v>
      </c>
      <c r="F33" s="20"/>
      <c r="G33" s="20" t="s">
        <v>463</v>
      </c>
      <c r="H33" s="1596">
        <f>-H21</f>
        <v>-3642073.8284281199</v>
      </c>
      <c r="I33" s="1596"/>
      <c r="J33" s="1596"/>
      <c r="K33" s="20"/>
      <c r="L33" s="20"/>
      <c r="M33" s="20" t="s">
        <v>1692</v>
      </c>
    </row>
    <row r="34" spans="1:13" s="100" customFormat="1" ht="15.75">
      <c r="A34" s="20"/>
      <c r="B34" s="759">
        <f>B33+1</f>
        <v>18</v>
      </c>
      <c r="C34" s="918"/>
      <c r="D34" s="20"/>
      <c r="E34" s="20" t="s">
        <v>744</v>
      </c>
      <c r="F34" s="20"/>
      <c r="G34" s="20" t="s">
        <v>360</v>
      </c>
      <c r="H34" s="1581">
        <v>0</v>
      </c>
      <c r="I34" s="1596"/>
      <c r="J34" s="1596"/>
      <c r="K34" s="20"/>
      <c r="L34" s="20"/>
      <c r="M34" s="20"/>
    </row>
    <row r="35" spans="1:13" s="100" customFormat="1" ht="15.75">
      <c r="A35" s="20"/>
      <c r="B35" s="1520">
        <f>B34+1</f>
        <v>19</v>
      </c>
      <c r="C35" s="918"/>
      <c r="D35" s="20"/>
      <c r="E35" s="20" t="s">
        <v>745</v>
      </c>
      <c r="F35" s="20"/>
      <c r="G35" s="20" t="s">
        <v>746</v>
      </c>
      <c r="H35" s="1581">
        <f>-H23</f>
        <v>-4471345.75</v>
      </c>
      <c r="I35" s="1596"/>
      <c r="J35" s="1596"/>
      <c r="K35" s="20"/>
      <c r="L35" s="20"/>
      <c r="M35" s="20" t="s">
        <v>1694</v>
      </c>
    </row>
    <row r="36" spans="1:13" s="100" customFormat="1" ht="15.75">
      <c r="A36" s="20"/>
      <c r="B36" s="1520">
        <f t="shared" ref="B36:B38" si="2">B35+1</f>
        <v>20</v>
      </c>
      <c r="C36" s="918"/>
      <c r="D36" s="20"/>
      <c r="E36" s="368" t="s">
        <v>1813</v>
      </c>
      <c r="F36" s="368"/>
      <c r="G36" s="368" t="s">
        <v>1814</v>
      </c>
      <c r="H36" s="1597">
        <f>-H27</f>
        <v>-8774249.75</v>
      </c>
      <c r="I36" s="1598"/>
      <c r="J36" s="1596"/>
      <c r="K36" s="20"/>
      <c r="L36" s="368" t="s">
        <v>362</v>
      </c>
      <c r="M36" s="20"/>
    </row>
    <row r="37" spans="1:13" s="100" customFormat="1" ht="15.75">
      <c r="A37" s="20"/>
      <c r="B37" s="1520">
        <f t="shared" si="2"/>
        <v>21</v>
      </c>
      <c r="C37" s="918"/>
      <c r="D37" s="20"/>
      <c r="E37" s="20" t="s">
        <v>747</v>
      </c>
      <c r="F37" s="20"/>
      <c r="G37" s="20" t="s">
        <v>895</v>
      </c>
      <c r="H37" s="1595">
        <f>'WP-AF'!H21</f>
        <v>33906253</v>
      </c>
      <c r="I37" s="1596"/>
      <c r="J37" s="1596"/>
      <c r="K37" s="20"/>
      <c r="L37" s="20"/>
      <c r="M37" s="20"/>
    </row>
    <row r="38" spans="1:13" s="100" customFormat="1" ht="15.75">
      <c r="A38" s="20"/>
      <c r="B38" s="1520">
        <f t="shared" si="2"/>
        <v>22</v>
      </c>
      <c r="C38" s="918"/>
      <c r="D38" s="20"/>
      <c r="E38" s="14" t="s">
        <v>45</v>
      </c>
      <c r="F38" s="20"/>
      <c r="G38" s="368" t="s">
        <v>1815</v>
      </c>
      <c r="H38" s="1588">
        <f>SUM(H30:H37)</f>
        <v>191252077.75354305</v>
      </c>
      <c r="I38" s="1662">
        <f>'E1-Labor Ratio'!H21</f>
        <v>0.29502901668219966</v>
      </c>
      <c r="J38" s="1588">
        <f>H38*I38</f>
        <v>56424912.438055396</v>
      </c>
      <c r="K38" s="20"/>
      <c r="L38" s="1255" t="s">
        <v>1088</v>
      </c>
      <c r="M38" s="20"/>
    </row>
    <row r="39" spans="1:13" s="100" customFormat="1" ht="15.75">
      <c r="A39" s="20"/>
      <c r="B39" s="759"/>
      <c r="C39" s="918"/>
      <c r="D39" s="20"/>
      <c r="E39" s="14"/>
      <c r="F39" s="20"/>
      <c r="G39" s="368"/>
      <c r="H39" s="1588"/>
      <c r="I39" s="1588"/>
      <c r="J39" s="1588"/>
      <c r="K39" s="20"/>
      <c r="L39" s="903" t="s">
        <v>1090</v>
      </c>
      <c r="M39" s="20"/>
    </row>
    <row r="40" spans="1:13" s="100" customFormat="1" ht="15.75">
      <c r="A40" s="20"/>
      <c r="B40" s="759">
        <f>B38+1</f>
        <v>23</v>
      </c>
      <c r="C40" s="918"/>
      <c r="D40" s="20"/>
      <c r="E40" s="14" t="s">
        <v>352</v>
      </c>
      <c r="F40" s="20"/>
      <c r="G40" s="368" t="s">
        <v>1816</v>
      </c>
      <c r="H40" s="1579"/>
      <c r="I40" s="1579"/>
      <c r="J40" s="1599">
        <f>SUM(J16:J38)</f>
        <v>62961761.686534777</v>
      </c>
      <c r="K40" s="20"/>
      <c r="L40" s="903" t="s">
        <v>1089</v>
      </c>
      <c r="M40" s="20"/>
    </row>
    <row r="41" spans="1:13" s="100" customFormat="1" ht="15">
      <c r="A41" s="20"/>
      <c r="B41" s="20"/>
      <c r="C41" s="918"/>
      <c r="D41" s="20"/>
      <c r="E41" s="20"/>
      <c r="F41" s="20"/>
      <c r="G41" s="20"/>
      <c r="H41" s="928"/>
      <c r="I41" s="20"/>
      <c r="J41" s="928"/>
      <c r="K41" s="20"/>
      <c r="M41" s="20"/>
    </row>
    <row r="42" spans="1:13" s="100" customFormat="1" ht="15">
      <c r="A42" s="1501" t="s">
        <v>1674</v>
      </c>
      <c r="B42" s="1514"/>
      <c r="C42" s="1515"/>
      <c r="D42" s="1501"/>
      <c r="E42" s="1514"/>
      <c r="F42" s="20"/>
      <c r="G42" s="20"/>
      <c r="H42" s="20"/>
      <c r="I42" s="20"/>
      <c r="J42" s="20"/>
      <c r="K42" s="20"/>
      <c r="L42" s="20"/>
      <c r="M42" s="20"/>
    </row>
    <row r="43" spans="1:13" s="100" customFormat="1" ht="15">
      <c r="A43" s="368" t="s">
        <v>1822</v>
      </c>
      <c r="B43" s="368"/>
      <c r="C43" s="1521"/>
      <c r="D43" s="368"/>
      <c r="E43" s="368"/>
      <c r="F43" s="368"/>
      <c r="G43" s="368"/>
      <c r="H43" s="368"/>
      <c r="I43" s="368"/>
      <c r="J43" s="368"/>
      <c r="K43" s="368"/>
      <c r="L43" s="368"/>
      <c r="M43" s="368"/>
    </row>
    <row r="44" spans="1:13" s="100" customFormat="1" ht="15">
      <c r="A44" s="368" t="s">
        <v>1817</v>
      </c>
      <c r="B44" s="368"/>
      <c r="C44" s="1521"/>
      <c r="D44" s="368"/>
      <c r="E44" s="368"/>
      <c r="F44" s="368"/>
      <c r="G44" s="368"/>
      <c r="H44" s="368"/>
      <c r="I44" s="368"/>
      <c r="J44" s="368"/>
      <c r="K44" s="368"/>
      <c r="L44" s="368"/>
      <c r="M44" s="368"/>
    </row>
    <row r="45" spans="1:13" ht="18">
      <c r="A45" s="368" t="s">
        <v>1823</v>
      </c>
      <c r="B45" s="370"/>
      <c r="C45" s="1522"/>
      <c r="D45" s="370"/>
      <c r="E45" s="370"/>
      <c r="F45" s="370"/>
      <c r="G45" s="370"/>
      <c r="H45" s="370"/>
      <c r="I45" s="370"/>
      <c r="J45" s="370"/>
      <c r="K45" s="370"/>
      <c r="L45" s="370"/>
      <c r="M45" s="370"/>
    </row>
    <row r="46" spans="1:13" ht="18">
      <c r="A46" s="11"/>
      <c r="B46" s="11"/>
      <c r="C46" s="23"/>
      <c r="D46" s="11"/>
      <c r="E46" s="11"/>
      <c r="F46" s="11"/>
      <c r="G46" s="11"/>
      <c r="H46" s="11"/>
      <c r="I46" s="11"/>
      <c r="J46" s="11"/>
      <c r="K46" s="11"/>
      <c r="L46" s="11"/>
      <c r="M46" s="11"/>
    </row>
  </sheetData>
  <customSheetViews>
    <customSheetView guid="{B321D76C-CDE5-48BB-9CDE-80FF97D58FCF}" scale="110" colorId="22" showPageBreaks="1" showGridLines="0" fitToPage="1" printArea="1" view="pageBreakPreview" topLeftCell="H22">
      <selection activeCell="D33" sqref="D33"/>
      <colBreaks count="2" manualBreakCount="2">
        <brk id="14" max="1048575" man="1"/>
        <brk id="15" max="1048575" man="1"/>
      </colBreaks>
      <pageMargins left="0.25" right="0.25" top="0.25" bottom="0.25" header="0.5" footer="0.5"/>
      <printOptions horizontalCentered="1"/>
      <pageSetup scale="60" orientation="landscape" r:id="rId1"/>
      <headerFooter alignWithMargins="0"/>
    </customSheetView>
  </customSheetViews>
  <mergeCells count="5">
    <mergeCell ref="A3:M3"/>
    <mergeCell ref="A4:M4"/>
    <mergeCell ref="A8:M8"/>
    <mergeCell ref="A5:M5"/>
    <mergeCell ref="A7:M7"/>
  </mergeCells>
  <phoneticPr fontId="0" type="noConversion"/>
  <printOptions horizontalCentered="1"/>
  <pageMargins left="0.25" right="0.25" top="0.25" bottom="0.25" header="0.5" footer="0.5"/>
  <pageSetup scale="56" orientation="landscape" r:id="rId2"/>
  <headerFooter alignWithMargins="0"/>
  <colBreaks count="2" manualBreakCount="2">
    <brk id="14" max="1048575" man="1"/>
    <brk id="15" max="1048575" man="1"/>
  </colBreaks>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66FF"/>
  </sheetPr>
  <dimension ref="A1:W54"/>
  <sheetViews>
    <sheetView tabSelected="1" view="pageBreakPreview" topLeftCell="A13" zoomScale="70" zoomScaleNormal="100" zoomScaleSheetLayoutView="70" workbookViewId="0">
      <selection activeCell="C30" sqref="C30"/>
    </sheetView>
  </sheetViews>
  <sheetFormatPr defaultRowHeight="15"/>
  <cols>
    <col min="1" max="1" width="9" style="289"/>
    <col min="2" max="2" width="8.125" style="289" customWidth="1"/>
    <col min="3" max="3" width="2.5" style="289" customWidth="1"/>
    <col min="4" max="4" width="4.25" style="289" customWidth="1"/>
    <col min="5" max="5" width="2.75" style="289" customWidth="1"/>
    <col min="6" max="6" width="2.25" style="289" customWidth="1"/>
    <col min="7" max="7" width="23.5" style="289" customWidth="1"/>
    <col min="8" max="8" width="4.25" style="289" customWidth="1"/>
    <col min="9" max="9" width="19" style="289" customWidth="1"/>
    <col min="10" max="10" width="12.5" style="672" bestFit="1" customWidth="1"/>
    <col min="11" max="11" width="29.125" style="672" customWidth="1"/>
    <col min="12" max="12" width="13.375" style="672" bestFit="1" customWidth="1"/>
    <col min="13" max="13" width="2.25" style="672" customWidth="1"/>
    <col min="14" max="14" width="13.5" style="672" bestFit="1" customWidth="1"/>
    <col min="15" max="15" width="2" style="672" customWidth="1"/>
    <col min="16" max="16" width="12.5" style="672" bestFit="1" customWidth="1"/>
    <col min="17" max="257" width="8.75" style="289"/>
    <col min="258" max="258" width="2.75" style="289" customWidth="1"/>
    <col min="259" max="259" width="2.5" style="289" customWidth="1"/>
    <col min="260" max="260" width="3.125" style="289" customWidth="1"/>
    <col min="261" max="261" width="2.75" style="289" customWidth="1"/>
    <col min="262" max="262" width="2.25" style="289" customWidth="1"/>
    <col min="263" max="263" width="2" style="289" customWidth="1"/>
    <col min="264" max="264" width="4.25" style="289" customWidth="1"/>
    <col min="265" max="265" width="19" style="289" customWidth="1"/>
    <col min="266" max="266" width="13.75" style="289" bestFit="1" customWidth="1"/>
    <col min="267" max="267" width="2" style="289" customWidth="1"/>
    <col min="268" max="268" width="8.75" style="289"/>
    <col min="269" max="269" width="2.25" style="289" customWidth="1"/>
    <col min="270" max="270" width="8.75" style="289"/>
    <col min="271" max="271" width="2" style="289" customWidth="1"/>
    <col min="272" max="272" width="13.75" style="289" bestFit="1" customWidth="1"/>
    <col min="273" max="513" width="8.75" style="289"/>
    <col min="514" max="514" width="2.75" style="289" customWidth="1"/>
    <col min="515" max="515" width="2.5" style="289" customWidth="1"/>
    <col min="516" max="516" width="3.125" style="289" customWidth="1"/>
    <col min="517" max="517" width="2.75" style="289" customWidth="1"/>
    <col min="518" max="518" width="2.25" style="289" customWidth="1"/>
    <col min="519" max="519" width="2" style="289" customWidth="1"/>
    <col min="520" max="520" width="4.25" style="289" customWidth="1"/>
    <col min="521" max="521" width="19" style="289" customWidth="1"/>
    <col min="522" max="522" width="13.75" style="289" bestFit="1" customWidth="1"/>
    <col min="523" max="523" width="2" style="289" customWidth="1"/>
    <col min="524" max="524" width="8.75" style="289"/>
    <col min="525" max="525" width="2.25" style="289" customWidth="1"/>
    <col min="526" max="526" width="8.75" style="289"/>
    <col min="527" max="527" width="2" style="289" customWidth="1"/>
    <col min="528" max="528" width="13.75" style="289" bestFit="1" customWidth="1"/>
    <col min="529" max="769" width="8.75" style="289"/>
    <col min="770" max="770" width="2.75" style="289" customWidth="1"/>
    <col min="771" max="771" width="2.5" style="289" customWidth="1"/>
    <col min="772" max="772" width="3.125" style="289" customWidth="1"/>
    <col min="773" max="773" width="2.75" style="289" customWidth="1"/>
    <col min="774" max="774" width="2.25" style="289" customWidth="1"/>
    <col min="775" max="775" width="2" style="289" customWidth="1"/>
    <col min="776" max="776" width="4.25" style="289" customWidth="1"/>
    <col min="777" max="777" width="19" style="289" customWidth="1"/>
    <col min="778" max="778" width="13.75" style="289" bestFit="1" customWidth="1"/>
    <col min="779" max="779" width="2" style="289" customWidth="1"/>
    <col min="780" max="780" width="8.75" style="289"/>
    <col min="781" max="781" width="2.25" style="289" customWidth="1"/>
    <col min="782" max="782" width="8.75" style="289"/>
    <col min="783" max="783" width="2" style="289" customWidth="1"/>
    <col min="784" max="784" width="13.75" style="289" bestFit="1" customWidth="1"/>
    <col min="785" max="1025" width="8.75" style="289"/>
    <col min="1026" max="1026" width="2.75" style="289" customWidth="1"/>
    <col min="1027" max="1027" width="2.5" style="289" customWidth="1"/>
    <col min="1028" max="1028" width="3.125" style="289" customWidth="1"/>
    <col min="1029" max="1029" width="2.75" style="289" customWidth="1"/>
    <col min="1030" max="1030" width="2.25" style="289" customWidth="1"/>
    <col min="1031" max="1031" width="2" style="289" customWidth="1"/>
    <col min="1032" max="1032" width="4.25" style="289" customWidth="1"/>
    <col min="1033" max="1033" width="19" style="289" customWidth="1"/>
    <col min="1034" max="1034" width="13.75" style="289" bestFit="1" customWidth="1"/>
    <col min="1035" max="1035" width="2" style="289" customWidth="1"/>
    <col min="1036" max="1036" width="8.75" style="289"/>
    <col min="1037" max="1037" width="2.25" style="289" customWidth="1"/>
    <col min="1038" max="1038" width="8.75" style="289"/>
    <col min="1039" max="1039" width="2" style="289" customWidth="1"/>
    <col min="1040" max="1040" width="13.75" style="289" bestFit="1" customWidth="1"/>
    <col min="1041" max="1281" width="8.75" style="289"/>
    <col min="1282" max="1282" width="2.75" style="289" customWidth="1"/>
    <col min="1283" max="1283" width="2.5" style="289" customWidth="1"/>
    <col min="1284" max="1284" width="3.125" style="289" customWidth="1"/>
    <col min="1285" max="1285" width="2.75" style="289" customWidth="1"/>
    <col min="1286" max="1286" width="2.25" style="289" customWidth="1"/>
    <col min="1287" max="1287" width="2" style="289" customWidth="1"/>
    <col min="1288" max="1288" width="4.25" style="289" customWidth="1"/>
    <col min="1289" max="1289" width="19" style="289" customWidth="1"/>
    <col min="1290" max="1290" width="13.75" style="289" bestFit="1" customWidth="1"/>
    <col min="1291" max="1291" width="2" style="289" customWidth="1"/>
    <col min="1292" max="1292" width="8.75" style="289"/>
    <col min="1293" max="1293" width="2.25" style="289" customWidth="1"/>
    <col min="1294" max="1294" width="8.75" style="289"/>
    <col min="1295" max="1295" width="2" style="289" customWidth="1"/>
    <col min="1296" max="1296" width="13.75" style="289" bestFit="1" customWidth="1"/>
    <col min="1297" max="1537" width="8.75" style="289"/>
    <col min="1538" max="1538" width="2.75" style="289" customWidth="1"/>
    <col min="1539" max="1539" width="2.5" style="289" customWidth="1"/>
    <col min="1540" max="1540" width="3.125" style="289" customWidth="1"/>
    <col min="1541" max="1541" width="2.75" style="289" customWidth="1"/>
    <col min="1542" max="1542" width="2.25" style="289" customWidth="1"/>
    <col min="1543" max="1543" width="2" style="289" customWidth="1"/>
    <col min="1544" max="1544" width="4.25" style="289" customWidth="1"/>
    <col min="1545" max="1545" width="19" style="289" customWidth="1"/>
    <col min="1546" max="1546" width="13.75" style="289" bestFit="1" customWidth="1"/>
    <col min="1547" max="1547" width="2" style="289" customWidth="1"/>
    <col min="1548" max="1548" width="8.75" style="289"/>
    <col min="1549" max="1549" width="2.25" style="289" customWidth="1"/>
    <col min="1550" max="1550" width="8.75" style="289"/>
    <col min="1551" max="1551" width="2" style="289" customWidth="1"/>
    <col min="1552" max="1552" width="13.75" style="289" bestFit="1" customWidth="1"/>
    <col min="1553" max="1793" width="8.75" style="289"/>
    <col min="1794" max="1794" width="2.75" style="289" customWidth="1"/>
    <col min="1795" max="1795" width="2.5" style="289" customWidth="1"/>
    <col min="1796" max="1796" width="3.125" style="289" customWidth="1"/>
    <col min="1797" max="1797" width="2.75" style="289" customWidth="1"/>
    <col min="1798" max="1798" width="2.25" style="289" customWidth="1"/>
    <col min="1799" max="1799" width="2" style="289" customWidth="1"/>
    <col min="1800" max="1800" width="4.25" style="289" customWidth="1"/>
    <col min="1801" max="1801" width="19" style="289" customWidth="1"/>
    <col min="1802" max="1802" width="13.75" style="289" bestFit="1" customWidth="1"/>
    <col min="1803" max="1803" width="2" style="289" customWidth="1"/>
    <col min="1804" max="1804" width="8.75" style="289"/>
    <col min="1805" max="1805" width="2.25" style="289" customWidth="1"/>
    <col min="1806" max="1806" width="8.75" style="289"/>
    <col min="1807" max="1807" width="2" style="289" customWidth="1"/>
    <col min="1808" max="1808" width="13.75" style="289" bestFit="1" customWidth="1"/>
    <col min="1809" max="2049" width="8.75" style="289"/>
    <col min="2050" max="2050" width="2.75" style="289" customWidth="1"/>
    <col min="2051" max="2051" width="2.5" style="289" customWidth="1"/>
    <col min="2052" max="2052" width="3.125" style="289" customWidth="1"/>
    <col min="2053" max="2053" width="2.75" style="289" customWidth="1"/>
    <col min="2054" max="2054" width="2.25" style="289" customWidth="1"/>
    <col min="2055" max="2055" width="2" style="289" customWidth="1"/>
    <col min="2056" max="2056" width="4.25" style="289" customWidth="1"/>
    <col min="2057" max="2057" width="19" style="289" customWidth="1"/>
    <col min="2058" max="2058" width="13.75" style="289" bestFit="1" customWidth="1"/>
    <col min="2059" max="2059" width="2" style="289" customWidth="1"/>
    <col min="2060" max="2060" width="8.75" style="289"/>
    <col min="2061" max="2061" width="2.25" style="289" customWidth="1"/>
    <col min="2062" max="2062" width="8.75" style="289"/>
    <col min="2063" max="2063" width="2" style="289" customWidth="1"/>
    <col min="2064" max="2064" width="13.75" style="289" bestFit="1" customWidth="1"/>
    <col min="2065" max="2305" width="8.75" style="289"/>
    <col min="2306" max="2306" width="2.75" style="289" customWidth="1"/>
    <col min="2307" max="2307" width="2.5" style="289" customWidth="1"/>
    <col min="2308" max="2308" width="3.125" style="289" customWidth="1"/>
    <col min="2309" max="2309" width="2.75" style="289" customWidth="1"/>
    <col min="2310" max="2310" width="2.25" style="289" customWidth="1"/>
    <col min="2311" max="2311" width="2" style="289" customWidth="1"/>
    <col min="2312" max="2312" width="4.25" style="289" customWidth="1"/>
    <col min="2313" max="2313" width="19" style="289" customWidth="1"/>
    <col min="2314" max="2314" width="13.75" style="289" bestFit="1" customWidth="1"/>
    <col min="2315" max="2315" width="2" style="289" customWidth="1"/>
    <col min="2316" max="2316" width="8.75" style="289"/>
    <col min="2317" max="2317" width="2.25" style="289" customWidth="1"/>
    <col min="2318" max="2318" width="8.75" style="289"/>
    <col min="2319" max="2319" width="2" style="289" customWidth="1"/>
    <col min="2320" max="2320" width="13.75" style="289" bestFit="1" customWidth="1"/>
    <col min="2321" max="2561" width="8.75" style="289"/>
    <col min="2562" max="2562" width="2.75" style="289" customWidth="1"/>
    <col min="2563" max="2563" width="2.5" style="289" customWidth="1"/>
    <col min="2564" max="2564" width="3.125" style="289" customWidth="1"/>
    <col min="2565" max="2565" width="2.75" style="289" customWidth="1"/>
    <col min="2566" max="2566" width="2.25" style="289" customWidth="1"/>
    <col min="2567" max="2567" width="2" style="289" customWidth="1"/>
    <col min="2568" max="2568" width="4.25" style="289" customWidth="1"/>
    <col min="2569" max="2569" width="19" style="289" customWidth="1"/>
    <col min="2570" max="2570" width="13.75" style="289" bestFit="1" customWidth="1"/>
    <col min="2571" max="2571" width="2" style="289" customWidth="1"/>
    <col min="2572" max="2572" width="8.75" style="289"/>
    <col min="2573" max="2573" width="2.25" style="289" customWidth="1"/>
    <col min="2574" max="2574" width="8.75" style="289"/>
    <col min="2575" max="2575" width="2" style="289" customWidth="1"/>
    <col min="2576" max="2576" width="13.75" style="289" bestFit="1" customWidth="1"/>
    <col min="2577" max="2817" width="8.75" style="289"/>
    <col min="2818" max="2818" width="2.75" style="289" customWidth="1"/>
    <col min="2819" max="2819" width="2.5" style="289" customWidth="1"/>
    <col min="2820" max="2820" width="3.125" style="289" customWidth="1"/>
    <col min="2821" max="2821" width="2.75" style="289" customWidth="1"/>
    <col min="2822" max="2822" width="2.25" style="289" customWidth="1"/>
    <col min="2823" max="2823" width="2" style="289" customWidth="1"/>
    <col min="2824" max="2824" width="4.25" style="289" customWidth="1"/>
    <col min="2825" max="2825" width="19" style="289" customWidth="1"/>
    <col min="2826" max="2826" width="13.75" style="289" bestFit="1" customWidth="1"/>
    <col min="2827" max="2827" width="2" style="289" customWidth="1"/>
    <col min="2828" max="2828" width="8.75" style="289"/>
    <col min="2829" max="2829" width="2.25" style="289" customWidth="1"/>
    <col min="2830" max="2830" width="8.75" style="289"/>
    <col min="2831" max="2831" width="2" style="289" customWidth="1"/>
    <col min="2832" max="2832" width="13.75" style="289" bestFit="1" customWidth="1"/>
    <col min="2833" max="3073" width="8.75" style="289"/>
    <col min="3074" max="3074" width="2.75" style="289" customWidth="1"/>
    <col min="3075" max="3075" width="2.5" style="289" customWidth="1"/>
    <col min="3076" max="3076" width="3.125" style="289" customWidth="1"/>
    <col min="3077" max="3077" width="2.75" style="289" customWidth="1"/>
    <col min="3078" max="3078" width="2.25" style="289" customWidth="1"/>
    <col min="3079" max="3079" width="2" style="289" customWidth="1"/>
    <col min="3080" max="3080" width="4.25" style="289" customWidth="1"/>
    <col min="3081" max="3081" width="19" style="289" customWidth="1"/>
    <col min="3082" max="3082" width="13.75" style="289" bestFit="1" customWidth="1"/>
    <col min="3083" max="3083" width="2" style="289" customWidth="1"/>
    <col min="3084" max="3084" width="8.75" style="289"/>
    <col min="3085" max="3085" width="2.25" style="289" customWidth="1"/>
    <col min="3086" max="3086" width="8.75" style="289"/>
    <col min="3087" max="3087" width="2" style="289" customWidth="1"/>
    <col min="3088" max="3088" width="13.75" style="289" bestFit="1" customWidth="1"/>
    <col min="3089" max="3329" width="8.75" style="289"/>
    <col min="3330" max="3330" width="2.75" style="289" customWidth="1"/>
    <col min="3331" max="3331" width="2.5" style="289" customWidth="1"/>
    <col min="3332" max="3332" width="3.125" style="289" customWidth="1"/>
    <col min="3333" max="3333" width="2.75" style="289" customWidth="1"/>
    <col min="3334" max="3334" width="2.25" style="289" customWidth="1"/>
    <col min="3335" max="3335" width="2" style="289" customWidth="1"/>
    <col min="3336" max="3336" width="4.25" style="289" customWidth="1"/>
    <col min="3337" max="3337" width="19" style="289" customWidth="1"/>
    <col min="3338" max="3338" width="13.75" style="289" bestFit="1" customWidth="1"/>
    <col min="3339" max="3339" width="2" style="289" customWidth="1"/>
    <col min="3340" max="3340" width="8.75" style="289"/>
    <col min="3341" max="3341" width="2.25" style="289" customWidth="1"/>
    <col min="3342" max="3342" width="8.75" style="289"/>
    <col min="3343" max="3343" width="2" style="289" customWidth="1"/>
    <col min="3344" max="3344" width="13.75" style="289" bestFit="1" customWidth="1"/>
    <col min="3345" max="3585" width="8.75" style="289"/>
    <col min="3586" max="3586" width="2.75" style="289" customWidth="1"/>
    <col min="3587" max="3587" width="2.5" style="289" customWidth="1"/>
    <col min="3588" max="3588" width="3.125" style="289" customWidth="1"/>
    <col min="3589" max="3589" width="2.75" style="289" customWidth="1"/>
    <col min="3590" max="3590" width="2.25" style="289" customWidth="1"/>
    <col min="3591" max="3591" width="2" style="289" customWidth="1"/>
    <col min="3592" max="3592" width="4.25" style="289" customWidth="1"/>
    <col min="3593" max="3593" width="19" style="289" customWidth="1"/>
    <col min="3594" max="3594" width="13.75" style="289" bestFit="1" customWidth="1"/>
    <col min="3595" max="3595" width="2" style="289" customWidth="1"/>
    <col min="3596" max="3596" width="8.75" style="289"/>
    <col min="3597" max="3597" width="2.25" style="289" customWidth="1"/>
    <col min="3598" max="3598" width="8.75" style="289"/>
    <col min="3599" max="3599" width="2" style="289" customWidth="1"/>
    <col min="3600" max="3600" width="13.75" style="289" bestFit="1" customWidth="1"/>
    <col min="3601" max="3841" width="8.75" style="289"/>
    <col min="3842" max="3842" width="2.75" style="289" customWidth="1"/>
    <col min="3843" max="3843" width="2.5" style="289" customWidth="1"/>
    <col min="3844" max="3844" width="3.125" style="289" customWidth="1"/>
    <col min="3845" max="3845" width="2.75" style="289" customWidth="1"/>
    <col min="3846" max="3846" width="2.25" style="289" customWidth="1"/>
    <col min="3847" max="3847" width="2" style="289" customWidth="1"/>
    <col min="3848" max="3848" width="4.25" style="289" customWidth="1"/>
    <col min="3849" max="3849" width="19" style="289" customWidth="1"/>
    <col min="3850" max="3850" width="13.75" style="289" bestFit="1" customWidth="1"/>
    <col min="3851" max="3851" width="2" style="289" customWidth="1"/>
    <col min="3852" max="3852" width="8.75" style="289"/>
    <col min="3853" max="3853" width="2.25" style="289" customWidth="1"/>
    <col min="3854" max="3854" width="8.75" style="289"/>
    <col min="3855" max="3855" width="2" style="289" customWidth="1"/>
    <col min="3856" max="3856" width="13.75" style="289" bestFit="1" customWidth="1"/>
    <col min="3857" max="4097" width="8.75" style="289"/>
    <col min="4098" max="4098" width="2.75" style="289" customWidth="1"/>
    <col min="4099" max="4099" width="2.5" style="289" customWidth="1"/>
    <col min="4100" max="4100" width="3.125" style="289" customWidth="1"/>
    <col min="4101" max="4101" width="2.75" style="289" customWidth="1"/>
    <col min="4102" max="4102" width="2.25" style="289" customWidth="1"/>
    <col min="4103" max="4103" width="2" style="289" customWidth="1"/>
    <col min="4104" max="4104" width="4.25" style="289" customWidth="1"/>
    <col min="4105" max="4105" width="19" style="289" customWidth="1"/>
    <col min="4106" max="4106" width="13.75" style="289" bestFit="1" customWidth="1"/>
    <col min="4107" max="4107" width="2" style="289" customWidth="1"/>
    <col min="4108" max="4108" width="8.75" style="289"/>
    <col min="4109" max="4109" width="2.25" style="289" customWidth="1"/>
    <col min="4110" max="4110" width="8.75" style="289"/>
    <col min="4111" max="4111" width="2" style="289" customWidth="1"/>
    <col min="4112" max="4112" width="13.75" style="289" bestFit="1" customWidth="1"/>
    <col min="4113" max="4353" width="8.75" style="289"/>
    <col min="4354" max="4354" width="2.75" style="289" customWidth="1"/>
    <col min="4355" max="4355" width="2.5" style="289" customWidth="1"/>
    <col min="4356" max="4356" width="3.125" style="289" customWidth="1"/>
    <col min="4357" max="4357" width="2.75" style="289" customWidth="1"/>
    <col min="4358" max="4358" width="2.25" style="289" customWidth="1"/>
    <col min="4359" max="4359" width="2" style="289" customWidth="1"/>
    <col min="4360" max="4360" width="4.25" style="289" customWidth="1"/>
    <col min="4361" max="4361" width="19" style="289" customWidth="1"/>
    <col min="4362" max="4362" width="13.75" style="289" bestFit="1" customWidth="1"/>
    <col min="4363" max="4363" width="2" style="289" customWidth="1"/>
    <col min="4364" max="4364" width="8.75" style="289"/>
    <col min="4365" max="4365" width="2.25" style="289" customWidth="1"/>
    <col min="4366" max="4366" width="8.75" style="289"/>
    <col min="4367" max="4367" width="2" style="289" customWidth="1"/>
    <col min="4368" max="4368" width="13.75" style="289" bestFit="1" customWidth="1"/>
    <col min="4369" max="4609" width="8.75" style="289"/>
    <col min="4610" max="4610" width="2.75" style="289" customWidth="1"/>
    <col min="4611" max="4611" width="2.5" style="289" customWidth="1"/>
    <col min="4612" max="4612" width="3.125" style="289" customWidth="1"/>
    <col min="4613" max="4613" width="2.75" style="289" customWidth="1"/>
    <col min="4614" max="4614" width="2.25" style="289" customWidth="1"/>
    <col min="4615" max="4615" width="2" style="289" customWidth="1"/>
    <col min="4616" max="4616" width="4.25" style="289" customWidth="1"/>
    <col min="4617" max="4617" width="19" style="289" customWidth="1"/>
    <col min="4618" max="4618" width="13.75" style="289" bestFit="1" customWidth="1"/>
    <col min="4619" max="4619" width="2" style="289" customWidth="1"/>
    <col min="4620" max="4620" width="8.75" style="289"/>
    <col min="4621" max="4621" width="2.25" style="289" customWidth="1"/>
    <col min="4622" max="4622" width="8.75" style="289"/>
    <col min="4623" max="4623" width="2" style="289" customWidth="1"/>
    <col min="4624" max="4624" width="13.75" style="289" bestFit="1" customWidth="1"/>
    <col min="4625" max="4865" width="8.75" style="289"/>
    <col min="4866" max="4866" width="2.75" style="289" customWidth="1"/>
    <col min="4867" max="4867" width="2.5" style="289" customWidth="1"/>
    <col min="4868" max="4868" width="3.125" style="289" customWidth="1"/>
    <col min="4869" max="4869" width="2.75" style="289" customWidth="1"/>
    <col min="4870" max="4870" width="2.25" style="289" customWidth="1"/>
    <col min="4871" max="4871" width="2" style="289" customWidth="1"/>
    <col min="4872" max="4872" width="4.25" style="289" customWidth="1"/>
    <col min="4873" max="4873" width="19" style="289" customWidth="1"/>
    <col min="4874" max="4874" width="13.75" style="289" bestFit="1" customWidth="1"/>
    <col min="4875" max="4875" width="2" style="289" customWidth="1"/>
    <col min="4876" max="4876" width="8.75" style="289"/>
    <col min="4877" max="4877" width="2.25" style="289" customWidth="1"/>
    <col min="4878" max="4878" width="8.75" style="289"/>
    <col min="4879" max="4879" width="2" style="289" customWidth="1"/>
    <col min="4880" max="4880" width="13.75" style="289" bestFit="1" customWidth="1"/>
    <col min="4881" max="5121" width="8.75" style="289"/>
    <col min="5122" max="5122" width="2.75" style="289" customWidth="1"/>
    <col min="5123" max="5123" width="2.5" style="289" customWidth="1"/>
    <col min="5124" max="5124" width="3.125" style="289" customWidth="1"/>
    <col min="5125" max="5125" width="2.75" style="289" customWidth="1"/>
    <col min="5126" max="5126" width="2.25" style="289" customWidth="1"/>
    <col min="5127" max="5127" width="2" style="289" customWidth="1"/>
    <col min="5128" max="5128" width="4.25" style="289" customWidth="1"/>
    <col min="5129" max="5129" width="19" style="289" customWidth="1"/>
    <col min="5130" max="5130" width="13.75" style="289" bestFit="1" customWidth="1"/>
    <col min="5131" max="5131" width="2" style="289" customWidth="1"/>
    <col min="5132" max="5132" width="8.75" style="289"/>
    <col min="5133" max="5133" width="2.25" style="289" customWidth="1"/>
    <col min="5134" max="5134" width="8.75" style="289"/>
    <col min="5135" max="5135" width="2" style="289" customWidth="1"/>
    <col min="5136" max="5136" width="13.75" style="289" bestFit="1" customWidth="1"/>
    <col min="5137" max="5377" width="8.75" style="289"/>
    <col min="5378" max="5378" width="2.75" style="289" customWidth="1"/>
    <col min="5379" max="5379" width="2.5" style="289" customWidth="1"/>
    <col min="5380" max="5380" width="3.125" style="289" customWidth="1"/>
    <col min="5381" max="5381" width="2.75" style="289" customWidth="1"/>
    <col min="5382" max="5382" width="2.25" style="289" customWidth="1"/>
    <col min="5383" max="5383" width="2" style="289" customWidth="1"/>
    <col min="5384" max="5384" width="4.25" style="289" customWidth="1"/>
    <col min="5385" max="5385" width="19" style="289" customWidth="1"/>
    <col min="5386" max="5386" width="13.75" style="289" bestFit="1" customWidth="1"/>
    <col min="5387" max="5387" width="2" style="289" customWidth="1"/>
    <col min="5388" max="5388" width="8.75" style="289"/>
    <col min="5389" max="5389" width="2.25" style="289" customWidth="1"/>
    <col min="5390" max="5390" width="8.75" style="289"/>
    <col min="5391" max="5391" width="2" style="289" customWidth="1"/>
    <col min="5392" max="5392" width="13.75" style="289" bestFit="1" customWidth="1"/>
    <col min="5393" max="5633" width="8.75" style="289"/>
    <col min="5634" max="5634" width="2.75" style="289" customWidth="1"/>
    <col min="5635" max="5635" width="2.5" style="289" customWidth="1"/>
    <col min="5636" max="5636" width="3.125" style="289" customWidth="1"/>
    <col min="5637" max="5637" width="2.75" style="289" customWidth="1"/>
    <col min="5638" max="5638" width="2.25" style="289" customWidth="1"/>
    <col min="5639" max="5639" width="2" style="289" customWidth="1"/>
    <col min="5640" max="5640" width="4.25" style="289" customWidth="1"/>
    <col min="5641" max="5641" width="19" style="289" customWidth="1"/>
    <col min="5642" max="5642" width="13.75" style="289" bestFit="1" customWidth="1"/>
    <col min="5643" max="5643" width="2" style="289" customWidth="1"/>
    <col min="5644" max="5644" width="8.75" style="289"/>
    <col min="5645" max="5645" width="2.25" style="289" customWidth="1"/>
    <col min="5646" max="5646" width="8.75" style="289"/>
    <col min="5647" max="5647" width="2" style="289" customWidth="1"/>
    <col min="5648" max="5648" width="13.75" style="289" bestFit="1" customWidth="1"/>
    <col min="5649" max="5889" width="8.75" style="289"/>
    <col min="5890" max="5890" width="2.75" style="289" customWidth="1"/>
    <col min="5891" max="5891" width="2.5" style="289" customWidth="1"/>
    <col min="5892" max="5892" width="3.125" style="289" customWidth="1"/>
    <col min="5893" max="5893" width="2.75" style="289" customWidth="1"/>
    <col min="5894" max="5894" width="2.25" style="289" customWidth="1"/>
    <col min="5895" max="5895" width="2" style="289" customWidth="1"/>
    <col min="5896" max="5896" width="4.25" style="289" customWidth="1"/>
    <col min="5897" max="5897" width="19" style="289" customWidth="1"/>
    <col min="5898" max="5898" width="13.75" style="289" bestFit="1" customWidth="1"/>
    <col min="5899" max="5899" width="2" style="289" customWidth="1"/>
    <col min="5900" max="5900" width="8.75" style="289"/>
    <col min="5901" max="5901" width="2.25" style="289" customWidth="1"/>
    <col min="5902" max="5902" width="8.75" style="289"/>
    <col min="5903" max="5903" width="2" style="289" customWidth="1"/>
    <col min="5904" max="5904" width="13.75" style="289" bestFit="1" customWidth="1"/>
    <col min="5905" max="6145" width="8.75" style="289"/>
    <col min="6146" max="6146" width="2.75" style="289" customWidth="1"/>
    <col min="6147" max="6147" width="2.5" style="289" customWidth="1"/>
    <col min="6148" max="6148" width="3.125" style="289" customWidth="1"/>
    <col min="6149" max="6149" width="2.75" style="289" customWidth="1"/>
    <col min="6150" max="6150" width="2.25" style="289" customWidth="1"/>
    <col min="6151" max="6151" width="2" style="289" customWidth="1"/>
    <col min="6152" max="6152" width="4.25" style="289" customWidth="1"/>
    <col min="6153" max="6153" width="19" style="289" customWidth="1"/>
    <col min="6154" max="6154" width="13.75" style="289" bestFit="1" customWidth="1"/>
    <col min="6155" max="6155" width="2" style="289" customWidth="1"/>
    <col min="6156" max="6156" width="8.75" style="289"/>
    <col min="6157" max="6157" width="2.25" style="289" customWidth="1"/>
    <col min="6158" max="6158" width="8.75" style="289"/>
    <col min="6159" max="6159" width="2" style="289" customWidth="1"/>
    <col min="6160" max="6160" width="13.75" style="289" bestFit="1" customWidth="1"/>
    <col min="6161" max="6401" width="8.75" style="289"/>
    <col min="6402" max="6402" width="2.75" style="289" customWidth="1"/>
    <col min="6403" max="6403" width="2.5" style="289" customWidth="1"/>
    <col min="6404" max="6404" width="3.125" style="289" customWidth="1"/>
    <col min="6405" max="6405" width="2.75" style="289" customWidth="1"/>
    <col min="6406" max="6406" width="2.25" style="289" customWidth="1"/>
    <col min="6407" max="6407" width="2" style="289" customWidth="1"/>
    <col min="6408" max="6408" width="4.25" style="289" customWidth="1"/>
    <col min="6409" max="6409" width="19" style="289" customWidth="1"/>
    <col min="6410" max="6410" width="13.75" style="289" bestFit="1" customWidth="1"/>
    <col min="6411" max="6411" width="2" style="289" customWidth="1"/>
    <col min="6412" max="6412" width="8.75" style="289"/>
    <col min="6413" max="6413" width="2.25" style="289" customWidth="1"/>
    <col min="6414" max="6414" width="8.75" style="289"/>
    <col min="6415" max="6415" width="2" style="289" customWidth="1"/>
    <col min="6416" max="6416" width="13.75" style="289" bestFit="1" customWidth="1"/>
    <col min="6417" max="6657" width="8.75" style="289"/>
    <col min="6658" max="6658" width="2.75" style="289" customWidth="1"/>
    <col min="6659" max="6659" width="2.5" style="289" customWidth="1"/>
    <col min="6660" max="6660" width="3.125" style="289" customWidth="1"/>
    <col min="6661" max="6661" width="2.75" style="289" customWidth="1"/>
    <col min="6662" max="6662" width="2.25" style="289" customWidth="1"/>
    <col min="6663" max="6663" width="2" style="289" customWidth="1"/>
    <col min="6664" max="6664" width="4.25" style="289" customWidth="1"/>
    <col min="6665" max="6665" width="19" style="289" customWidth="1"/>
    <col min="6666" max="6666" width="13.75" style="289" bestFit="1" customWidth="1"/>
    <col min="6667" max="6667" width="2" style="289" customWidth="1"/>
    <col min="6668" max="6668" width="8.75" style="289"/>
    <col min="6669" max="6669" width="2.25" style="289" customWidth="1"/>
    <col min="6670" max="6670" width="8.75" style="289"/>
    <col min="6671" max="6671" width="2" style="289" customWidth="1"/>
    <col min="6672" max="6672" width="13.75" style="289" bestFit="1" customWidth="1"/>
    <col min="6673" max="6913" width="8.75" style="289"/>
    <col min="6914" max="6914" width="2.75" style="289" customWidth="1"/>
    <col min="6915" max="6915" width="2.5" style="289" customWidth="1"/>
    <col min="6916" max="6916" width="3.125" style="289" customWidth="1"/>
    <col min="6917" max="6917" width="2.75" style="289" customWidth="1"/>
    <col min="6918" max="6918" width="2.25" style="289" customWidth="1"/>
    <col min="6919" max="6919" width="2" style="289" customWidth="1"/>
    <col min="6920" max="6920" width="4.25" style="289" customWidth="1"/>
    <col min="6921" max="6921" width="19" style="289" customWidth="1"/>
    <col min="6922" max="6922" width="13.75" style="289" bestFit="1" customWidth="1"/>
    <col min="6923" max="6923" width="2" style="289" customWidth="1"/>
    <col min="6924" max="6924" width="8.75" style="289"/>
    <col min="6925" max="6925" width="2.25" style="289" customWidth="1"/>
    <col min="6926" max="6926" width="8.75" style="289"/>
    <col min="6927" max="6927" width="2" style="289" customWidth="1"/>
    <col min="6928" max="6928" width="13.75" style="289" bestFit="1" customWidth="1"/>
    <col min="6929" max="7169" width="8.75" style="289"/>
    <col min="7170" max="7170" width="2.75" style="289" customWidth="1"/>
    <col min="7171" max="7171" width="2.5" style="289" customWidth="1"/>
    <col min="7172" max="7172" width="3.125" style="289" customWidth="1"/>
    <col min="7173" max="7173" width="2.75" style="289" customWidth="1"/>
    <col min="7174" max="7174" width="2.25" style="289" customWidth="1"/>
    <col min="7175" max="7175" width="2" style="289" customWidth="1"/>
    <col min="7176" max="7176" width="4.25" style="289" customWidth="1"/>
    <col min="7177" max="7177" width="19" style="289" customWidth="1"/>
    <col min="7178" max="7178" width="13.75" style="289" bestFit="1" customWidth="1"/>
    <col min="7179" max="7179" width="2" style="289" customWidth="1"/>
    <col min="7180" max="7180" width="8.75" style="289"/>
    <col min="7181" max="7181" width="2.25" style="289" customWidth="1"/>
    <col min="7182" max="7182" width="8.75" style="289"/>
    <col min="7183" max="7183" width="2" style="289" customWidth="1"/>
    <col min="7184" max="7184" width="13.75" style="289" bestFit="1" customWidth="1"/>
    <col min="7185" max="7425" width="8.75" style="289"/>
    <col min="7426" max="7426" width="2.75" style="289" customWidth="1"/>
    <col min="7427" max="7427" width="2.5" style="289" customWidth="1"/>
    <col min="7428" max="7428" width="3.125" style="289" customWidth="1"/>
    <col min="7429" max="7429" width="2.75" style="289" customWidth="1"/>
    <col min="7430" max="7430" width="2.25" style="289" customWidth="1"/>
    <col min="7431" max="7431" width="2" style="289" customWidth="1"/>
    <col min="7432" max="7432" width="4.25" style="289" customWidth="1"/>
    <col min="7433" max="7433" width="19" style="289" customWidth="1"/>
    <col min="7434" max="7434" width="13.75" style="289" bestFit="1" customWidth="1"/>
    <col min="7435" max="7435" width="2" style="289" customWidth="1"/>
    <col min="7436" max="7436" width="8.75" style="289"/>
    <col min="7437" max="7437" width="2.25" style="289" customWidth="1"/>
    <col min="7438" max="7438" width="8.75" style="289"/>
    <col min="7439" max="7439" width="2" style="289" customWidth="1"/>
    <col min="7440" max="7440" width="13.75" style="289" bestFit="1" customWidth="1"/>
    <col min="7441" max="7681" width="8.75" style="289"/>
    <col min="7682" max="7682" width="2.75" style="289" customWidth="1"/>
    <col min="7683" max="7683" width="2.5" style="289" customWidth="1"/>
    <col min="7684" max="7684" width="3.125" style="289" customWidth="1"/>
    <col min="7685" max="7685" width="2.75" style="289" customWidth="1"/>
    <col min="7686" max="7686" width="2.25" style="289" customWidth="1"/>
    <col min="7687" max="7687" width="2" style="289" customWidth="1"/>
    <col min="7688" max="7688" width="4.25" style="289" customWidth="1"/>
    <col min="7689" max="7689" width="19" style="289" customWidth="1"/>
    <col min="7690" max="7690" width="13.75" style="289" bestFit="1" customWidth="1"/>
    <col min="7691" max="7691" width="2" style="289" customWidth="1"/>
    <col min="7692" max="7692" width="8.75" style="289"/>
    <col min="7693" max="7693" width="2.25" style="289" customWidth="1"/>
    <col min="7694" max="7694" width="8.75" style="289"/>
    <col min="7695" max="7695" width="2" style="289" customWidth="1"/>
    <col min="7696" max="7696" width="13.75" style="289" bestFit="1" customWidth="1"/>
    <col min="7697" max="7937" width="8.75" style="289"/>
    <col min="7938" max="7938" width="2.75" style="289" customWidth="1"/>
    <col min="7939" max="7939" width="2.5" style="289" customWidth="1"/>
    <col min="7940" max="7940" width="3.125" style="289" customWidth="1"/>
    <col min="7941" max="7941" width="2.75" style="289" customWidth="1"/>
    <col min="7942" max="7942" width="2.25" style="289" customWidth="1"/>
    <col min="7943" max="7943" width="2" style="289" customWidth="1"/>
    <col min="7944" max="7944" width="4.25" style="289" customWidth="1"/>
    <col min="7945" max="7945" width="19" style="289" customWidth="1"/>
    <col min="7946" max="7946" width="13.75" style="289" bestFit="1" customWidth="1"/>
    <col min="7947" max="7947" width="2" style="289" customWidth="1"/>
    <col min="7948" max="7948" width="8.75" style="289"/>
    <col min="7949" max="7949" width="2.25" style="289" customWidth="1"/>
    <col min="7950" max="7950" width="8.75" style="289"/>
    <col min="7951" max="7951" width="2" style="289" customWidth="1"/>
    <col min="7952" max="7952" width="13.75" style="289" bestFit="1" customWidth="1"/>
    <col min="7953" max="8193" width="8.75" style="289"/>
    <col min="8194" max="8194" width="2.75" style="289" customWidth="1"/>
    <col min="8195" max="8195" width="2.5" style="289" customWidth="1"/>
    <col min="8196" max="8196" width="3.125" style="289" customWidth="1"/>
    <col min="8197" max="8197" width="2.75" style="289" customWidth="1"/>
    <col min="8198" max="8198" width="2.25" style="289" customWidth="1"/>
    <col min="8199" max="8199" width="2" style="289" customWidth="1"/>
    <col min="8200" max="8200" width="4.25" style="289" customWidth="1"/>
    <col min="8201" max="8201" width="19" style="289" customWidth="1"/>
    <col min="8202" max="8202" width="13.75" style="289" bestFit="1" customWidth="1"/>
    <col min="8203" max="8203" width="2" style="289" customWidth="1"/>
    <col min="8204" max="8204" width="8.75" style="289"/>
    <col min="8205" max="8205" width="2.25" style="289" customWidth="1"/>
    <col min="8206" max="8206" width="8.75" style="289"/>
    <col min="8207" max="8207" width="2" style="289" customWidth="1"/>
    <col min="8208" max="8208" width="13.75" style="289" bestFit="1" customWidth="1"/>
    <col min="8209" max="8449" width="8.75" style="289"/>
    <col min="8450" max="8450" width="2.75" style="289" customWidth="1"/>
    <col min="8451" max="8451" width="2.5" style="289" customWidth="1"/>
    <col min="8452" max="8452" width="3.125" style="289" customWidth="1"/>
    <col min="8453" max="8453" width="2.75" style="289" customWidth="1"/>
    <col min="8454" max="8454" width="2.25" style="289" customWidth="1"/>
    <col min="8455" max="8455" width="2" style="289" customWidth="1"/>
    <col min="8456" max="8456" width="4.25" style="289" customWidth="1"/>
    <col min="8457" max="8457" width="19" style="289" customWidth="1"/>
    <col min="8458" max="8458" width="13.75" style="289" bestFit="1" customWidth="1"/>
    <col min="8459" max="8459" width="2" style="289" customWidth="1"/>
    <col min="8460" max="8460" width="8.75" style="289"/>
    <col min="8461" max="8461" width="2.25" style="289" customWidth="1"/>
    <col min="8462" max="8462" width="8.75" style="289"/>
    <col min="8463" max="8463" width="2" style="289" customWidth="1"/>
    <col min="8464" max="8464" width="13.75" style="289" bestFit="1" customWidth="1"/>
    <col min="8465" max="8705" width="8.75" style="289"/>
    <col min="8706" max="8706" width="2.75" style="289" customWidth="1"/>
    <col min="8707" max="8707" width="2.5" style="289" customWidth="1"/>
    <col min="8708" max="8708" width="3.125" style="289" customWidth="1"/>
    <col min="8709" max="8709" width="2.75" style="289" customWidth="1"/>
    <col min="8710" max="8710" width="2.25" style="289" customWidth="1"/>
    <col min="8711" max="8711" width="2" style="289" customWidth="1"/>
    <col min="8712" max="8712" width="4.25" style="289" customWidth="1"/>
    <col min="8713" max="8713" width="19" style="289" customWidth="1"/>
    <col min="8714" max="8714" width="13.75" style="289" bestFit="1" customWidth="1"/>
    <col min="8715" max="8715" width="2" style="289" customWidth="1"/>
    <col min="8716" max="8716" width="8.75" style="289"/>
    <col min="8717" max="8717" width="2.25" style="289" customWidth="1"/>
    <col min="8718" max="8718" width="8.75" style="289"/>
    <col min="8719" max="8719" width="2" style="289" customWidth="1"/>
    <col min="8720" max="8720" width="13.75" style="289" bestFit="1" customWidth="1"/>
    <col min="8721" max="8961" width="8.75" style="289"/>
    <col min="8962" max="8962" width="2.75" style="289" customWidth="1"/>
    <col min="8963" max="8963" width="2.5" style="289" customWidth="1"/>
    <col min="8964" max="8964" width="3.125" style="289" customWidth="1"/>
    <col min="8965" max="8965" width="2.75" style="289" customWidth="1"/>
    <col min="8966" max="8966" width="2.25" style="289" customWidth="1"/>
    <col min="8967" max="8967" width="2" style="289" customWidth="1"/>
    <col min="8968" max="8968" width="4.25" style="289" customWidth="1"/>
    <col min="8969" max="8969" width="19" style="289" customWidth="1"/>
    <col min="8970" max="8970" width="13.75" style="289" bestFit="1" customWidth="1"/>
    <col min="8971" max="8971" width="2" style="289" customWidth="1"/>
    <col min="8972" max="8972" width="8.75" style="289"/>
    <col min="8973" max="8973" width="2.25" style="289" customWidth="1"/>
    <col min="8974" max="8974" width="8.75" style="289"/>
    <col min="8975" max="8975" width="2" style="289" customWidth="1"/>
    <col min="8976" max="8976" width="13.75" style="289" bestFit="1" customWidth="1"/>
    <col min="8977" max="9217" width="8.75" style="289"/>
    <col min="9218" max="9218" width="2.75" style="289" customWidth="1"/>
    <col min="9219" max="9219" width="2.5" style="289" customWidth="1"/>
    <col min="9220" max="9220" width="3.125" style="289" customWidth="1"/>
    <col min="9221" max="9221" width="2.75" style="289" customWidth="1"/>
    <col min="9222" max="9222" width="2.25" style="289" customWidth="1"/>
    <col min="9223" max="9223" width="2" style="289" customWidth="1"/>
    <col min="9224" max="9224" width="4.25" style="289" customWidth="1"/>
    <col min="9225" max="9225" width="19" style="289" customWidth="1"/>
    <col min="9226" max="9226" width="13.75" style="289" bestFit="1" customWidth="1"/>
    <col min="9227" max="9227" width="2" style="289" customWidth="1"/>
    <col min="9228" max="9228" width="8.75" style="289"/>
    <col min="9229" max="9229" width="2.25" style="289" customWidth="1"/>
    <col min="9230" max="9230" width="8.75" style="289"/>
    <col min="9231" max="9231" width="2" style="289" customWidth="1"/>
    <col min="9232" max="9232" width="13.75" style="289" bestFit="1" customWidth="1"/>
    <col min="9233" max="9473" width="8.75" style="289"/>
    <col min="9474" max="9474" width="2.75" style="289" customWidth="1"/>
    <col min="9475" max="9475" width="2.5" style="289" customWidth="1"/>
    <col min="9476" max="9476" width="3.125" style="289" customWidth="1"/>
    <col min="9477" max="9477" width="2.75" style="289" customWidth="1"/>
    <col min="9478" max="9478" width="2.25" style="289" customWidth="1"/>
    <col min="9479" max="9479" width="2" style="289" customWidth="1"/>
    <col min="9480" max="9480" width="4.25" style="289" customWidth="1"/>
    <col min="9481" max="9481" width="19" style="289" customWidth="1"/>
    <col min="9482" max="9482" width="13.75" style="289" bestFit="1" customWidth="1"/>
    <col min="9483" max="9483" width="2" style="289" customWidth="1"/>
    <col min="9484" max="9484" width="8.75" style="289"/>
    <col min="9485" max="9485" width="2.25" style="289" customWidth="1"/>
    <col min="9486" max="9486" width="8.75" style="289"/>
    <col min="9487" max="9487" width="2" style="289" customWidth="1"/>
    <col min="9488" max="9488" width="13.75" style="289" bestFit="1" customWidth="1"/>
    <col min="9489" max="9729" width="8.75" style="289"/>
    <col min="9730" max="9730" width="2.75" style="289" customWidth="1"/>
    <col min="9731" max="9731" width="2.5" style="289" customWidth="1"/>
    <col min="9732" max="9732" width="3.125" style="289" customWidth="1"/>
    <col min="9733" max="9733" width="2.75" style="289" customWidth="1"/>
    <col min="9734" max="9734" width="2.25" style="289" customWidth="1"/>
    <col min="9735" max="9735" width="2" style="289" customWidth="1"/>
    <col min="9736" max="9736" width="4.25" style="289" customWidth="1"/>
    <col min="9737" max="9737" width="19" style="289" customWidth="1"/>
    <col min="9738" max="9738" width="13.75" style="289" bestFit="1" customWidth="1"/>
    <col min="9739" max="9739" width="2" style="289" customWidth="1"/>
    <col min="9740" max="9740" width="8.75" style="289"/>
    <col min="9741" max="9741" width="2.25" style="289" customWidth="1"/>
    <col min="9742" max="9742" width="8.75" style="289"/>
    <col min="9743" max="9743" width="2" style="289" customWidth="1"/>
    <col min="9744" max="9744" width="13.75" style="289" bestFit="1" customWidth="1"/>
    <col min="9745" max="9985" width="8.75" style="289"/>
    <col min="9986" max="9986" width="2.75" style="289" customWidth="1"/>
    <col min="9987" max="9987" width="2.5" style="289" customWidth="1"/>
    <col min="9988" max="9988" width="3.125" style="289" customWidth="1"/>
    <col min="9989" max="9989" width="2.75" style="289" customWidth="1"/>
    <col min="9990" max="9990" width="2.25" style="289" customWidth="1"/>
    <col min="9991" max="9991" width="2" style="289" customWidth="1"/>
    <col min="9992" max="9992" width="4.25" style="289" customWidth="1"/>
    <col min="9993" max="9993" width="19" style="289" customWidth="1"/>
    <col min="9994" max="9994" width="13.75" style="289" bestFit="1" customWidth="1"/>
    <col min="9995" max="9995" width="2" style="289" customWidth="1"/>
    <col min="9996" max="9996" width="8.75" style="289"/>
    <col min="9997" max="9997" width="2.25" style="289" customWidth="1"/>
    <col min="9998" max="9998" width="8.75" style="289"/>
    <col min="9999" max="9999" width="2" style="289" customWidth="1"/>
    <col min="10000" max="10000" width="13.75" style="289" bestFit="1" customWidth="1"/>
    <col min="10001" max="10241" width="8.75" style="289"/>
    <col min="10242" max="10242" width="2.75" style="289" customWidth="1"/>
    <col min="10243" max="10243" width="2.5" style="289" customWidth="1"/>
    <col min="10244" max="10244" width="3.125" style="289" customWidth="1"/>
    <col min="10245" max="10245" width="2.75" style="289" customWidth="1"/>
    <col min="10246" max="10246" width="2.25" style="289" customWidth="1"/>
    <col min="10247" max="10247" width="2" style="289" customWidth="1"/>
    <col min="10248" max="10248" width="4.25" style="289" customWidth="1"/>
    <col min="10249" max="10249" width="19" style="289" customWidth="1"/>
    <col min="10250" max="10250" width="13.75" style="289" bestFit="1" customWidth="1"/>
    <col min="10251" max="10251" width="2" style="289" customWidth="1"/>
    <col min="10252" max="10252" width="8.75" style="289"/>
    <col min="10253" max="10253" width="2.25" style="289" customWidth="1"/>
    <col min="10254" max="10254" width="8.75" style="289"/>
    <col min="10255" max="10255" width="2" style="289" customWidth="1"/>
    <col min="10256" max="10256" width="13.75" style="289" bestFit="1" customWidth="1"/>
    <col min="10257" max="10497" width="8.75" style="289"/>
    <col min="10498" max="10498" width="2.75" style="289" customWidth="1"/>
    <col min="10499" max="10499" width="2.5" style="289" customWidth="1"/>
    <col min="10500" max="10500" width="3.125" style="289" customWidth="1"/>
    <col min="10501" max="10501" width="2.75" style="289" customWidth="1"/>
    <col min="10502" max="10502" width="2.25" style="289" customWidth="1"/>
    <col min="10503" max="10503" width="2" style="289" customWidth="1"/>
    <col min="10504" max="10504" width="4.25" style="289" customWidth="1"/>
    <col min="10505" max="10505" width="19" style="289" customWidth="1"/>
    <col min="10506" max="10506" width="13.75" style="289" bestFit="1" customWidth="1"/>
    <col min="10507" max="10507" width="2" style="289" customWidth="1"/>
    <col min="10508" max="10508" width="8.75" style="289"/>
    <col min="10509" max="10509" width="2.25" style="289" customWidth="1"/>
    <col min="10510" max="10510" width="8.75" style="289"/>
    <col min="10511" max="10511" width="2" style="289" customWidth="1"/>
    <col min="10512" max="10512" width="13.75" style="289" bestFit="1" customWidth="1"/>
    <col min="10513" max="10753" width="8.75" style="289"/>
    <col min="10754" max="10754" width="2.75" style="289" customWidth="1"/>
    <col min="10755" max="10755" width="2.5" style="289" customWidth="1"/>
    <col min="10756" max="10756" width="3.125" style="289" customWidth="1"/>
    <col min="10757" max="10757" width="2.75" style="289" customWidth="1"/>
    <col min="10758" max="10758" width="2.25" style="289" customWidth="1"/>
    <col min="10759" max="10759" width="2" style="289" customWidth="1"/>
    <col min="10760" max="10760" width="4.25" style="289" customWidth="1"/>
    <col min="10761" max="10761" width="19" style="289" customWidth="1"/>
    <col min="10762" max="10762" width="13.75" style="289" bestFit="1" customWidth="1"/>
    <col min="10763" max="10763" width="2" style="289" customWidth="1"/>
    <col min="10764" max="10764" width="8.75" style="289"/>
    <col min="10765" max="10765" width="2.25" style="289" customWidth="1"/>
    <col min="10766" max="10766" width="8.75" style="289"/>
    <col min="10767" max="10767" width="2" style="289" customWidth="1"/>
    <col min="10768" max="10768" width="13.75" style="289" bestFit="1" customWidth="1"/>
    <col min="10769" max="11009" width="8.75" style="289"/>
    <col min="11010" max="11010" width="2.75" style="289" customWidth="1"/>
    <col min="11011" max="11011" width="2.5" style="289" customWidth="1"/>
    <col min="11012" max="11012" width="3.125" style="289" customWidth="1"/>
    <col min="11013" max="11013" width="2.75" style="289" customWidth="1"/>
    <col min="11014" max="11014" width="2.25" style="289" customWidth="1"/>
    <col min="11015" max="11015" width="2" style="289" customWidth="1"/>
    <col min="11016" max="11016" width="4.25" style="289" customWidth="1"/>
    <col min="11017" max="11017" width="19" style="289" customWidth="1"/>
    <col min="11018" max="11018" width="13.75" style="289" bestFit="1" customWidth="1"/>
    <col min="11019" max="11019" width="2" style="289" customWidth="1"/>
    <col min="11020" max="11020" width="8.75" style="289"/>
    <col min="11021" max="11021" width="2.25" style="289" customWidth="1"/>
    <col min="11022" max="11022" width="8.75" style="289"/>
    <col min="11023" max="11023" width="2" style="289" customWidth="1"/>
    <col min="11024" max="11024" width="13.75" style="289" bestFit="1" customWidth="1"/>
    <col min="11025" max="11265" width="8.75" style="289"/>
    <col min="11266" max="11266" width="2.75" style="289" customWidth="1"/>
    <col min="11267" max="11267" width="2.5" style="289" customWidth="1"/>
    <col min="11268" max="11268" width="3.125" style="289" customWidth="1"/>
    <col min="11269" max="11269" width="2.75" style="289" customWidth="1"/>
    <col min="11270" max="11270" width="2.25" style="289" customWidth="1"/>
    <col min="11271" max="11271" width="2" style="289" customWidth="1"/>
    <col min="11272" max="11272" width="4.25" style="289" customWidth="1"/>
    <col min="11273" max="11273" width="19" style="289" customWidth="1"/>
    <col min="11274" max="11274" width="13.75" style="289" bestFit="1" customWidth="1"/>
    <col min="11275" max="11275" width="2" style="289" customWidth="1"/>
    <col min="11276" max="11276" width="8.75" style="289"/>
    <col min="11277" max="11277" width="2.25" style="289" customWidth="1"/>
    <col min="11278" max="11278" width="8.75" style="289"/>
    <col min="11279" max="11279" width="2" style="289" customWidth="1"/>
    <col min="11280" max="11280" width="13.75" style="289" bestFit="1" customWidth="1"/>
    <col min="11281" max="11521" width="8.75" style="289"/>
    <col min="11522" max="11522" width="2.75" style="289" customWidth="1"/>
    <col min="11523" max="11523" width="2.5" style="289" customWidth="1"/>
    <col min="11524" max="11524" width="3.125" style="289" customWidth="1"/>
    <col min="11525" max="11525" width="2.75" style="289" customWidth="1"/>
    <col min="11526" max="11526" width="2.25" style="289" customWidth="1"/>
    <col min="11527" max="11527" width="2" style="289" customWidth="1"/>
    <col min="11528" max="11528" width="4.25" style="289" customWidth="1"/>
    <col min="11529" max="11529" width="19" style="289" customWidth="1"/>
    <col min="11530" max="11530" width="13.75" style="289" bestFit="1" customWidth="1"/>
    <col min="11531" max="11531" width="2" style="289" customWidth="1"/>
    <col min="11532" max="11532" width="8.75" style="289"/>
    <col min="11533" max="11533" width="2.25" style="289" customWidth="1"/>
    <col min="11534" max="11534" width="8.75" style="289"/>
    <col min="11535" max="11535" width="2" style="289" customWidth="1"/>
    <col min="11536" max="11536" width="13.75" style="289" bestFit="1" customWidth="1"/>
    <col min="11537" max="11777" width="8.75" style="289"/>
    <col min="11778" max="11778" width="2.75" style="289" customWidth="1"/>
    <col min="11779" max="11779" width="2.5" style="289" customWidth="1"/>
    <col min="11780" max="11780" width="3.125" style="289" customWidth="1"/>
    <col min="11781" max="11781" width="2.75" style="289" customWidth="1"/>
    <col min="11782" max="11782" width="2.25" style="289" customWidth="1"/>
    <col min="11783" max="11783" width="2" style="289" customWidth="1"/>
    <col min="11784" max="11784" width="4.25" style="289" customWidth="1"/>
    <col min="11785" max="11785" width="19" style="289" customWidth="1"/>
    <col min="11786" max="11786" width="13.75" style="289" bestFit="1" customWidth="1"/>
    <col min="11787" max="11787" width="2" style="289" customWidth="1"/>
    <col min="11788" max="11788" width="8.75" style="289"/>
    <col min="11789" max="11789" width="2.25" style="289" customWidth="1"/>
    <col min="11790" max="11790" width="8.75" style="289"/>
    <col min="11791" max="11791" width="2" style="289" customWidth="1"/>
    <col min="11792" max="11792" width="13.75" style="289" bestFit="1" customWidth="1"/>
    <col min="11793" max="12033" width="8.75" style="289"/>
    <col min="12034" max="12034" width="2.75" style="289" customWidth="1"/>
    <col min="12035" max="12035" width="2.5" style="289" customWidth="1"/>
    <col min="12036" max="12036" width="3.125" style="289" customWidth="1"/>
    <col min="12037" max="12037" width="2.75" style="289" customWidth="1"/>
    <col min="12038" max="12038" width="2.25" style="289" customWidth="1"/>
    <col min="12039" max="12039" width="2" style="289" customWidth="1"/>
    <col min="12040" max="12040" width="4.25" style="289" customWidth="1"/>
    <col min="12041" max="12041" width="19" style="289" customWidth="1"/>
    <col min="12042" max="12042" width="13.75" style="289" bestFit="1" customWidth="1"/>
    <col min="12043" max="12043" width="2" style="289" customWidth="1"/>
    <col min="12044" max="12044" width="8.75" style="289"/>
    <col min="12045" max="12045" width="2.25" style="289" customWidth="1"/>
    <col min="12046" max="12046" width="8.75" style="289"/>
    <col min="12047" max="12047" width="2" style="289" customWidth="1"/>
    <col min="12048" max="12048" width="13.75" style="289" bestFit="1" customWidth="1"/>
    <col min="12049" max="12289" width="8.75" style="289"/>
    <col min="12290" max="12290" width="2.75" style="289" customWidth="1"/>
    <col min="12291" max="12291" width="2.5" style="289" customWidth="1"/>
    <col min="12292" max="12292" width="3.125" style="289" customWidth="1"/>
    <col min="12293" max="12293" width="2.75" style="289" customWidth="1"/>
    <col min="12294" max="12294" width="2.25" style="289" customWidth="1"/>
    <col min="12295" max="12295" width="2" style="289" customWidth="1"/>
    <col min="12296" max="12296" width="4.25" style="289" customWidth="1"/>
    <col min="12297" max="12297" width="19" style="289" customWidth="1"/>
    <col min="12298" max="12298" width="13.75" style="289" bestFit="1" customWidth="1"/>
    <col min="12299" max="12299" width="2" style="289" customWidth="1"/>
    <col min="12300" max="12300" width="8.75" style="289"/>
    <col min="12301" max="12301" width="2.25" style="289" customWidth="1"/>
    <col min="12302" max="12302" width="8.75" style="289"/>
    <col min="12303" max="12303" width="2" style="289" customWidth="1"/>
    <col min="12304" max="12304" width="13.75" style="289" bestFit="1" customWidth="1"/>
    <col min="12305" max="12545" width="8.75" style="289"/>
    <col min="12546" max="12546" width="2.75" style="289" customWidth="1"/>
    <col min="12547" max="12547" width="2.5" style="289" customWidth="1"/>
    <col min="12548" max="12548" width="3.125" style="289" customWidth="1"/>
    <col min="12549" max="12549" width="2.75" style="289" customWidth="1"/>
    <col min="12550" max="12550" width="2.25" style="289" customWidth="1"/>
    <col min="12551" max="12551" width="2" style="289" customWidth="1"/>
    <col min="12552" max="12552" width="4.25" style="289" customWidth="1"/>
    <col min="12553" max="12553" width="19" style="289" customWidth="1"/>
    <col min="12554" max="12554" width="13.75" style="289" bestFit="1" customWidth="1"/>
    <col min="12555" max="12555" width="2" style="289" customWidth="1"/>
    <col min="12556" max="12556" width="8.75" style="289"/>
    <col min="12557" max="12557" width="2.25" style="289" customWidth="1"/>
    <col min="12558" max="12558" width="8.75" style="289"/>
    <col min="12559" max="12559" width="2" style="289" customWidth="1"/>
    <col min="12560" max="12560" width="13.75" style="289" bestFit="1" customWidth="1"/>
    <col min="12561" max="12801" width="8.75" style="289"/>
    <col min="12802" max="12802" width="2.75" style="289" customWidth="1"/>
    <col min="12803" max="12803" width="2.5" style="289" customWidth="1"/>
    <col min="12804" max="12804" width="3.125" style="289" customWidth="1"/>
    <col min="12805" max="12805" width="2.75" style="289" customWidth="1"/>
    <col min="12806" max="12806" width="2.25" style="289" customWidth="1"/>
    <col min="12807" max="12807" width="2" style="289" customWidth="1"/>
    <col min="12808" max="12808" width="4.25" style="289" customWidth="1"/>
    <col min="12809" max="12809" width="19" style="289" customWidth="1"/>
    <col min="12810" max="12810" width="13.75" style="289" bestFit="1" customWidth="1"/>
    <col min="12811" max="12811" width="2" style="289" customWidth="1"/>
    <col min="12812" max="12812" width="8.75" style="289"/>
    <col min="12813" max="12813" width="2.25" style="289" customWidth="1"/>
    <col min="12814" max="12814" width="8.75" style="289"/>
    <col min="12815" max="12815" width="2" style="289" customWidth="1"/>
    <col min="12816" max="12816" width="13.75" style="289" bestFit="1" customWidth="1"/>
    <col min="12817" max="13057" width="8.75" style="289"/>
    <col min="13058" max="13058" width="2.75" style="289" customWidth="1"/>
    <col min="13059" max="13059" width="2.5" style="289" customWidth="1"/>
    <col min="13060" max="13060" width="3.125" style="289" customWidth="1"/>
    <col min="13061" max="13061" width="2.75" style="289" customWidth="1"/>
    <col min="13062" max="13062" width="2.25" style="289" customWidth="1"/>
    <col min="13063" max="13063" width="2" style="289" customWidth="1"/>
    <col min="13064" max="13064" width="4.25" style="289" customWidth="1"/>
    <col min="13065" max="13065" width="19" style="289" customWidth="1"/>
    <col min="13066" max="13066" width="13.75" style="289" bestFit="1" customWidth="1"/>
    <col min="13067" max="13067" width="2" style="289" customWidth="1"/>
    <col min="13068" max="13068" width="8.75" style="289"/>
    <col min="13069" max="13069" width="2.25" style="289" customWidth="1"/>
    <col min="13070" max="13070" width="8.75" style="289"/>
    <col min="13071" max="13071" width="2" style="289" customWidth="1"/>
    <col min="13072" max="13072" width="13.75" style="289" bestFit="1" customWidth="1"/>
    <col min="13073" max="13313" width="8.75" style="289"/>
    <col min="13314" max="13314" width="2.75" style="289" customWidth="1"/>
    <col min="13315" max="13315" width="2.5" style="289" customWidth="1"/>
    <col min="13316" max="13316" width="3.125" style="289" customWidth="1"/>
    <col min="13317" max="13317" width="2.75" style="289" customWidth="1"/>
    <col min="13318" max="13318" width="2.25" style="289" customWidth="1"/>
    <col min="13319" max="13319" width="2" style="289" customWidth="1"/>
    <col min="13320" max="13320" width="4.25" style="289" customWidth="1"/>
    <col min="13321" max="13321" width="19" style="289" customWidth="1"/>
    <col min="13322" max="13322" width="13.75" style="289" bestFit="1" customWidth="1"/>
    <col min="13323" max="13323" width="2" style="289" customWidth="1"/>
    <col min="13324" max="13324" width="8.75" style="289"/>
    <col min="13325" max="13325" width="2.25" style="289" customWidth="1"/>
    <col min="13326" max="13326" width="8.75" style="289"/>
    <col min="13327" max="13327" width="2" style="289" customWidth="1"/>
    <col min="13328" max="13328" width="13.75" style="289" bestFit="1" customWidth="1"/>
    <col min="13329" max="13569" width="8.75" style="289"/>
    <col min="13570" max="13570" width="2.75" style="289" customWidth="1"/>
    <col min="13571" max="13571" width="2.5" style="289" customWidth="1"/>
    <col min="13572" max="13572" width="3.125" style="289" customWidth="1"/>
    <col min="13573" max="13573" width="2.75" style="289" customWidth="1"/>
    <col min="13574" max="13574" width="2.25" style="289" customWidth="1"/>
    <col min="13575" max="13575" width="2" style="289" customWidth="1"/>
    <col min="13576" max="13576" width="4.25" style="289" customWidth="1"/>
    <col min="13577" max="13577" width="19" style="289" customWidth="1"/>
    <col min="13578" max="13578" width="13.75" style="289" bestFit="1" customWidth="1"/>
    <col min="13579" max="13579" width="2" style="289" customWidth="1"/>
    <col min="13580" max="13580" width="8.75" style="289"/>
    <col min="13581" max="13581" width="2.25" style="289" customWidth="1"/>
    <col min="13582" max="13582" width="8.75" style="289"/>
    <col min="13583" max="13583" width="2" style="289" customWidth="1"/>
    <col min="13584" max="13584" width="13.75" style="289" bestFit="1" customWidth="1"/>
    <col min="13585" max="13825" width="8.75" style="289"/>
    <col min="13826" max="13826" width="2.75" style="289" customWidth="1"/>
    <col min="13827" max="13827" width="2.5" style="289" customWidth="1"/>
    <col min="13828" max="13828" width="3.125" style="289" customWidth="1"/>
    <col min="13829" max="13829" width="2.75" style="289" customWidth="1"/>
    <col min="13830" max="13830" width="2.25" style="289" customWidth="1"/>
    <col min="13831" max="13831" width="2" style="289" customWidth="1"/>
    <col min="13832" max="13832" width="4.25" style="289" customWidth="1"/>
    <col min="13833" max="13833" width="19" style="289" customWidth="1"/>
    <col min="13834" max="13834" width="13.75" style="289" bestFit="1" customWidth="1"/>
    <col min="13835" max="13835" width="2" style="289" customWidth="1"/>
    <col min="13836" max="13836" width="8.75" style="289"/>
    <col min="13837" max="13837" width="2.25" style="289" customWidth="1"/>
    <col min="13838" max="13838" width="8.75" style="289"/>
    <col min="13839" max="13839" width="2" style="289" customWidth="1"/>
    <col min="13840" max="13840" width="13.75" style="289" bestFit="1" customWidth="1"/>
    <col min="13841" max="14081" width="8.75" style="289"/>
    <col min="14082" max="14082" width="2.75" style="289" customWidth="1"/>
    <col min="14083" max="14083" width="2.5" style="289" customWidth="1"/>
    <col min="14084" max="14084" width="3.125" style="289" customWidth="1"/>
    <col min="14085" max="14085" width="2.75" style="289" customWidth="1"/>
    <col min="14086" max="14086" width="2.25" style="289" customWidth="1"/>
    <col min="14087" max="14087" width="2" style="289" customWidth="1"/>
    <col min="14088" max="14088" width="4.25" style="289" customWidth="1"/>
    <col min="14089" max="14089" width="19" style="289" customWidth="1"/>
    <col min="14090" max="14090" width="13.75" style="289" bestFit="1" customWidth="1"/>
    <col min="14091" max="14091" width="2" style="289" customWidth="1"/>
    <col min="14092" max="14092" width="8.75" style="289"/>
    <col min="14093" max="14093" width="2.25" style="289" customWidth="1"/>
    <col min="14094" max="14094" width="8.75" style="289"/>
    <col min="14095" max="14095" width="2" style="289" customWidth="1"/>
    <col min="14096" max="14096" width="13.75" style="289" bestFit="1" customWidth="1"/>
    <col min="14097" max="14337" width="8.75" style="289"/>
    <col min="14338" max="14338" width="2.75" style="289" customWidth="1"/>
    <col min="14339" max="14339" width="2.5" style="289" customWidth="1"/>
    <col min="14340" max="14340" width="3.125" style="289" customWidth="1"/>
    <col min="14341" max="14341" width="2.75" style="289" customWidth="1"/>
    <col min="14342" max="14342" width="2.25" style="289" customWidth="1"/>
    <col min="14343" max="14343" width="2" style="289" customWidth="1"/>
    <col min="14344" max="14344" width="4.25" style="289" customWidth="1"/>
    <col min="14345" max="14345" width="19" style="289" customWidth="1"/>
    <col min="14346" max="14346" width="13.75" style="289" bestFit="1" customWidth="1"/>
    <col min="14347" max="14347" width="2" style="289" customWidth="1"/>
    <col min="14348" max="14348" width="8.75" style="289"/>
    <col min="14349" max="14349" width="2.25" style="289" customWidth="1"/>
    <col min="14350" max="14350" width="8.75" style="289"/>
    <col min="14351" max="14351" width="2" style="289" customWidth="1"/>
    <col min="14352" max="14352" width="13.75" style="289" bestFit="1" customWidth="1"/>
    <col min="14353" max="14593" width="8.75" style="289"/>
    <col min="14594" max="14594" width="2.75" style="289" customWidth="1"/>
    <col min="14595" max="14595" width="2.5" style="289" customWidth="1"/>
    <col min="14596" max="14596" width="3.125" style="289" customWidth="1"/>
    <col min="14597" max="14597" width="2.75" style="289" customWidth="1"/>
    <col min="14598" max="14598" width="2.25" style="289" customWidth="1"/>
    <col min="14599" max="14599" width="2" style="289" customWidth="1"/>
    <col min="14600" max="14600" width="4.25" style="289" customWidth="1"/>
    <col min="14601" max="14601" width="19" style="289" customWidth="1"/>
    <col min="14602" max="14602" width="13.75" style="289" bestFit="1" customWidth="1"/>
    <col min="14603" max="14603" width="2" style="289" customWidth="1"/>
    <col min="14604" max="14604" width="8.75" style="289"/>
    <col min="14605" max="14605" width="2.25" style="289" customWidth="1"/>
    <col min="14606" max="14606" width="8.75" style="289"/>
    <col min="14607" max="14607" width="2" style="289" customWidth="1"/>
    <col min="14608" max="14608" width="13.75" style="289" bestFit="1" customWidth="1"/>
    <col min="14609" max="14849" width="8.75" style="289"/>
    <col min="14850" max="14850" width="2.75" style="289" customWidth="1"/>
    <col min="14851" max="14851" width="2.5" style="289" customWidth="1"/>
    <col min="14852" max="14852" width="3.125" style="289" customWidth="1"/>
    <col min="14853" max="14853" width="2.75" style="289" customWidth="1"/>
    <col min="14854" max="14854" width="2.25" style="289" customWidth="1"/>
    <col min="14855" max="14855" width="2" style="289" customWidth="1"/>
    <col min="14856" max="14856" width="4.25" style="289" customWidth="1"/>
    <col min="14857" max="14857" width="19" style="289" customWidth="1"/>
    <col min="14858" max="14858" width="13.75" style="289" bestFit="1" customWidth="1"/>
    <col min="14859" max="14859" width="2" style="289" customWidth="1"/>
    <col min="14860" max="14860" width="8.75" style="289"/>
    <col min="14861" max="14861" width="2.25" style="289" customWidth="1"/>
    <col min="14862" max="14862" width="8.75" style="289"/>
    <col min="14863" max="14863" width="2" style="289" customWidth="1"/>
    <col min="14864" max="14864" width="13.75" style="289" bestFit="1" customWidth="1"/>
    <col min="14865" max="15105" width="8.75" style="289"/>
    <col min="15106" max="15106" width="2.75" style="289" customWidth="1"/>
    <col min="15107" max="15107" width="2.5" style="289" customWidth="1"/>
    <col min="15108" max="15108" width="3.125" style="289" customWidth="1"/>
    <col min="15109" max="15109" width="2.75" style="289" customWidth="1"/>
    <col min="15110" max="15110" width="2.25" style="289" customWidth="1"/>
    <col min="15111" max="15111" width="2" style="289" customWidth="1"/>
    <col min="15112" max="15112" width="4.25" style="289" customWidth="1"/>
    <col min="15113" max="15113" width="19" style="289" customWidth="1"/>
    <col min="15114" max="15114" width="13.75" style="289" bestFit="1" customWidth="1"/>
    <col min="15115" max="15115" width="2" style="289" customWidth="1"/>
    <col min="15116" max="15116" width="8.75" style="289"/>
    <col min="15117" max="15117" width="2.25" style="289" customWidth="1"/>
    <col min="15118" max="15118" width="8.75" style="289"/>
    <col min="15119" max="15119" width="2" style="289" customWidth="1"/>
    <col min="15120" max="15120" width="13.75" style="289" bestFit="1" customWidth="1"/>
    <col min="15121" max="15361" width="8.75" style="289"/>
    <col min="15362" max="15362" width="2.75" style="289" customWidth="1"/>
    <col min="15363" max="15363" width="2.5" style="289" customWidth="1"/>
    <col min="15364" max="15364" width="3.125" style="289" customWidth="1"/>
    <col min="15365" max="15365" width="2.75" style="289" customWidth="1"/>
    <col min="15366" max="15366" width="2.25" style="289" customWidth="1"/>
    <col min="15367" max="15367" width="2" style="289" customWidth="1"/>
    <col min="15368" max="15368" width="4.25" style="289" customWidth="1"/>
    <col min="15369" max="15369" width="19" style="289" customWidth="1"/>
    <col min="15370" max="15370" width="13.75" style="289" bestFit="1" customWidth="1"/>
    <col min="15371" max="15371" width="2" style="289" customWidth="1"/>
    <col min="15372" max="15372" width="8.75" style="289"/>
    <col min="15373" max="15373" width="2.25" style="289" customWidth="1"/>
    <col min="15374" max="15374" width="8.75" style="289"/>
    <col min="15375" max="15375" width="2" style="289" customWidth="1"/>
    <col min="15376" max="15376" width="13.75" style="289" bestFit="1" customWidth="1"/>
    <col min="15377" max="15617" width="8.75" style="289"/>
    <col min="15618" max="15618" width="2.75" style="289" customWidth="1"/>
    <col min="15619" max="15619" width="2.5" style="289" customWidth="1"/>
    <col min="15620" max="15620" width="3.125" style="289" customWidth="1"/>
    <col min="15621" max="15621" width="2.75" style="289" customWidth="1"/>
    <col min="15622" max="15622" width="2.25" style="289" customWidth="1"/>
    <col min="15623" max="15623" width="2" style="289" customWidth="1"/>
    <col min="15624" max="15624" width="4.25" style="289" customWidth="1"/>
    <col min="15625" max="15625" width="19" style="289" customWidth="1"/>
    <col min="15626" max="15626" width="13.75" style="289" bestFit="1" customWidth="1"/>
    <col min="15627" max="15627" width="2" style="289" customWidth="1"/>
    <col min="15628" max="15628" width="8.75" style="289"/>
    <col min="15629" max="15629" width="2.25" style="289" customWidth="1"/>
    <col min="15630" max="15630" width="8.75" style="289"/>
    <col min="15631" max="15631" width="2" style="289" customWidth="1"/>
    <col min="15632" max="15632" width="13.75" style="289" bestFit="1" customWidth="1"/>
    <col min="15633" max="15873" width="8.75" style="289"/>
    <col min="15874" max="15874" width="2.75" style="289" customWidth="1"/>
    <col min="15875" max="15875" width="2.5" style="289" customWidth="1"/>
    <col min="15876" max="15876" width="3.125" style="289" customWidth="1"/>
    <col min="15877" max="15877" width="2.75" style="289" customWidth="1"/>
    <col min="15878" max="15878" width="2.25" style="289" customWidth="1"/>
    <col min="15879" max="15879" width="2" style="289" customWidth="1"/>
    <col min="15880" max="15880" width="4.25" style="289" customWidth="1"/>
    <col min="15881" max="15881" width="19" style="289" customWidth="1"/>
    <col min="15882" max="15882" width="13.75" style="289" bestFit="1" customWidth="1"/>
    <col min="15883" max="15883" width="2" style="289" customWidth="1"/>
    <col min="15884" max="15884" width="8.75" style="289"/>
    <col min="15885" max="15885" width="2.25" style="289" customWidth="1"/>
    <col min="15886" max="15886" width="8.75" style="289"/>
    <col min="15887" max="15887" width="2" style="289" customWidth="1"/>
    <col min="15888" max="15888" width="13.75" style="289" bestFit="1" customWidth="1"/>
    <col min="15889" max="16129" width="8.75" style="289"/>
    <col min="16130" max="16130" width="2.75" style="289" customWidth="1"/>
    <col min="16131" max="16131" width="2.5" style="289" customWidth="1"/>
    <col min="16132" max="16132" width="3.125" style="289" customWidth="1"/>
    <col min="16133" max="16133" width="2.75" style="289" customWidth="1"/>
    <col min="16134" max="16134" width="2.25" style="289" customWidth="1"/>
    <col min="16135" max="16135" width="2" style="289" customWidth="1"/>
    <col min="16136" max="16136" width="4.25" style="289" customWidth="1"/>
    <col min="16137" max="16137" width="19" style="289" customWidth="1"/>
    <col min="16138" max="16138" width="13.75" style="289" bestFit="1" customWidth="1"/>
    <col min="16139" max="16139" width="2" style="289" customWidth="1"/>
    <col min="16140" max="16140" width="8.75" style="289"/>
    <col min="16141" max="16141" width="2.25" style="289" customWidth="1"/>
    <col min="16142" max="16142" width="8.75" style="289"/>
    <col min="16143" max="16143" width="2" style="289" customWidth="1"/>
    <col min="16144" max="16144" width="13.75" style="289" bestFit="1" customWidth="1"/>
    <col min="16145" max="16384" width="8.75" style="289"/>
  </cols>
  <sheetData>
    <row r="1" spans="2:17" s="17" customFormat="1" ht="15.75">
      <c r="B1" s="14" t="s">
        <v>990</v>
      </c>
      <c r="C1" s="123"/>
      <c r="D1" s="20"/>
      <c r="I1" s="98"/>
      <c r="J1" s="668"/>
      <c r="K1" s="668"/>
      <c r="L1" s="668"/>
      <c r="M1" s="668"/>
      <c r="N1" s="668"/>
      <c r="O1" s="668"/>
      <c r="P1" s="668"/>
    </row>
    <row r="2" spans="2:17" s="13" customFormat="1" ht="18.75">
      <c r="C2" s="124"/>
      <c r="D2" s="11"/>
      <c r="E2" s="43"/>
      <c r="F2" s="11"/>
      <c r="G2" s="11"/>
      <c r="H2" s="11"/>
      <c r="I2" s="11"/>
      <c r="J2" s="669"/>
      <c r="K2" s="669"/>
      <c r="L2" s="669"/>
      <c r="M2" s="669"/>
      <c r="N2" s="669"/>
      <c r="O2" s="669"/>
      <c r="P2" s="669"/>
    </row>
    <row r="3" spans="2:17" s="13" customFormat="1" ht="18.75">
      <c r="C3" s="124"/>
      <c r="D3" s="11"/>
      <c r="E3" s="43"/>
      <c r="F3" s="11"/>
      <c r="G3" s="11"/>
      <c r="H3" s="11"/>
      <c r="I3" s="11"/>
      <c r="J3" s="669"/>
      <c r="K3" s="669"/>
      <c r="L3" s="669"/>
      <c r="M3" s="669"/>
      <c r="N3" s="669"/>
      <c r="O3" s="669"/>
      <c r="P3" s="669"/>
    </row>
    <row r="4" spans="2:17" s="13" customFormat="1" ht="18">
      <c r="B4" s="1788" t="s">
        <v>200</v>
      </c>
      <c r="C4" s="1788"/>
      <c r="D4" s="1788"/>
      <c r="E4" s="1788"/>
      <c r="F4" s="1788"/>
      <c r="G4" s="1788"/>
      <c r="H4" s="1788"/>
      <c r="I4" s="1788"/>
      <c r="J4" s="1788"/>
      <c r="K4" s="1788"/>
      <c r="L4" s="1788"/>
      <c r="M4" s="1788"/>
      <c r="N4" s="1788"/>
      <c r="O4" s="1788"/>
      <c r="P4" s="1788"/>
      <c r="Q4" s="71"/>
    </row>
    <row r="5" spans="2:17" s="13" customFormat="1" ht="18">
      <c r="B5" s="1788" t="s">
        <v>103</v>
      </c>
      <c r="C5" s="1788"/>
      <c r="D5" s="1788"/>
      <c r="E5" s="1788"/>
      <c r="F5" s="1788"/>
      <c r="G5" s="1788"/>
      <c r="H5" s="1788"/>
      <c r="I5" s="1788"/>
      <c r="J5" s="1788"/>
      <c r="K5" s="1788"/>
      <c r="L5" s="1788"/>
      <c r="M5" s="1788"/>
      <c r="N5" s="1788"/>
      <c r="O5" s="1788"/>
      <c r="P5" s="1788"/>
    </row>
    <row r="6" spans="2:17" s="13" customFormat="1" ht="18">
      <c r="B6" s="1789" t="str">
        <f>SUMMARY!A7</f>
        <v>YEAR ENDING DECEMBER 31, 2018</v>
      </c>
      <c r="C6" s="1789"/>
      <c r="D6" s="1789"/>
      <c r="E6" s="1789"/>
      <c r="F6" s="1789"/>
      <c r="G6" s="1789"/>
      <c r="H6" s="1789"/>
      <c r="I6" s="1789"/>
      <c r="J6" s="1789"/>
      <c r="K6" s="1789"/>
      <c r="L6" s="1789"/>
      <c r="M6" s="1789"/>
      <c r="N6" s="1789"/>
      <c r="O6" s="1789"/>
      <c r="P6" s="1789"/>
    </row>
    <row r="7" spans="2:17" s="13" customFormat="1" ht="12" customHeight="1">
      <c r="B7" s="11"/>
      <c r="C7" s="63"/>
      <c r="D7" s="11"/>
      <c r="E7" s="41"/>
      <c r="F7" s="11"/>
      <c r="G7" s="11"/>
      <c r="H7" s="11"/>
      <c r="I7" s="11"/>
      <c r="J7" s="669"/>
      <c r="K7" s="669"/>
      <c r="L7" s="669"/>
      <c r="M7" s="669"/>
      <c r="N7" s="669"/>
      <c r="O7" s="669"/>
      <c r="P7" s="669"/>
    </row>
    <row r="8" spans="2:17" s="13" customFormat="1" ht="18">
      <c r="B8" s="1790" t="s">
        <v>991</v>
      </c>
      <c r="C8" s="1790"/>
      <c r="D8" s="1790"/>
      <c r="E8" s="1790"/>
      <c r="F8" s="1790"/>
      <c r="G8" s="1790"/>
      <c r="H8" s="1790"/>
      <c r="I8" s="1790"/>
      <c r="J8" s="1790"/>
      <c r="K8" s="1790"/>
      <c r="L8" s="1790"/>
      <c r="M8" s="1790"/>
      <c r="N8" s="1790"/>
      <c r="O8" s="1790"/>
      <c r="P8" s="1790"/>
      <c r="Q8" s="1790"/>
    </row>
    <row r="9" spans="2:17" s="13" customFormat="1" ht="18">
      <c r="B9" s="1788" t="s">
        <v>760</v>
      </c>
      <c r="C9" s="1788"/>
      <c r="D9" s="1788"/>
      <c r="E9" s="1788"/>
      <c r="F9" s="1788"/>
      <c r="G9" s="1788"/>
      <c r="H9" s="1788"/>
      <c r="I9" s="1788"/>
      <c r="J9" s="1788"/>
      <c r="K9" s="1788"/>
      <c r="L9" s="1788"/>
      <c r="M9" s="1788"/>
      <c r="N9" s="1788"/>
      <c r="O9" s="1788"/>
      <c r="P9" s="1788"/>
      <c r="Q9" s="1788"/>
    </row>
    <row r="13" spans="2:17" s="829" customFormat="1" ht="15.75">
      <c r="B13" s="826" t="s">
        <v>722</v>
      </c>
      <c r="C13" s="827"/>
      <c r="D13" s="827"/>
      <c r="E13" s="827"/>
      <c r="F13" s="827"/>
      <c r="G13" s="827"/>
      <c r="H13" s="827"/>
      <c r="I13" s="827"/>
      <c r="J13" s="828"/>
      <c r="K13" s="828"/>
      <c r="L13" s="828"/>
      <c r="M13" s="828"/>
      <c r="N13" s="828"/>
      <c r="O13" s="828"/>
      <c r="P13" s="828"/>
      <c r="Q13" s="827"/>
    </row>
    <row r="14" spans="2:17" s="829" customFormat="1" ht="15.75">
      <c r="B14" s="826" t="s">
        <v>723</v>
      </c>
      <c r="C14" s="827"/>
      <c r="D14" s="827"/>
      <c r="E14" s="827"/>
      <c r="F14" s="827"/>
      <c r="G14" s="827"/>
      <c r="H14" s="827"/>
      <c r="I14" s="827"/>
      <c r="J14" s="828"/>
      <c r="K14" s="828"/>
      <c r="L14" s="828"/>
      <c r="M14" s="828"/>
      <c r="N14" s="828"/>
      <c r="O14" s="828"/>
      <c r="P14" s="828"/>
      <c r="Q14" s="827"/>
    </row>
    <row r="15" spans="2:17" s="829" customFormat="1" ht="15.75">
      <c r="B15" s="1612" t="s">
        <v>1821</v>
      </c>
      <c r="C15" s="1613"/>
      <c r="D15" s="1613"/>
      <c r="E15" s="1613"/>
      <c r="F15" s="1613"/>
      <c r="G15" s="1613"/>
      <c r="H15" s="827"/>
      <c r="I15" s="827"/>
      <c r="J15" s="828"/>
      <c r="K15" s="828"/>
      <c r="L15" s="828"/>
      <c r="M15" s="828"/>
      <c r="N15" s="828"/>
      <c r="O15" s="828"/>
      <c r="P15" s="828"/>
      <c r="Q15" s="827"/>
    </row>
    <row r="16" spans="2:17" s="829" customFormat="1" ht="15.75">
      <c r="B16" s="827"/>
      <c r="C16" s="827"/>
      <c r="D16" s="827"/>
      <c r="E16" s="827"/>
      <c r="F16" s="827"/>
      <c r="G16" s="827"/>
      <c r="H16" s="827"/>
      <c r="I16" s="827"/>
      <c r="J16" s="830">
        <v>43100</v>
      </c>
      <c r="K16" s="831"/>
      <c r="L16" s="831"/>
      <c r="M16" s="831"/>
      <c r="N16" s="831"/>
      <c r="O16" s="831"/>
      <c r="P16" s="832">
        <v>43465</v>
      </c>
      <c r="Q16" s="827"/>
    </row>
    <row r="17" spans="1:23" s="829" customFormat="1" ht="15.75">
      <c r="B17" s="833"/>
      <c r="C17" s="833"/>
      <c r="D17" s="833"/>
      <c r="E17" s="833"/>
      <c r="F17" s="833"/>
      <c r="G17" s="833"/>
      <c r="H17" s="833"/>
      <c r="I17" s="833"/>
      <c r="J17" s="834" t="s">
        <v>187</v>
      </c>
      <c r="K17" s="835"/>
      <c r="L17" s="834"/>
      <c r="M17" s="835"/>
      <c r="N17" s="834"/>
      <c r="O17" s="835"/>
      <c r="P17" s="834" t="s">
        <v>187</v>
      </c>
      <c r="Q17" s="827"/>
    </row>
    <row r="18" spans="1:23" s="829" customFormat="1" ht="15.75">
      <c r="B18" s="833"/>
      <c r="C18" s="833"/>
      <c r="D18" s="833"/>
      <c r="E18" s="833"/>
      <c r="F18" s="833"/>
      <c r="G18" s="833"/>
      <c r="H18" s="833"/>
      <c r="I18" s="836"/>
      <c r="J18" s="837" t="s">
        <v>724</v>
      </c>
      <c r="K18" s="835"/>
      <c r="L18" s="837" t="s">
        <v>725</v>
      </c>
      <c r="M18" s="835"/>
      <c r="N18" s="837" t="s">
        <v>726</v>
      </c>
      <c r="O18" s="835"/>
      <c r="P18" s="837" t="s">
        <v>724</v>
      </c>
      <c r="Q18" s="827"/>
    </row>
    <row r="19" spans="1:23" s="829" customFormat="1">
      <c r="B19" s="833"/>
      <c r="C19" s="833"/>
      <c r="D19" s="833"/>
      <c r="E19" s="1422" t="s">
        <v>192</v>
      </c>
      <c r="F19" s="838"/>
      <c r="G19" s="1422"/>
      <c r="H19" s="838"/>
      <c r="I19" s="1422"/>
      <c r="J19" s="1422" t="s">
        <v>193</v>
      </c>
      <c r="K19" s="1422"/>
      <c r="L19" s="1422" t="s">
        <v>194</v>
      </c>
      <c r="M19" s="838"/>
      <c r="N19" s="1422" t="s">
        <v>195</v>
      </c>
      <c r="O19" s="838"/>
      <c r="P19" s="1422" t="s">
        <v>196</v>
      </c>
      <c r="Q19" s="827"/>
    </row>
    <row r="20" spans="1:23" s="829" customFormat="1">
      <c r="B20" s="833"/>
      <c r="C20" s="833"/>
      <c r="D20" s="833"/>
      <c r="E20" s="833"/>
      <c r="F20" s="833"/>
      <c r="G20" s="833"/>
      <c r="H20" s="833"/>
      <c r="I20" s="836"/>
      <c r="J20" s="1422"/>
      <c r="K20" s="838"/>
      <c r="L20" s="1422"/>
      <c r="M20" s="838"/>
      <c r="N20" s="1422"/>
      <c r="O20" s="838"/>
      <c r="P20" s="1422"/>
      <c r="Q20" s="827"/>
    </row>
    <row r="21" spans="1:23" s="829" customFormat="1" ht="15.75">
      <c r="A21" s="1429">
        <v>1</v>
      </c>
      <c r="B21" s="833" t="s">
        <v>621</v>
      </c>
      <c r="C21" s="833"/>
      <c r="D21" s="833"/>
      <c r="E21" s="833"/>
      <c r="F21" s="833"/>
      <c r="G21" s="833"/>
      <c r="H21" s="833"/>
      <c r="I21" s="836"/>
      <c r="J21" s="835"/>
      <c r="K21" s="835"/>
      <c r="L21" s="835"/>
      <c r="M21" s="835"/>
      <c r="N21" s="835"/>
      <c r="O21" s="835"/>
      <c r="P21" s="835"/>
      <c r="Q21" s="827"/>
    </row>
    <row r="22" spans="1:23" s="829" customFormat="1" ht="15.75">
      <c r="A22" s="1427" t="s">
        <v>471</v>
      </c>
      <c r="B22" s="833"/>
      <c r="C22" s="833"/>
      <c r="D22" s="833" t="s">
        <v>609</v>
      </c>
      <c r="E22" s="833"/>
      <c r="F22" s="833"/>
      <c r="G22" s="833"/>
      <c r="H22" s="833"/>
      <c r="I22" s="836"/>
      <c r="J22" s="749">
        <v>163.83336800999999</v>
      </c>
      <c r="K22" s="749"/>
      <c r="L22" s="749">
        <v>0</v>
      </c>
      <c r="M22" s="749"/>
      <c r="N22" s="749">
        <v>0</v>
      </c>
      <c r="O22" s="839"/>
      <c r="P22" s="839">
        <f>SUM(J22:N22)</f>
        <v>163.83336800999999</v>
      </c>
      <c r="Q22" s="827"/>
      <c r="R22" s="840"/>
      <c r="S22" s="840"/>
      <c r="T22" s="840"/>
      <c r="U22" s="840"/>
      <c r="V22" s="840"/>
      <c r="W22" s="840"/>
    </row>
    <row r="23" spans="1:23" s="829" customFormat="1" ht="15.75">
      <c r="A23" s="1427" t="s">
        <v>473</v>
      </c>
      <c r="B23" s="833"/>
      <c r="C23" s="833"/>
      <c r="D23" s="833" t="s">
        <v>610</v>
      </c>
      <c r="E23" s="833"/>
      <c r="F23" s="833"/>
      <c r="G23" s="833"/>
      <c r="H23" s="833"/>
      <c r="I23" s="836"/>
      <c r="J23" s="749">
        <v>491.76272946000017</v>
      </c>
      <c r="K23" s="749"/>
      <c r="L23" s="749">
        <v>257</v>
      </c>
      <c r="M23" s="749"/>
      <c r="N23" s="749">
        <v>-145</v>
      </c>
      <c r="O23" s="839"/>
      <c r="P23" s="839">
        <f>SUM(J23:N23)</f>
        <v>603.76272946000017</v>
      </c>
      <c r="Q23" s="827"/>
      <c r="R23" s="840"/>
      <c r="S23" s="840"/>
      <c r="T23" s="840"/>
      <c r="U23" s="840"/>
      <c r="V23" s="840"/>
      <c r="W23" s="840"/>
    </row>
    <row r="24" spans="1:23" s="829" customFormat="1" ht="15.75">
      <c r="A24" s="1427" t="s">
        <v>494</v>
      </c>
      <c r="B24" s="833"/>
      <c r="C24" s="833"/>
      <c r="D24" s="833" t="s">
        <v>2005</v>
      </c>
      <c r="E24" s="833"/>
      <c r="F24" s="833"/>
      <c r="G24" s="833"/>
      <c r="H24" s="833"/>
      <c r="I24" s="836"/>
      <c r="J24" s="1742">
        <v>29</v>
      </c>
      <c r="K24" s="749"/>
      <c r="L24" s="1742">
        <v>0</v>
      </c>
      <c r="M24" s="749"/>
      <c r="N24" s="1742">
        <v>0</v>
      </c>
      <c r="O24" s="839"/>
      <c r="P24" s="839">
        <f t="shared" ref="P24:P25" si="0">SUM(J24:N24)</f>
        <v>29</v>
      </c>
      <c r="Q24" s="827"/>
      <c r="R24" s="840"/>
      <c r="S24" s="840"/>
      <c r="T24" s="840"/>
      <c r="U24" s="840"/>
      <c r="V24" s="840"/>
      <c r="W24" s="840"/>
    </row>
    <row r="25" spans="1:23" s="829" customFormat="1" ht="15.75">
      <c r="A25" s="1427" t="s">
        <v>495</v>
      </c>
      <c r="B25" s="833"/>
      <c r="C25" s="833"/>
      <c r="D25" s="833" t="s">
        <v>2006</v>
      </c>
      <c r="E25" s="833"/>
      <c r="F25" s="833"/>
      <c r="G25" s="833"/>
      <c r="H25" s="833"/>
      <c r="I25" s="836"/>
      <c r="J25" s="1742">
        <v>73</v>
      </c>
      <c r="K25" s="749"/>
      <c r="L25" s="1742">
        <v>38</v>
      </c>
      <c r="M25" s="749"/>
      <c r="N25" s="1742">
        <v>-12</v>
      </c>
      <c r="O25" s="839"/>
      <c r="P25" s="839">
        <f t="shared" si="0"/>
        <v>99</v>
      </c>
      <c r="Q25" s="827"/>
      <c r="R25" s="840"/>
      <c r="S25" s="840"/>
      <c r="T25" s="840"/>
      <c r="U25" s="840"/>
      <c r="V25" s="840"/>
      <c r="W25" s="840"/>
    </row>
    <row r="26" spans="1:23" s="829" customFormat="1" ht="15.75">
      <c r="A26" s="1427" t="s">
        <v>541</v>
      </c>
      <c r="B26" s="1434"/>
      <c r="C26" s="833"/>
      <c r="D26" s="1474" t="s">
        <v>1166</v>
      </c>
      <c r="E26" s="1473"/>
      <c r="F26" s="1473"/>
      <c r="G26" s="1473"/>
      <c r="H26" s="833"/>
      <c r="I26" s="836"/>
      <c r="J26" s="1435"/>
      <c r="K26" s="749"/>
      <c r="L26" s="1435"/>
      <c r="M26" s="749"/>
      <c r="N26" s="1435"/>
      <c r="O26" s="839"/>
      <c r="P26" s="839">
        <v>0</v>
      </c>
      <c r="Q26" s="827"/>
      <c r="R26" s="840"/>
      <c r="S26" s="840"/>
      <c r="T26" s="840"/>
      <c r="U26" s="840"/>
      <c r="V26" s="840"/>
      <c r="W26" s="840"/>
    </row>
    <row r="27" spans="1:23" s="829" customFormat="1" ht="15.75">
      <c r="A27" s="1429">
        <v>2</v>
      </c>
      <c r="B27" s="833"/>
      <c r="C27" s="833"/>
      <c r="D27" s="833"/>
      <c r="E27" s="833"/>
      <c r="F27" s="833"/>
      <c r="G27" s="833" t="s">
        <v>622</v>
      </c>
      <c r="H27" s="833"/>
      <c r="I27" s="836"/>
      <c r="J27" s="842">
        <f>+J23+J22+J24+J25+J26</f>
        <v>757.59609747000013</v>
      </c>
      <c r="K27" s="839"/>
      <c r="L27" s="842">
        <f>+L23+L22+L24+L25+L26</f>
        <v>295</v>
      </c>
      <c r="M27" s="839"/>
      <c r="N27" s="842">
        <f>+N23+N22+N24+N25+N26</f>
        <v>-157</v>
      </c>
      <c r="O27" s="839"/>
      <c r="P27" s="842">
        <f>+P23+P22+P24+P25+P26</f>
        <v>895.59609747000013</v>
      </c>
      <c r="Q27" s="827"/>
    </row>
    <row r="28" spans="1:23" s="829" customFormat="1">
      <c r="A28" s="1427"/>
      <c r="B28" s="833"/>
      <c r="C28" s="833"/>
      <c r="D28" s="833"/>
      <c r="E28" s="833"/>
      <c r="F28" s="833"/>
      <c r="G28" s="833"/>
      <c r="H28" s="833"/>
      <c r="I28" s="836"/>
      <c r="J28" s="843"/>
      <c r="K28" s="839"/>
      <c r="L28" s="843"/>
      <c r="M28" s="839"/>
      <c r="N28" s="843"/>
      <c r="O28" s="839"/>
      <c r="P28" s="843"/>
      <c r="Q28" s="827"/>
    </row>
    <row r="29" spans="1:23" s="829" customFormat="1" ht="15.75">
      <c r="A29" s="1429">
        <v>3</v>
      </c>
      <c r="B29" s="833" t="s">
        <v>623</v>
      </c>
      <c r="C29" s="833"/>
      <c r="D29" s="833"/>
      <c r="E29" s="833"/>
      <c r="F29" s="833"/>
      <c r="G29" s="833"/>
      <c r="H29" s="833"/>
      <c r="I29" s="836"/>
      <c r="J29" s="839"/>
      <c r="K29" s="839"/>
      <c r="L29" s="839"/>
      <c r="M29" s="839"/>
      <c r="N29" s="839"/>
      <c r="O29" s="839"/>
      <c r="P29" s="839"/>
      <c r="Q29" s="827"/>
    </row>
    <row r="30" spans="1:23" s="829" customFormat="1">
      <c r="A30" s="1427" t="s">
        <v>1277</v>
      </c>
      <c r="B30" s="833"/>
      <c r="C30" s="833"/>
      <c r="D30" s="833" t="s">
        <v>727</v>
      </c>
      <c r="E30" s="833"/>
      <c r="F30" s="833"/>
      <c r="G30" s="833"/>
      <c r="H30" s="833"/>
      <c r="I30" s="836"/>
      <c r="J30" s="1743">
        <v>2101</v>
      </c>
      <c r="K30" s="749"/>
      <c r="L30" s="1743">
        <v>18</v>
      </c>
      <c r="M30" s="1743"/>
      <c r="N30" s="1743">
        <v>-5</v>
      </c>
      <c r="O30" s="839"/>
      <c r="P30" s="839">
        <f>SUM(J30:N30)</f>
        <v>2114</v>
      </c>
      <c r="Q30" s="827"/>
      <c r="S30" s="845"/>
    </row>
    <row r="31" spans="1:23" s="829" customFormat="1">
      <c r="A31" s="1427" t="s">
        <v>1278</v>
      </c>
      <c r="B31" s="833"/>
      <c r="C31" s="833"/>
      <c r="D31" s="833" t="s">
        <v>728</v>
      </c>
      <c r="E31" s="833"/>
      <c r="F31" s="833"/>
      <c r="G31" s="833"/>
      <c r="H31" s="833"/>
      <c r="I31" s="836"/>
      <c r="J31" s="839"/>
      <c r="K31" s="839"/>
      <c r="L31" s="839"/>
      <c r="M31" s="839"/>
      <c r="N31" s="839"/>
      <c r="O31" s="839"/>
      <c r="P31" s="839"/>
      <c r="Q31" s="827"/>
    </row>
    <row r="32" spans="1:23" s="829" customFormat="1">
      <c r="A32" s="1427" t="s">
        <v>1279</v>
      </c>
      <c r="B32" s="833"/>
      <c r="C32" s="833"/>
      <c r="D32" s="833"/>
      <c r="E32" s="833" t="s">
        <v>729</v>
      </c>
      <c r="F32" s="833"/>
      <c r="G32" s="833"/>
      <c r="H32" s="833"/>
      <c r="I32" s="836"/>
      <c r="J32" s="1743">
        <v>2378.0134182000002</v>
      </c>
      <c r="K32" s="1743"/>
      <c r="L32" s="1743">
        <v>8</v>
      </c>
      <c r="M32" s="1743"/>
      <c r="N32" s="1743">
        <v>0</v>
      </c>
      <c r="O32" s="839"/>
      <c r="P32" s="839">
        <f>SUM(J32:N32)</f>
        <v>2386.0134182000002</v>
      </c>
      <c r="Q32" s="827"/>
    </row>
    <row r="33" spans="1:23" s="829" customFormat="1">
      <c r="A33" s="1427" t="s">
        <v>1280</v>
      </c>
      <c r="B33" s="833"/>
      <c r="C33" s="833"/>
      <c r="D33" s="833" t="s">
        <v>34</v>
      </c>
      <c r="E33" s="833"/>
      <c r="F33" s="833"/>
      <c r="G33" s="833"/>
      <c r="H33" s="833"/>
      <c r="I33" s="836"/>
      <c r="J33" s="1743">
        <v>2193</v>
      </c>
      <c r="K33" s="1743"/>
      <c r="L33" s="1743">
        <v>38</v>
      </c>
      <c r="M33" s="1743"/>
      <c r="N33" s="1743">
        <v>-3</v>
      </c>
      <c r="O33" s="839"/>
      <c r="P33" s="839">
        <f>SUM(J33:N33)</f>
        <v>2228</v>
      </c>
      <c r="Q33" s="827"/>
    </row>
    <row r="34" spans="1:23" s="829" customFormat="1">
      <c r="A34" s="1427" t="s">
        <v>1281</v>
      </c>
      <c r="B34" s="833"/>
      <c r="C34" s="833"/>
      <c r="D34" s="833" t="s">
        <v>107</v>
      </c>
      <c r="E34" s="833"/>
      <c r="F34" s="833"/>
      <c r="G34" s="833"/>
      <c r="H34" s="833"/>
      <c r="I34" s="836"/>
      <c r="J34" s="1743">
        <v>1155</v>
      </c>
      <c r="K34" s="1743"/>
      <c r="L34" s="1743">
        <v>85</v>
      </c>
      <c r="M34" s="1743"/>
      <c r="N34" s="1743">
        <v>-42</v>
      </c>
      <c r="O34" s="839"/>
      <c r="P34" s="839">
        <f>SUM(J34:N34)</f>
        <v>1198</v>
      </c>
      <c r="Q34" s="827"/>
    </row>
    <row r="35" spans="1:23" s="829" customFormat="1">
      <c r="A35" s="1427" t="s">
        <v>1313</v>
      </c>
      <c r="B35" s="833"/>
      <c r="C35" s="833"/>
      <c r="D35" s="833" t="s">
        <v>2007</v>
      </c>
      <c r="E35" s="1665"/>
      <c r="F35" s="1665"/>
      <c r="G35" s="1665"/>
      <c r="H35" s="1665"/>
      <c r="I35" s="1666"/>
      <c r="J35" s="1742">
        <v>712</v>
      </c>
      <c r="K35" s="1743"/>
      <c r="L35" s="1742">
        <v>13</v>
      </c>
      <c r="M35" s="1743"/>
      <c r="N35" s="1742">
        <v>-2</v>
      </c>
      <c r="O35" s="839"/>
      <c r="P35" s="839">
        <f>SUM(J35:N35)</f>
        <v>723</v>
      </c>
      <c r="Q35" s="827"/>
    </row>
    <row r="36" spans="1:23" s="829" customFormat="1" ht="15.75">
      <c r="A36" s="1427" t="s">
        <v>541</v>
      </c>
      <c r="B36" s="1434"/>
      <c r="C36" s="833"/>
      <c r="D36" s="1474" t="s">
        <v>1166</v>
      </c>
      <c r="E36" s="1473"/>
      <c r="F36" s="1473"/>
      <c r="G36" s="1473"/>
      <c r="H36" s="833"/>
      <c r="I36" s="836"/>
      <c r="J36" s="1435"/>
      <c r="K36" s="749"/>
      <c r="L36" s="1435"/>
      <c r="M36" s="749"/>
      <c r="N36" s="1435"/>
      <c r="O36" s="839"/>
      <c r="P36" s="839">
        <v>0</v>
      </c>
      <c r="Q36" s="827"/>
      <c r="R36" s="840"/>
      <c r="S36" s="840"/>
      <c r="T36" s="840"/>
      <c r="U36" s="840"/>
      <c r="V36" s="840"/>
      <c r="W36" s="840"/>
    </row>
    <row r="37" spans="1:23" s="829" customFormat="1">
      <c r="A37" s="1427"/>
      <c r="B37" s="833"/>
      <c r="C37" s="833"/>
      <c r="D37" s="833"/>
      <c r="E37" s="833"/>
      <c r="F37" s="833"/>
      <c r="G37" s="833"/>
      <c r="H37" s="833"/>
      <c r="I37" s="836"/>
      <c r="J37" s="839"/>
      <c r="K37" s="839"/>
      <c r="L37" s="839"/>
      <c r="M37" s="839"/>
      <c r="N37" s="839"/>
      <c r="O37" s="839"/>
      <c r="P37" s="839"/>
      <c r="Q37" s="827"/>
    </row>
    <row r="38" spans="1:23" s="829" customFormat="1" ht="15.75">
      <c r="A38" s="1429">
        <v>4</v>
      </c>
      <c r="B38" s="833"/>
      <c r="C38" s="833"/>
      <c r="D38" s="833"/>
      <c r="E38" s="833"/>
      <c r="F38" s="833"/>
      <c r="G38" s="833" t="s">
        <v>1072</v>
      </c>
      <c r="H38" s="833"/>
      <c r="I38" s="836"/>
      <c r="J38" s="1744">
        <f>+J34+J33+J32+J30+J35</f>
        <v>8539.0134182000002</v>
      </c>
      <c r="K38" s="1743"/>
      <c r="L38" s="1744">
        <f>+L34+L33+L32+L30+L35</f>
        <v>162</v>
      </c>
      <c r="M38" s="1743"/>
      <c r="N38" s="1744">
        <f>+N34+N33+N32+N30+N35</f>
        <v>-52</v>
      </c>
      <c r="O38" s="839"/>
      <c r="P38" s="841">
        <f>+P34+P33+P32+P30+P35+P36</f>
        <v>8649.0134182000002</v>
      </c>
      <c r="Q38" s="844"/>
      <c r="R38" s="845"/>
      <c r="T38" s="845"/>
    </row>
    <row r="39" spans="1:23" s="829" customFormat="1">
      <c r="A39" s="1427"/>
      <c r="B39" s="833"/>
      <c r="C39" s="833"/>
      <c r="D39" s="833"/>
      <c r="E39" s="833"/>
      <c r="F39" s="833"/>
      <c r="G39" s="833"/>
      <c r="H39" s="833"/>
      <c r="I39" s="836"/>
      <c r="J39" s="839"/>
      <c r="K39" s="839"/>
      <c r="L39" s="839"/>
      <c r="M39" s="839"/>
      <c r="N39" s="839"/>
      <c r="O39" s="839"/>
      <c r="P39" s="839"/>
      <c r="Q39" s="827"/>
    </row>
    <row r="40" spans="1:23" s="829" customFormat="1" ht="15.75">
      <c r="A40" s="1429">
        <v>5</v>
      </c>
      <c r="B40" s="833" t="s">
        <v>1123</v>
      </c>
      <c r="C40" s="833"/>
      <c r="D40" s="833"/>
      <c r="E40" s="833"/>
      <c r="F40" s="833"/>
      <c r="G40" s="833"/>
      <c r="H40" s="833"/>
      <c r="I40" s="836"/>
      <c r="J40" s="839"/>
      <c r="K40" s="839"/>
      <c r="L40" s="839"/>
      <c r="M40" s="839"/>
      <c r="N40" s="839"/>
      <c r="O40" s="839"/>
      <c r="P40" s="839"/>
      <c r="Q40" s="844"/>
    </row>
    <row r="41" spans="1:23" s="829" customFormat="1">
      <c r="A41" s="1427" t="s">
        <v>1274</v>
      </c>
      <c r="B41" s="833"/>
      <c r="C41" s="833"/>
      <c r="D41" s="833" t="s">
        <v>727</v>
      </c>
      <c r="E41" s="833"/>
      <c r="F41" s="833"/>
      <c r="G41" s="833"/>
      <c r="H41" s="833"/>
      <c r="I41" s="836"/>
      <c r="J41" s="1743">
        <v>832</v>
      </c>
      <c r="K41" s="1743"/>
      <c r="L41" s="1743">
        <v>35</v>
      </c>
      <c r="M41" s="1743"/>
      <c r="N41" s="1743">
        <v>-5</v>
      </c>
      <c r="O41" s="839"/>
      <c r="P41" s="839">
        <f>SUM(J41:N41)</f>
        <v>862</v>
      </c>
      <c r="Q41" s="827"/>
    </row>
    <row r="42" spans="1:23" s="829" customFormat="1">
      <c r="A42" s="1427" t="s">
        <v>1275</v>
      </c>
      <c r="B42" s="833"/>
      <c r="C42" s="833"/>
      <c r="D42" s="833" t="s">
        <v>728</v>
      </c>
      <c r="E42" s="833"/>
      <c r="F42" s="833"/>
      <c r="G42" s="833"/>
      <c r="H42" s="833"/>
      <c r="I42" s="836"/>
      <c r="J42" s="839"/>
      <c r="K42" s="839"/>
      <c r="L42" s="839"/>
      <c r="M42" s="839"/>
      <c r="N42" s="839"/>
      <c r="O42" s="839"/>
      <c r="P42" s="839"/>
      <c r="Q42" s="827"/>
    </row>
    <row r="43" spans="1:23" s="829" customFormat="1">
      <c r="A43" s="1427" t="s">
        <v>1276</v>
      </c>
      <c r="B43" s="833"/>
      <c r="C43" s="833"/>
      <c r="D43" s="833"/>
      <c r="E43" s="833" t="s">
        <v>729</v>
      </c>
      <c r="F43" s="833"/>
      <c r="G43" s="833"/>
      <c r="H43" s="833"/>
      <c r="I43" s="836"/>
      <c r="J43" s="1743">
        <v>1172</v>
      </c>
      <c r="K43" s="1743"/>
      <c r="L43" s="1743">
        <v>88</v>
      </c>
      <c r="M43" s="1743"/>
      <c r="N43" s="1743">
        <v>0</v>
      </c>
      <c r="O43" s="839"/>
      <c r="P43" s="839">
        <f>SUM(J43:N43)</f>
        <v>1260</v>
      </c>
      <c r="Q43" s="827"/>
    </row>
    <row r="44" spans="1:23" s="829" customFormat="1">
      <c r="A44" s="1427" t="s">
        <v>1282</v>
      </c>
      <c r="B44" s="833"/>
      <c r="C44" s="833"/>
      <c r="D44" s="833" t="s">
        <v>34</v>
      </c>
      <c r="E44" s="833"/>
      <c r="F44" s="833"/>
      <c r="G44" s="833"/>
      <c r="H44" s="833"/>
      <c r="I44" s="836"/>
      <c r="J44" s="1743">
        <v>1269</v>
      </c>
      <c r="K44" s="1743"/>
      <c r="L44" s="1743">
        <v>38</v>
      </c>
      <c r="M44" s="1743"/>
      <c r="N44" s="1743">
        <v>-3</v>
      </c>
      <c r="O44" s="839"/>
      <c r="P44" s="839">
        <f>SUM(J44:N44)</f>
        <v>1304</v>
      </c>
      <c r="Q44" s="827"/>
    </row>
    <row r="45" spans="1:23" s="829" customFormat="1">
      <c r="A45" s="1427" t="s">
        <v>1283</v>
      </c>
      <c r="B45" s="833"/>
      <c r="C45" s="833"/>
      <c r="D45" s="833" t="s">
        <v>107</v>
      </c>
      <c r="E45" s="833"/>
      <c r="F45" s="833"/>
      <c r="G45" s="833"/>
      <c r="H45" s="833"/>
      <c r="I45" s="836"/>
      <c r="J45" s="1743">
        <v>417</v>
      </c>
      <c r="K45" s="1743"/>
      <c r="L45" s="1743">
        <v>39</v>
      </c>
      <c r="M45" s="1743"/>
      <c r="N45" s="1743">
        <v>-43</v>
      </c>
      <c r="O45" s="839"/>
      <c r="P45" s="839">
        <f>SUM(J45:N45)</f>
        <v>413</v>
      </c>
      <c r="Q45" s="827"/>
    </row>
    <row r="46" spans="1:23" s="829" customFormat="1">
      <c r="A46" s="1427" t="s">
        <v>1581</v>
      </c>
      <c r="B46" s="833"/>
      <c r="C46" s="833"/>
      <c r="D46" s="833" t="s">
        <v>2007</v>
      </c>
      <c r="E46" s="1665"/>
      <c r="F46" s="1665"/>
      <c r="G46" s="1665"/>
      <c r="H46" s="1665"/>
      <c r="I46" s="1666"/>
      <c r="J46" s="1742">
        <v>165</v>
      </c>
      <c r="K46" s="1743"/>
      <c r="L46" s="1742">
        <v>24</v>
      </c>
      <c r="M46" s="1743"/>
      <c r="N46" s="1742">
        <v>-2</v>
      </c>
      <c r="O46" s="839"/>
      <c r="P46" s="839">
        <f t="shared" ref="P46" si="1">SUM(J46:N46)</f>
        <v>187</v>
      </c>
      <c r="Q46" s="827"/>
    </row>
    <row r="47" spans="1:23" s="829" customFormat="1" ht="15.75">
      <c r="A47" s="1427" t="s">
        <v>541</v>
      </c>
      <c r="B47" s="1434"/>
      <c r="C47" s="833"/>
      <c r="D47" s="1474" t="s">
        <v>1166</v>
      </c>
      <c r="E47" s="1473"/>
      <c r="F47" s="1473"/>
      <c r="G47" s="1473"/>
      <c r="H47" s="833"/>
      <c r="I47" s="836"/>
      <c r="J47" s="1435"/>
      <c r="K47" s="749"/>
      <c r="L47" s="1435"/>
      <c r="M47" s="749"/>
      <c r="N47" s="1435"/>
      <c r="O47" s="839"/>
      <c r="P47" s="839">
        <v>0</v>
      </c>
      <c r="Q47" s="827"/>
      <c r="R47" s="840"/>
      <c r="S47" s="840"/>
      <c r="T47" s="840"/>
      <c r="U47" s="840"/>
      <c r="V47" s="840"/>
      <c r="W47" s="840"/>
    </row>
    <row r="48" spans="1:23" s="829" customFormat="1" ht="15.75">
      <c r="A48" s="1429">
        <v>6</v>
      </c>
      <c r="B48" s="833"/>
      <c r="C48" s="833"/>
      <c r="D48" s="833"/>
      <c r="E48" s="833"/>
      <c r="F48" s="833"/>
      <c r="G48" s="833" t="s">
        <v>1073</v>
      </c>
      <c r="H48" s="833"/>
      <c r="I48" s="846"/>
      <c r="J48" s="842">
        <f>+J45+J44+J43+J41+J46+J47</f>
        <v>3855</v>
      </c>
      <c r="K48" s="847"/>
      <c r="L48" s="842">
        <f>+L45+L44+L43+L41+L46+L47</f>
        <v>224</v>
      </c>
      <c r="M48" s="847"/>
      <c r="N48" s="842">
        <f>+N45+N44+N43+N41+N46+N47</f>
        <v>-53</v>
      </c>
      <c r="O48" s="847"/>
      <c r="P48" s="842">
        <f>+P45+P44+P43+P41+P46+P47</f>
        <v>4026</v>
      </c>
      <c r="Q48" s="844"/>
      <c r="R48" s="845"/>
    </row>
    <row r="49" spans="1:20" s="829" customFormat="1">
      <c r="A49" s="1427"/>
      <c r="B49" s="833"/>
      <c r="C49" s="833"/>
      <c r="D49" s="833"/>
      <c r="E49" s="833"/>
      <c r="F49" s="833"/>
      <c r="H49" s="833"/>
      <c r="I49" s="836"/>
      <c r="J49" s="839"/>
      <c r="K49" s="839"/>
      <c r="L49" s="839"/>
      <c r="M49" s="839"/>
      <c r="N49" s="839"/>
      <c r="O49" s="839"/>
      <c r="P49" s="839"/>
      <c r="Q49" s="827"/>
      <c r="R49" s="845"/>
    </row>
    <row r="50" spans="1:20" s="829" customFormat="1" ht="15.75">
      <c r="A50" s="1429">
        <v>7</v>
      </c>
      <c r="B50" s="833"/>
      <c r="C50" s="833"/>
      <c r="D50" s="833"/>
      <c r="E50" s="833"/>
      <c r="F50" s="833"/>
      <c r="G50" s="833" t="s">
        <v>1074</v>
      </c>
      <c r="H50" s="833"/>
      <c r="I50" s="836"/>
      <c r="J50" s="842">
        <f>+J38-J48</f>
        <v>4684.0134182000002</v>
      </c>
      <c r="K50" s="839"/>
      <c r="L50" s="842">
        <f>+L38-L48</f>
        <v>-62</v>
      </c>
      <c r="M50" s="839"/>
      <c r="N50" s="842">
        <f>+N38-N48</f>
        <v>1</v>
      </c>
      <c r="O50" s="839"/>
      <c r="P50" s="842">
        <f>IF(SUM(J50:N50)=(P38-P48),SUM(J50:N50),"Off")</f>
        <v>4623.0134182000002</v>
      </c>
      <c r="Q50" s="844"/>
      <c r="R50" s="845"/>
      <c r="S50" s="845"/>
    </row>
    <row r="51" spans="1:20" s="829" customFormat="1">
      <c r="A51" s="1427"/>
      <c r="B51" s="833"/>
      <c r="C51" s="833"/>
      <c r="D51" s="833"/>
      <c r="E51" s="833"/>
      <c r="F51" s="833"/>
      <c r="G51" s="833"/>
      <c r="H51" s="833"/>
      <c r="I51" s="836"/>
      <c r="J51" s="839"/>
      <c r="K51" s="839"/>
      <c r="L51" s="839"/>
      <c r="M51" s="839"/>
      <c r="N51" s="839"/>
      <c r="O51" s="839"/>
      <c r="P51" s="839"/>
      <c r="Q51" s="844"/>
      <c r="R51" s="845"/>
    </row>
    <row r="52" spans="1:20" s="829" customFormat="1" ht="16.5" thickBot="1">
      <c r="A52" s="1429">
        <v>8</v>
      </c>
      <c r="B52" s="833"/>
      <c r="C52" s="833"/>
      <c r="D52" s="833"/>
      <c r="E52" s="833"/>
      <c r="F52" s="833"/>
      <c r="G52" s="833" t="s">
        <v>1075</v>
      </c>
      <c r="H52" s="833"/>
      <c r="I52" s="836"/>
      <c r="J52" s="848">
        <f>+J50+J27</f>
        <v>5441.6095156700003</v>
      </c>
      <c r="K52" s="847"/>
      <c r="L52" s="848">
        <f>+L50+L27</f>
        <v>233</v>
      </c>
      <c r="M52" s="847"/>
      <c r="N52" s="848">
        <f>+N50+N27</f>
        <v>-156</v>
      </c>
      <c r="O52" s="847"/>
      <c r="P52" s="848">
        <f>+P50+P27</f>
        <v>5518.6095156700003</v>
      </c>
      <c r="Q52" s="844"/>
      <c r="R52" s="845"/>
    </row>
    <row r="53" spans="1:20" ht="16.5" thickTop="1">
      <c r="A53" s="1428"/>
      <c r="B53" s="290"/>
      <c r="C53" s="290"/>
      <c r="D53" s="290"/>
      <c r="E53" s="290"/>
      <c r="F53" s="290"/>
      <c r="G53" s="290"/>
      <c r="H53" s="290"/>
      <c r="I53" s="290"/>
      <c r="J53" s="670"/>
      <c r="K53" s="670"/>
      <c r="L53" s="670"/>
      <c r="M53" s="670"/>
      <c r="N53" s="670"/>
      <c r="O53" s="670"/>
      <c r="P53" s="670"/>
      <c r="Q53" s="290"/>
      <c r="R53" s="291"/>
    </row>
    <row r="54" spans="1:20" ht="15.75" thickBot="1">
      <c r="B54" s="292"/>
      <c r="C54" s="292"/>
      <c r="D54" s="292"/>
      <c r="E54" s="292"/>
      <c r="F54" s="292"/>
      <c r="G54" s="292"/>
      <c r="H54" s="292"/>
      <c r="I54" s="292"/>
      <c r="J54" s="671"/>
      <c r="K54" s="671"/>
      <c r="L54" s="671"/>
      <c r="M54" s="671"/>
      <c r="N54" s="671"/>
      <c r="O54" s="671"/>
      <c r="P54" s="671"/>
      <c r="Q54" s="292"/>
      <c r="R54" s="292"/>
      <c r="S54" s="293"/>
      <c r="T54" s="292"/>
    </row>
  </sheetData>
  <customSheetViews>
    <customSheetView guid="{B321D76C-CDE5-48BB-9CDE-80FF97D58FCF}" scale="70" showPageBreaks="1" printArea="1" view="pageBreakPreview">
      <selection activeCell="D33" sqref="D33"/>
      <pageMargins left="0.25" right="0.25" top="0.5" bottom="0.5" header="0.05" footer="0.05"/>
      <printOptions horizontalCentered="1"/>
      <pageSetup scale="63" orientation="portrait" cellComments="asDisplayed" r:id="rId1"/>
    </customSheetView>
  </customSheetViews>
  <mergeCells count="5">
    <mergeCell ref="B9:Q9"/>
    <mergeCell ref="B5:P5"/>
    <mergeCell ref="B4:P4"/>
    <mergeCell ref="B6:P6"/>
    <mergeCell ref="B8:Q8"/>
  </mergeCells>
  <printOptions horizontalCentered="1"/>
  <pageMargins left="0.25" right="0.25" top="0.5" bottom="0.5" header="0.05" footer="0.05"/>
  <pageSetup scale="63" orientation="portrait" cellComments="asDisplayed" r:id="rId2"/>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6"/>
  </sheetPr>
  <dimension ref="A1:V134"/>
  <sheetViews>
    <sheetView tabSelected="1" view="pageBreakPreview" zoomScaleNormal="100" zoomScaleSheetLayoutView="100" workbookViewId="0">
      <selection activeCell="C30" sqref="C30"/>
    </sheetView>
  </sheetViews>
  <sheetFormatPr defaultColWidth="9" defaultRowHeight="12.75"/>
  <cols>
    <col min="1" max="1" width="8" style="738" customWidth="1"/>
    <col min="2" max="2" width="5.125" style="738" customWidth="1"/>
    <col min="3" max="3" width="11.75" style="738" customWidth="1"/>
    <col min="4" max="6" width="9" style="731"/>
    <col min="7" max="7" width="13.75" style="1526" customWidth="1"/>
    <col min="8" max="8" width="14.75" style="1526" bestFit="1" customWidth="1"/>
    <col min="9" max="9" width="15" style="1526" bestFit="1" customWidth="1"/>
    <col min="10" max="10" width="15.25" style="1526" bestFit="1" customWidth="1"/>
    <col min="11" max="11" width="29.125" style="1526" customWidth="1"/>
    <col min="12" max="12" width="13.5" style="1526" bestFit="1" customWidth="1"/>
    <col min="13" max="13" width="15" style="1526" bestFit="1" customWidth="1"/>
    <col min="14" max="14" width="15.25" style="731" bestFit="1" customWidth="1"/>
    <col min="15" max="15" width="12" style="731" bestFit="1" customWidth="1"/>
    <col min="16" max="16" width="9" style="731"/>
    <col min="17" max="22" width="9" style="735"/>
    <col min="23" max="16384" width="9" style="731"/>
  </cols>
  <sheetData>
    <row r="1" spans="1:22" s="728" customFormat="1" ht="15.75">
      <c r="A1" s="817" t="s">
        <v>993</v>
      </c>
      <c r="B1" s="747"/>
      <c r="C1" s="745"/>
      <c r="G1" s="1523"/>
      <c r="H1" s="1524"/>
      <c r="I1" s="1523"/>
      <c r="J1" s="1523"/>
      <c r="K1" s="1523"/>
      <c r="L1" s="1523"/>
      <c r="M1" s="1523"/>
      <c r="N1" s="729"/>
      <c r="O1" s="729"/>
      <c r="Q1" s="730"/>
      <c r="R1" s="730"/>
      <c r="S1" s="730"/>
      <c r="T1" s="730"/>
      <c r="U1" s="730"/>
      <c r="V1" s="730"/>
    </row>
    <row r="2" spans="1:22" ht="18.75">
      <c r="B2" s="741"/>
      <c r="C2" s="746"/>
      <c r="D2" s="733"/>
      <c r="E2" s="732"/>
      <c r="F2" s="732"/>
      <c r="G2" s="1525"/>
      <c r="H2" s="1525"/>
      <c r="N2" s="734"/>
      <c r="O2" s="734"/>
    </row>
    <row r="3" spans="1:22" ht="18.75">
      <c r="B3" s="741"/>
      <c r="C3" s="746"/>
      <c r="D3" s="733"/>
      <c r="E3" s="732"/>
      <c r="F3" s="732"/>
      <c r="G3" s="1525"/>
      <c r="H3" s="1525"/>
      <c r="N3" s="734"/>
      <c r="O3" s="734"/>
    </row>
    <row r="4" spans="1:22" ht="18.75">
      <c r="A4" s="1868" t="s">
        <v>200</v>
      </c>
      <c r="B4" s="1868"/>
      <c r="C4" s="1868"/>
      <c r="D4" s="1868"/>
      <c r="E4" s="1868"/>
      <c r="F4" s="1868"/>
      <c r="G4" s="1868"/>
      <c r="H4" s="1868"/>
      <c r="I4" s="1868"/>
      <c r="J4" s="1868"/>
      <c r="K4" s="1868"/>
      <c r="L4" s="1868"/>
      <c r="M4" s="1868"/>
      <c r="N4" s="1868"/>
      <c r="O4" s="1868"/>
      <c r="P4" s="736"/>
    </row>
    <row r="5" spans="1:22" ht="18.75">
      <c r="A5" s="1868" t="s">
        <v>103</v>
      </c>
      <c r="B5" s="1868"/>
      <c r="C5" s="1868"/>
      <c r="D5" s="1868"/>
      <c r="E5" s="1868"/>
      <c r="F5" s="1868"/>
      <c r="G5" s="1868"/>
      <c r="H5" s="1868"/>
      <c r="I5" s="1868"/>
      <c r="J5" s="1868"/>
      <c r="K5" s="1868"/>
      <c r="L5" s="1868"/>
      <c r="M5" s="1868"/>
      <c r="N5" s="1868"/>
      <c r="O5" s="1868"/>
    </row>
    <row r="6" spans="1:22" ht="18.75">
      <c r="A6" s="1869" t="s">
        <v>1820</v>
      </c>
      <c r="B6" s="1869"/>
      <c r="C6" s="1869"/>
      <c r="D6" s="1869"/>
      <c r="E6" s="1869"/>
      <c r="F6" s="1869"/>
      <c r="G6" s="1869"/>
      <c r="H6" s="1869"/>
      <c r="I6" s="1869"/>
      <c r="J6" s="1869"/>
      <c r="K6" s="1869"/>
      <c r="L6" s="1869"/>
      <c r="M6" s="1869"/>
      <c r="N6" s="1869"/>
      <c r="O6" s="1869"/>
    </row>
    <row r="7" spans="1:22" ht="12" customHeight="1">
      <c r="A7" s="746"/>
      <c r="C7" s="746"/>
      <c r="D7" s="737"/>
      <c r="E7" s="732"/>
      <c r="F7" s="732"/>
      <c r="G7" s="1525"/>
      <c r="H7" s="1525"/>
      <c r="N7" s="734"/>
      <c r="O7" s="734"/>
    </row>
    <row r="8" spans="1:22" ht="18.75">
      <c r="A8" s="1870" t="s">
        <v>992</v>
      </c>
      <c r="B8" s="1870"/>
      <c r="C8" s="1870"/>
      <c r="D8" s="1870"/>
      <c r="E8" s="1870"/>
      <c r="F8" s="1870"/>
      <c r="G8" s="1870"/>
      <c r="H8" s="1870"/>
      <c r="I8" s="1870"/>
      <c r="J8" s="1870"/>
      <c r="K8" s="1870"/>
      <c r="L8" s="1870"/>
      <c r="M8" s="1870"/>
      <c r="N8" s="1870"/>
      <c r="O8" s="1870"/>
      <c r="P8" s="1870"/>
    </row>
    <row r="9" spans="1:22" ht="18.75">
      <c r="A9" s="1868" t="s">
        <v>858</v>
      </c>
      <c r="B9" s="1868"/>
      <c r="C9" s="1868"/>
      <c r="D9" s="1868"/>
      <c r="E9" s="1868"/>
      <c r="F9" s="1868"/>
      <c r="G9" s="1868"/>
      <c r="H9" s="1868"/>
      <c r="I9" s="1868"/>
      <c r="J9" s="1868"/>
      <c r="K9" s="1868"/>
      <c r="L9" s="1868"/>
      <c r="M9" s="1868"/>
      <c r="N9" s="1868"/>
      <c r="O9" s="1868"/>
      <c r="P9" s="1868"/>
    </row>
    <row r="10" spans="1:22" s="851" customFormat="1">
      <c r="A10" s="849" t="s">
        <v>58</v>
      </c>
      <c r="B10" s="850"/>
      <c r="C10" s="850"/>
      <c r="G10" s="495"/>
      <c r="H10" s="495"/>
      <c r="I10" s="495"/>
      <c r="J10" s="495"/>
      <c r="K10" s="495"/>
      <c r="L10" s="495"/>
      <c r="M10" s="495"/>
      <c r="Q10" s="852"/>
      <c r="R10" s="852"/>
      <c r="S10" s="852"/>
      <c r="T10" s="852"/>
      <c r="U10" s="852"/>
      <c r="V10" s="852"/>
    </row>
    <row r="11" spans="1:22" s="854" customFormat="1" ht="18" customHeight="1">
      <c r="A11" s="853" t="s">
        <v>59</v>
      </c>
      <c r="B11" s="850"/>
      <c r="C11" s="850"/>
      <c r="E11" s="855"/>
      <c r="F11" s="850"/>
      <c r="G11" s="863"/>
      <c r="H11" s="1871"/>
      <c r="I11" s="1872"/>
      <c r="J11" s="1873"/>
      <c r="K11" s="495"/>
      <c r="L11" s="495"/>
      <c r="M11" s="495"/>
      <c r="N11" s="851"/>
      <c r="O11" s="851"/>
      <c r="P11" s="856"/>
      <c r="Q11" s="1867"/>
      <c r="R11" s="1867"/>
      <c r="S11" s="1867"/>
      <c r="T11" s="1867"/>
      <c r="U11" s="857"/>
      <c r="V11" s="857"/>
    </row>
    <row r="12" spans="1:22" s="854" customFormat="1" ht="18" customHeight="1">
      <c r="A12" s="853"/>
      <c r="B12" s="850"/>
      <c r="C12" s="1601" t="s">
        <v>192</v>
      </c>
      <c r="E12" s="855"/>
      <c r="F12" s="850"/>
      <c r="G12" s="863"/>
      <c r="H12" s="1527" t="s">
        <v>193</v>
      </c>
      <c r="I12" s="1527" t="s">
        <v>194</v>
      </c>
      <c r="J12" s="1527" t="s">
        <v>195</v>
      </c>
      <c r="K12" s="1527" t="s">
        <v>196</v>
      </c>
      <c r="L12" s="1527" t="s">
        <v>371</v>
      </c>
      <c r="M12" s="1527" t="s">
        <v>372</v>
      </c>
      <c r="N12" s="1422" t="s">
        <v>901</v>
      </c>
      <c r="O12" s="1422" t="s">
        <v>902</v>
      </c>
      <c r="P12" s="856"/>
      <c r="Q12" s="1372"/>
      <c r="R12" s="1372"/>
      <c r="S12" s="1372"/>
      <c r="T12" s="1372"/>
      <c r="U12" s="857"/>
      <c r="V12" s="857"/>
    </row>
    <row r="13" spans="1:22" s="854" customFormat="1" ht="18" customHeight="1">
      <c r="A13" s="853"/>
      <c r="B13" s="850"/>
      <c r="C13" s="1422"/>
      <c r="E13" s="855"/>
      <c r="F13" s="850"/>
      <c r="G13" s="863"/>
      <c r="H13" s="1527"/>
      <c r="I13" s="1527"/>
      <c r="J13" s="1527"/>
      <c r="K13" s="495"/>
      <c r="L13" s="495"/>
      <c r="M13" s="495"/>
      <c r="N13" s="851"/>
      <c r="O13" s="851"/>
      <c r="P13" s="856"/>
      <c r="Q13" s="1372"/>
      <c r="R13" s="1372"/>
      <c r="S13" s="1372"/>
      <c r="T13" s="1372"/>
      <c r="U13" s="857"/>
      <c r="V13" s="857"/>
    </row>
    <row r="14" spans="1:22" s="854" customFormat="1" ht="13.5" customHeight="1">
      <c r="B14" s="858">
        <v>1</v>
      </c>
      <c r="C14" s="859" t="s">
        <v>865</v>
      </c>
      <c r="E14" s="855"/>
      <c r="F14" s="850"/>
      <c r="G14" s="863"/>
      <c r="H14" s="1528"/>
      <c r="I14" s="1528"/>
      <c r="J14" s="1528"/>
      <c r="K14" s="1528"/>
      <c r="L14" s="863"/>
      <c r="M14" s="863"/>
      <c r="P14" s="856"/>
      <c r="Q14" s="856"/>
      <c r="R14" s="856"/>
      <c r="S14" s="857"/>
      <c r="T14" s="860"/>
      <c r="U14" s="857"/>
      <c r="V14" s="857"/>
    </row>
    <row r="15" spans="1:22" s="854" customFormat="1" ht="13.5" customHeight="1">
      <c r="A15" s="850"/>
      <c r="B15" s="850"/>
      <c r="E15" s="855"/>
      <c r="F15" s="850"/>
      <c r="G15" s="863"/>
      <c r="H15" s="1529" t="s">
        <v>629</v>
      </c>
      <c r="I15" s="1529" t="s">
        <v>630</v>
      </c>
      <c r="J15" s="1529" t="s">
        <v>870</v>
      </c>
      <c r="K15" s="863"/>
      <c r="L15" s="863"/>
      <c r="M15" s="863"/>
      <c r="P15" s="856"/>
      <c r="Q15" s="856"/>
      <c r="R15" s="856"/>
      <c r="S15" s="857"/>
      <c r="T15" s="860"/>
      <c r="U15" s="857"/>
      <c r="V15" s="857"/>
    </row>
    <row r="16" spans="1:22" s="854" customFormat="1" ht="13.5" customHeight="1">
      <c r="A16" s="850"/>
      <c r="B16" s="850"/>
      <c r="E16" s="855"/>
      <c r="F16" s="850"/>
      <c r="G16" s="863"/>
      <c r="H16" s="863"/>
      <c r="I16" s="1530"/>
      <c r="J16" s="1530"/>
      <c r="K16" s="1530"/>
      <c r="L16" s="863"/>
      <c r="M16" s="863"/>
      <c r="P16" s="856"/>
      <c r="Q16" s="856"/>
      <c r="R16" s="856"/>
      <c r="S16" s="857"/>
      <c r="T16" s="860"/>
      <c r="U16" s="857"/>
      <c r="V16" s="857"/>
    </row>
    <row r="17" spans="1:22" s="854" customFormat="1" ht="13.5" customHeight="1">
      <c r="A17" s="850" t="s">
        <v>471</v>
      </c>
      <c r="B17" s="850"/>
      <c r="C17" s="861" t="s">
        <v>871</v>
      </c>
      <c r="E17" s="855"/>
      <c r="F17" s="850"/>
      <c r="G17" s="863"/>
      <c r="H17" s="863">
        <f>'WP-AR-IS'!G28</f>
        <v>534</v>
      </c>
      <c r="I17" s="863">
        <f>'WP-AR-IS'!G29</f>
        <v>145</v>
      </c>
      <c r="J17" s="863">
        <f>H17+I17</f>
        <v>679</v>
      </c>
      <c r="K17" s="1528"/>
      <c r="L17" s="863"/>
      <c r="M17" s="863"/>
      <c r="P17" s="856"/>
      <c r="Q17" s="856"/>
      <c r="R17" s="856"/>
      <c r="S17" s="857"/>
      <c r="T17" s="860"/>
      <c r="U17" s="857"/>
      <c r="V17" s="857"/>
    </row>
    <row r="18" spans="1:22" s="854" customFormat="1" ht="13.5" customHeight="1">
      <c r="A18" s="850" t="s">
        <v>473</v>
      </c>
      <c r="B18" s="850"/>
      <c r="C18" s="861" t="s">
        <v>868</v>
      </c>
      <c r="G18" s="863"/>
      <c r="H18" s="863"/>
      <c r="I18" s="863"/>
      <c r="J18" s="863"/>
      <c r="K18" s="863"/>
      <c r="L18" s="863"/>
      <c r="M18" s="863"/>
      <c r="P18" s="856"/>
      <c r="Q18" s="856"/>
      <c r="R18" s="856"/>
      <c r="S18" s="857"/>
      <c r="T18" s="860"/>
      <c r="U18" s="857"/>
      <c r="V18" s="857"/>
    </row>
    <row r="19" spans="1:22" s="854" customFormat="1" ht="13.5" customHeight="1">
      <c r="A19" s="850" t="s">
        <v>494</v>
      </c>
      <c r="B19" s="850"/>
      <c r="C19" s="862" t="s">
        <v>451</v>
      </c>
      <c r="G19" s="863"/>
      <c r="H19" s="863">
        <f>-SUM('WP-AA'!C19:C26)/10^6</f>
        <v>-101.89825235000001</v>
      </c>
      <c r="I19" s="863">
        <f>-SUM('WP-AA'!C53:C63)/10^6</f>
        <v>-102.41204695</v>
      </c>
      <c r="J19" s="863">
        <f t="shared" ref="J19:J36" si="0">H19+I19</f>
        <v>-204.3102993</v>
      </c>
      <c r="K19" s="863"/>
      <c r="L19" s="863"/>
      <c r="M19" s="863"/>
      <c r="P19" s="856"/>
      <c r="Q19" s="856"/>
      <c r="R19" s="856"/>
      <c r="S19" s="857"/>
      <c r="T19" s="860"/>
      <c r="U19" s="857"/>
      <c r="V19" s="857"/>
    </row>
    <row r="20" spans="1:22" s="854" customFormat="1" ht="13.5" customHeight="1">
      <c r="A20" s="850" t="s">
        <v>495</v>
      </c>
      <c r="B20" s="850"/>
      <c r="C20" s="862" t="s">
        <v>1125</v>
      </c>
      <c r="G20" s="863"/>
      <c r="H20" s="863">
        <f>-'WP-AA'!E26/10^6</f>
        <v>-8.5963838299999988</v>
      </c>
      <c r="I20" s="863">
        <v>0</v>
      </c>
      <c r="J20" s="863">
        <f t="shared" si="0"/>
        <v>-8.5963838299999988</v>
      </c>
      <c r="K20" s="863"/>
      <c r="L20" s="863"/>
      <c r="M20" s="863"/>
      <c r="P20" s="856"/>
      <c r="Q20" s="856"/>
      <c r="R20" s="856"/>
      <c r="S20" s="857"/>
      <c r="T20" s="860"/>
      <c r="U20" s="857"/>
      <c r="V20" s="857"/>
    </row>
    <row r="21" spans="1:22" s="854" customFormat="1" ht="13.5" customHeight="1">
      <c r="A21" s="850" t="s">
        <v>496</v>
      </c>
      <c r="B21" s="850"/>
      <c r="C21" s="862" t="s">
        <v>1142</v>
      </c>
      <c r="G21" s="863"/>
      <c r="H21" s="863">
        <f>-'WP-AA'!F31/10^6-'WP-AA'!F32/10^6</f>
        <v>-58.071579910000004</v>
      </c>
      <c r="I21" s="863">
        <v>0</v>
      </c>
      <c r="J21" s="863">
        <f t="shared" si="0"/>
        <v>-58.071579910000004</v>
      </c>
      <c r="K21" s="863"/>
      <c r="L21" s="863"/>
      <c r="M21" s="863"/>
      <c r="P21" s="856"/>
      <c r="Q21" s="856"/>
      <c r="R21" s="856"/>
      <c r="S21" s="857"/>
      <c r="T21" s="860"/>
      <c r="U21" s="857"/>
      <c r="V21" s="857"/>
    </row>
    <row r="22" spans="1:22" s="854" customFormat="1" ht="13.5" customHeight="1">
      <c r="A22" s="850" t="s">
        <v>497</v>
      </c>
      <c r="B22" s="850"/>
      <c r="C22" s="862" t="s">
        <v>1086</v>
      </c>
      <c r="G22" s="863"/>
      <c r="H22" s="863">
        <f>-'WP-AA'!F33/10^6</f>
        <v>-21.47613428</v>
      </c>
      <c r="I22" s="863">
        <v>0</v>
      </c>
      <c r="J22" s="863">
        <f t="shared" si="0"/>
        <v>-21.47613428</v>
      </c>
      <c r="K22" s="863"/>
      <c r="L22" s="863"/>
      <c r="M22" s="863"/>
      <c r="P22" s="856"/>
      <c r="Q22" s="856"/>
      <c r="R22" s="856"/>
      <c r="S22" s="857"/>
      <c r="T22" s="860"/>
      <c r="U22" s="857"/>
      <c r="V22" s="857"/>
    </row>
    <row r="23" spans="1:22" s="854" customFormat="1" ht="13.5" customHeight="1">
      <c r="A23" s="850" t="s">
        <v>498</v>
      </c>
      <c r="B23" s="850"/>
      <c r="C23" s="862" t="s">
        <v>862</v>
      </c>
      <c r="G23" s="863"/>
      <c r="H23" s="863">
        <f>-(SUM('WP-AA'!F34:F52)/10^6+H25+H26+H28)*'WP-EA'!H38</f>
        <v>-218.33300668839198</v>
      </c>
      <c r="I23" s="863">
        <v>0</v>
      </c>
      <c r="J23" s="863">
        <f t="shared" si="0"/>
        <v>-218.33300668839198</v>
      </c>
      <c r="K23" s="863"/>
      <c r="L23" s="863"/>
      <c r="M23" s="863"/>
      <c r="P23" s="856"/>
      <c r="Q23" s="856"/>
      <c r="R23" s="856"/>
      <c r="S23" s="857"/>
      <c r="T23" s="860"/>
      <c r="U23" s="857"/>
      <c r="V23" s="857"/>
    </row>
    <row r="24" spans="1:22" s="854" customFormat="1" ht="13.5" customHeight="1">
      <c r="A24" s="850" t="s">
        <v>499</v>
      </c>
      <c r="B24" s="850"/>
      <c r="C24" s="861" t="s">
        <v>183</v>
      </c>
      <c r="G24" s="863"/>
      <c r="H24" s="863"/>
      <c r="I24" s="863"/>
      <c r="J24" s="863">
        <f t="shared" si="0"/>
        <v>0</v>
      </c>
      <c r="K24" s="863"/>
      <c r="L24" s="863"/>
      <c r="M24" s="863"/>
      <c r="P24" s="856"/>
      <c r="Q24" s="856"/>
      <c r="R24" s="856"/>
      <c r="S24" s="857"/>
      <c r="T24" s="860"/>
      <c r="U24" s="857"/>
      <c r="V24" s="857"/>
    </row>
    <row r="25" spans="1:22" s="854" customFormat="1" ht="13.5" customHeight="1">
      <c r="A25" s="850" t="s">
        <v>500</v>
      </c>
      <c r="B25" s="850"/>
      <c r="C25" s="862" t="s">
        <v>863</v>
      </c>
      <c r="G25" s="863"/>
      <c r="H25" s="863">
        <f>-'WP-AA'!F38/10^6</f>
        <v>-5.6491715380288277</v>
      </c>
      <c r="I25" s="863">
        <v>0</v>
      </c>
      <c r="J25" s="863">
        <f t="shared" si="0"/>
        <v>-5.6491715380288277</v>
      </c>
      <c r="K25" s="863"/>
      <c r="L25" s="863"/>
      <c r="M25" s="863"/>
      <c r="P25" s="856"/>
      <c r="Q25" s="856"/>
      <c r="R25" s="856"/>
      <c r="S25" s="857"/>
      <c r="T25" s="860"/>
      <c r="U25" s="857"/>
      <c r="V25" s="857"/>
    </row>
    <row r="26" spans="1:22" s="854" customFormat="1" ht="13.5" customHeight="1">
      <c r="A26" s="850" t="s">
        <v>501</v>
      </c>
      <c r="B26" s="850"/>
      <c r="C26" s="862" t="s">
        <v>864</v>
      </c>
      <c r="G26" s="863"/>
      <c r="H26" s="863">
        <f>-'WP-AA'!F39/10^6</f>
        <v>-3.6420738284281198</v>
      </c>
      <c r="I26" s="863">
        <v>0</v>
      </c>
      <c r="J26" s="863">
        <f t="shared" si="0"/>
        <v>-3.6420738284281198</v>
      </c>
      <c r="K26" s="863"/>
      <c r="L26" s="863"/>
      <c r="M26" s="863"/>
      <c r="P26" s="856"/>
      <c r="Q26" s="856"/>
      <c r="R26" s="856"/>
      <c r="S26" s="857"/>
      <c r="T26" s="860"/>
      <c r="U26" s="857"/>
      <c r="V26" s="857"/>
    </row>
    <row r="27" spans="1:22" s="854" customFormat="1" ht="13.5" customHeight="1">
      <c r="A27" s="850" t="s">
        <v>502</v>
      </c>
      <c r="B27" s="850"/>
      <c r="C27" s="862" t="s">
        <v>744</v>
      </c>
      <c r="G27" s="863"/>
      <c r="H27" s="863">
        <f>'A2-A&amp;G'!H34/10^6</f>
        <v>0</v>
      </c>
      <c r="I27" s="863">
        <v>0</v>
      </c>
      <c r="J27" s="863">
        <f t="shared" si="0"/>
        <v>0</v>
      </c>
      <c r="K27" s="863"/>
      <c r="L27" s="863"/>
      <c r="M27" s="863"/>
      <c r="P27" s="856"/>
      <c r="Q27" s="856"/>
      <c r="R27" s="856"/>
      <c r="S27" s="857"/>
      <c r="T27" s="860"/>
      <c r="U27" s="857"/>
      <c r="V27" s="857"/>
    </row>
    <row r="28" spans="1:22" s="854" customFormat="1" ht="13.5" customHeight="1">
      <c r="A28" s="850" t="s">
        <v>503</v>
      </c>
      <c r="B28" s="850"/>
      <c r="C28" s="862" t="s">
        <v>1124</v>
      </c>
      <c r="G28" s="863"/>
      <c r="H28" s="863">
        <f>-'WP-AA'!F42/10^6</f>
        <v>-4.4713457500000002</v>
      </c>
      <c r="I28" s="863">
        <v>0</v>
      </c>
      <c r="J28" s="863">
        <f t="shared" si="0"/>
        <v>-4.4713457500000002</v>
      </c>
      <c r="K28" s="863"/>
      <c r="L28" s="863"/>
      <c r="M28" s="863"/>
      <c r="P28" s="856"/>
      <c r="Q28" s="856"/>
      <c r="R28" s="856"/>
      <c r="S28" s="857"/>
      <c r="T28" s="860"/>
      <c r="U28" s="857"/>
      <c r="V28" s="857"/>
    </row>
    <row r="29" spans="1:22" s="854" customFormat="1" ht="13.5" customHeight="1">
      <c r="A29" s="850" t="s">
        <v>505</v>
      </c>
      <c r="B29" s="850"/>
      <c r="C29" s="862" t="s">
        <v>747</v>
      </c>
      <c r="G29" s="863"/>
      <c r="H29" s="863">
        <f>'WP-AF'!H21/10^6</f>
        <v>33.906253</v>
      </c>
      <c r="I29" s="863">
        <v>0</v>
      </c>
      <c r="J29" s="863">
        <f t="shared" si="0"/>
        <v>33.906253</v>
      </c>
      <c r="K29" s="863"/>
      <c r="L29" s="863"/>
      <c r="M29" s="863"/>
      <c r="P29" s="856"/>
      <c r="Q29" s="856"/>
      <c r="R29" s="856"/>
      <c r="S29" s="857"/>
      <c r="T29" s="860"/>
      <c r="U29" s="857"/>
      <c r="V29" s="857"/>
    </row>
    <row r="30" spans="1:22" s="854" customFormat="1" ht="13.5" customHeight="1">
      <c r="A30" s="850" t="s">
        <v>504</v>
      </c>
      <c r="B30" s="850"/>
      <c r="C30" s="862" t="s">
        <v>861</v>
      </c>
      <c r="E30" s="20"/>
      <c r="F30" s="20"/>
      <c r="G30" s="863"/>
      <c r="H30" s="863">
        <f>'A2-A&amp;G'!J20/10^6</f>
        <v>1.2002877805344225</v>
      </c>
      <c r="I30" s="863">
        <v>0</v>
      </c>
      <c r="J30" s="863">
        <f t="shared" si="0"/>
        <v>1.2002877805344225</v>
      </c>
      <c r="K30" s="863"/>
      <c r="L30" s="863"/>
      <c r="M30" s="863"/>
      <c r="P30" s="856"/>
      <c r="Q30" s="856"/>
      <c r="R30" s="856"/>
      <c r="S30" s="857"/>
      <c r="T30" s="860"/>
      <c r="U30" s="857"/>
      <c r="V30" s="857"/>
    </row>
    <row r="31" spans="1:22" s="854" customFormat="1" ht="13.5" customHeight="1">
      <c r="A31" s="850" t="s">
        <v>506</v>
      </c>
      <c r="B31" s="850"/>
      <c r="C31" s="862" t="s">
        <v>860</v>
      </c>
      <c r="E31" s="20"/>
      <c r="F31" s="20"/>
      <c r="G31" s="863"/>
      <c r="H31" s="863">
        <f>'A2-A&amp;G'!J21/10^6</f>
        <v>1.3205894433446685</v>
      </c>
      <c r="I31" s="863">
        <v>0</v>
      </c>
      <c r="J31" s="863">
        <f t="shared" si="0"/>
        <v>1.3205894433446685</v>
      </c>
      <c r="K31" s="863"/>
      <c r="L31" s="863"/>
      <c r="M31" s="863"/>
      <c r="P31" s="856"/>
      <c r="Q31" s="856"/>
      <c r="R31" s="856"/>
      <c r="S31" s="857"/>
      <c r="T31" s="860"/>
      <c r="U31" s="857"/>
      <c r="V31" s="857"/>
    </row>
    <row r="32" spans="1:22" s="854" customFormat="1" ht="13.5" customHeight="1">
      <c r="A32" s="850" t="s">
        <v>1169</v>
      </c>
      <c r="B32" s="850"/>
      <c r="C32" s="862" t="s">
        <v>145</v>
      </c>
      <c r="E32" s="20"/>
      <c r="F32" s="20"/>
      <c r="G32" s="863"/>
      <c r="H32" s="863">
        <v>0</v>
      </c>
      <c r="I32" s="863">
        <f>'A1-O&amp;M'!J33/10^6</f>
        <v>-0.73112530376032214</v>
      </c>
      <c r="J32" s="863">
        <f t="shared" si="0"/>
        <v>-0.73112530376032214</v>
      </c>
      <c r="K32" s="863"/>
      <c r="L32" s="863"/>
      <c r="M32" s="863"/>
      <c r="P32" s="856"/>
      <c r="Q32" s="856"/>
      <c r="R32" s="856"/>
      <c r="S32" s="857"/>
      <c r="T32" s="860"/>
      <c r="U32" s="857"/>
      <c r="V32" s="857"/>
    </row>
    <row r="33" spans="1:22" s="854" customFormat="1" ht="13.5" customHeight="1">
      <c r="A33" s="850" t="s">
        <v>1170</v>
      </c>
      <c r="B33" s="850"/>
      <c r="C33" s="862" t="s">
        <v>146</v>
      </c>
      <c r="E33" s="855"/>
      <c r="F33" s="850"/>
      <c r="G33" s="863"/>
      <c r="H33" s="863">
        <v>0</v>
      </c>
      <c r="I33" s="863">
        <f>'A1-O&amp;M'!J34/10^6</f>
        <v>-0.81824133546066424</v>
      </c>
      <c r="J33" s="863">
        <f t="shared" si="0"/>
        <v>-0.81824133546066424</v>
      </c>
      <c r="K33" s="863"/>
      <c r="L33" s="863"/>
      <c r="M33" s="863"/>
      <c r="P33" s="856"/>
      <c r="Q33" s="856"/>
      <c r="R33" s="856"/>
      <c r="S33" s="857"/>
      <c r="T33" s="860"/>
      <c r="U33" s="857"/>
      <c r="V33" s="857"/>
    </row>
    <row r="34" spans="1:22" s="854" customFormat="1" ht="13.5" customHeight="1">
      <c r="A34" s="850" t="s">
        <v>1171</v>
      </c>
      <c r="B34" s="850"/>
      <c r="C34" s="862" t="s">
        <v>757</v>
      </c>
      <c r="E34" s="855"/>
      <c r="F34" s="850"/>
      <c r="G34" s="863"/>
      <c r="H34" s="863">
        <v>0</v>
      </c>
      <c r="I34" s="863">
        <f>'A1-O&amp;M'!J35/10^6</f>
        <v>-0.11734997</v>
      </c>
      <c r="J34" s="863">
        <f t="shared" si="0"/>
        <v>-0.11734997</v>
      </c>
      <c r="K34" s="863"/>
      <c r="L34" s="863"/>
      <c r="M34" s="863"/>
      <c r="P34" s="856"/>
      <c r="Q34" s="856"/>
      <c r="R34" s="856"/>
      <c r="S34" s="857"/>
      <c r="T34" s="860"/>
      <c r="U34" s="857"/>
      <c r="V34" s="857"/>
    </row>
    <row r="35" spans="1:22" s="854" customFormat="1" ht="13.5" customHeight="1">
      <c r="A35" s="850" t="s">
        <v>1172</v>
      </c>
      <c r="B35" s="850"/>
      <c r="C35" s="862" t="s">
        <v>1141</v>
      </c>
      <c r="E35" s="20"/>
      <c r="F35" s="20"/>
      <c r="G35" s="863"/>
      <c r="H35" s="863">
        <v>0</v>
      </c>
      <c r="I35" s="863">
        <f>-H35</f>
        <v>0</v>
      </c>
      <c r="J35" s="863">
        <f t="shared" si="0"/>
        <v>0</v>
      </c>
      <c r="K35" s="863"/>
      <c r="L35" s="863"/>
      <c r="M35" s="863"/>
      <c r="P35" s="856"/>
      <c r="Q35" s="856"/>
      <c r="R35" s="856"/>
      <c r="S35" s="857"/>
      <c r="T35" s="860"/>
      <c r="U35" s="857"/>
      <c r="V35" s="857"/>
    </row>
    <row r="36" spans="1:22" s="854" customFormat="1" ht="13.5" customHeight="1" thickBot="1">
      <c r="A36" s="850"/>
      <c r="B36" s="850"/>
      <c r="C36" s="861" t="s">
        <v>872</v>
      </c>
      <c r="E36" s="20"/>
      <c r="F36" s="20"/>
      <c r="G36" s="863"/>
      <c r="H36" s="1531">
        <f>H17+SUM(H19:H23)+SUM(H25:H35)</f>
        <v>148.28918204903019</v>
      </c>
      <c r="I36" s="1531">
        <f>I17+SUM(I19:I23)+SUM(I25:I35)</f>
        <v>40.921236440779012</v>
      </c>
      <c r="J36" s="1531">
        <f t="shared" si="0"/>
        <v>189.2104184898092</v>
      </c>
      <c r="K36" s="863"/>
      <c r="L36" s="863"/>
      <c r="M36" s="863"/>
      <c r="P36" s="856"/>
      <c r="Q36" s="856"/>
      <c r="R36" s="856"/>
      <c r="S36" s="857"/>
      <c r="T36" s="860"/>
      <c r="U36" s="857"/>
      <c r="V36" s="857"/>
    </row>
    <row r="37" spans="1:22" s="866" customFormat="1" ht="13.5" customHeight="1" thickTop="1">
      <c r="A37" s="850"/>
      <c r="B37" s="864"/>
      <c r="C37" s="865" t="s">
        <v>577</v>
      </c>
      <c r="E37" s="867"/>
      <c r="F37" s="867"/>
      <c r="G37" s="1532"/>
      <c r="H37" s="1532">
        <f>('A1-O&amp;M'!H20+'A2-A&amp;G'!J40)/10^6-H36</f>
        <v>-64.314520042495403</v>
      </c>
      <c r="I37" s="1532">
        <f>('A1-O&amp;M'!H29+'A1-O&amp;M'!J33+'A1-O&amp;M'!J34+'A1-O&amp;M'!J35)/10^6-I36</f>
        <v>-0.74483044999999493</v>
      </c>
      <c r="J37" s="1532">
        <f>H37+I37</f>
        <v>-65.059350492495398</v>
      </c>
      <c r="K37" s="1532"/>
      <c r="L37" s="1532"/>
      <c r="M37" s="1532"/>
      <c r="P37" s="868"/>
      <c r="Q37" s="868"/>
      <c r="R37" s="868"/>
      <c r="S37" s="869"/>
      <c r="T37" s="870"/>
      <c r="U37" s="869"/>
      <c r="V37" s="869"/>
    </row>
    <row r="38" spans="1:22" s="857" customFormat="1" ht="13.5" customHeight="1">
      <c r="A38" s="871"/>
      <c r="B38" s="871"/>
      <c r="C38" s="871"/>
      <c r="E38" s="872"/>
      <c r="F38" s="871"/>
      <c r="G38" s="1480"/>
      <c r="H38" s="1480"/>
      <c r="I38" s="1480"/>
      <c r="J38" s="1480"/>
      <c r="K38" s="1528"/>
      <c r="L38" s="1480"/>
      <c r="M38" s="1480"/>
      <c r="P38" s="856"/>
      <c r="Q38" s="856"/>
      <c r="R38" s="856"/>
      <c r="T38" s="860"/>
    </row>
    <row r="39" spans="1:22" s="854" customFormat="1" ht="13.5" customHeight="1">
      <c r="A39" s="850"/>
      <c r="B39" s="858">
        <v>2</v>
      </c>
      <c r="C39" s="873" t="s">
        <v>1148</v>
      </c>
      <c r="E39" s="855"/>
      <c r="F39" s="850"/>
      <c r="G39" s="863"/>
      <c r="H39" s="863"/>
      <c r="I39" s="863"/>
      <c r="J39" s="863"/>
      <c r="K39" s="1528"/>
      <c r="L39" s="863"/>
      <c r="M39" s="863"/>
      <c r="P39" s="856"/>
      <c r="Q39" s="856"/>
      <c r="R39" s="856"/>
      <c r="S39" s="857"/>
      <c r="T39" s="860"/>
      <c r="U39" s="857"/>
      <c r="V39" s="857"/>
    </row>
    <row r="40" spans="1:22" s="854" customFormat="1" ht="18" customHeight="1">
      <c r="A40" s="850"/>
      <c r="B40" s="850"/>
      <c r="C40" s="850"/>
      <c r="E40" s="855"/>
      <c r="F40" s="850"/>
      <c r="G40" s="863"/>
      <c r="H40" s="1871"/>
      <c r="I40" s="1872"/>
      <c r="J40" s="1872"/>
      <c r="K40" s="1873"/>
      <c r="L40" s="1874"/>
      <c r="M40" s="1875"/>
      <c r="N40" s="1875"/>
      <c r="O40" s="1876"/>
      <c r="P40" s="856"/>
      <c r="Q40" s="856"/>
      <c r="R40" s="856"/>
      <c r="S40" s="857"/>
      <c r="T40" s="860"/>
      <c r="U40" s="857"/>
      <c r="V40" s="857"/>
    </row>
    <row r="41" spans="1:22" s="854" customFormat="1" ht="18" customHeight="1">
      <c r="A41" s="850"/>
      <c r="B41" s="874"/>
      <c r="C41" s="850"/>
      <c r="E41" s="855"/>
      <c r="F41" s="850"/>
      <c r="G41" s="863"/>
      <c r="H41" s="1533" t="s">
        <v>1143</v>
      </c>
      <c r="I41" s="1533" t="s">
        <v>150</v>
      </c>
      <c r="J41" s="1533" t="s">
        <v>1143</v>
      </c>
      <c r="K41" s="1533" t="s">
        <v>68</v>
      </c>
      <c r="L41" s="1533" t="s">
        <v>1143</v>
      </c>
      <c r="M41" s="1533" t="s">
        <v>150</v>
      </c>
      <c r="N41" s="858" t="s">
        <v>1143</v>
      </c>
      <c r="O41" s="858" t="s">
        <v>68</v>
      </c>
      <c r="P41" s="856"/>
      <c r="Q41" s="860"/>
      <c r="R41" s="860"/>
      <c r="S41" s="856"/>
      <c r="T41" s="860"/>
      <c r="U41" s="857"/>
      <c r="V41" s="857"/>
    </row>
    <row r="42" spans="1:22" s="854" customFormat="1" ht="18" customHeight="1">
      <c r="A42" s="850"/>
      <c r="B42" s="875"/>
      <c r="C42" s="850"/>
      <c r="E42" s="855"/>
      <c r="F42" s="876"/>
      <c r="G42" s="1534"/>
      <c r="H42" s="1535" t="s">
        <v>792</v>
      </c>
      <c r="I42" s="1535" t="s">
        <v>280</v>
      </c>
      <c r="J42" s="1535" t="s">
        <v>849</v>
      </c>
      <c r="K42" s="1535" t="s">
        <v>794</v>
      </c>
      <c r="L42" s="1535" t="s">
        <v>792</v>
      </c>
      <c r="M42" s="1535" t="s">
        <v>280</v>
      </c>
      <c r="N42" s="876" t="s">
        <v>849</v>
      </c>
      <c r="O42" s="876" t="s">
        <v>794</v>
      </c>
      <c r="P42" s="877"/>
      <c r="Q42" s="878"/>
      <c r="R42" s="878"/>
      <c r="S42" s="878"/>
      <c r="T42" s="878"/>
      <c r="U42" s="857"/>
      <c r="V42" s="857"/>
    </row>
    <row r="43" spans="1:22" s="851" customFormat="1" ht="13.5" customHeight="1">
      <c r="A43" s="850"/>
      <c r="B43" s="850"/>
      <c r="C43" s="850"/>
      <c r="D43" s="879"/>
      <c r="E43" s="880"/>
      <c r="F43" s="850"/>
      <c r="G43" s="495"/>
      <c r="H43" s="495"/>
      <c r="I43" s="495"/>
      <c r="J43" s="495"/>
      <c r="K43" s="495"/>
      <c r="L43" s="495"/>
      <c r="M43" s="495"/>
    </row>
    <row r="44" spans="1:22" s="851" customFormat="1" ht="13.5" customHeight="1">
      <c r="A44" s="850" t="s">
        <v>1266</v>
      </c>
      <c r="B44" s="850"/>
      <c r="C44" s="854" t="s">
        <v>859</v>
      </c>
      <c r="E44" s="880"/>
      <c r="F44" s="850"/>
      <c r="G44" s="495"/>
      <c r="H44" s="495"/>
      <c r="I44" s="495"/>
      <c r="J44" s="495"/>
      <c r="K44" s="495"/>
      <c r="L44" s="495"/>
      <c r="M44" s="495"/>
    </row>
    <row r="45" spans="1:22" s="851" customFormat="1" ht="13.5" customHeight="1">
      <c r="A45" s="850" t="s">
        <v>1267</v>
      </c>
      <c r="B45" s="850"/>
      <c r="C45" s="862" t="s">
        <v>852</v>
      </c>
      <c r="E45" s="880"/>
      <c r="F45" s="850"/>
      <c r="G45" s="495"/>
      <c r="H45" s="1480">
        <f>'WP-AR-Cap Assets'!P27</f>
        <v>895.59609747000013</v>
      </c>
      <c r="I45" s="1480">
        <v>0</v>
      </c>
      <c r="J45" s="1480">
        <f>H45-I45</f>
        <v>895.59609747000013</v>
      </c>
      <c r="K45" s="1480">
        <v>0</v>
      </c>
      <c r="L45" s="1480">
        <f>'WP-AR-Cap Assets'!J27</f>
        <v>757.59609747000013</v>
      </c>
      <c r="M45" s="1480">
        <v>0</v>
      </c>
      <c r="N45" s="881">
        <f>L45-M45</f>
        <v>757.59609747000013</v>
      </c>
      <c r="O45" s="881">
        <v>0</v>
      </c>
    </row>
    <row r="46" spans="1:22" s="851" customFormat="1" ht="13.5" customHeight="1">
      <c r="A46" s="850" t="s">
        <v>1268</v>
      </c>
      <c r="B46" s="850"/>
      <c r="C46" s="862" t="s">
        <v>853</v>
      </c>
      <c r="E46" s="880"/>
      <c r="F46" s="850"/>
      <c r="G46" s="495"/>
      <c r="H46" s="1536">
        <f>'WP-AR-Cap Assets'!P38</f>
        <v>8649.0134182000002</v>
      </c>
      <c r="I46" s="1536">
        <f>'WP-AR-Cap Assets'!P48</f>
        <v>4026</v>
      </c>
      <c r="J46" s="1536">
        <f>H46-I46</f>
        <v>4623.0134182000002</v>
      </c>
      <c r="K46" s="1536">
        <f>'WP-AR-IS'!G30</f>
        <v>235</v>
      </c>
      <c r="L46" s="1536">
        <f>'WP-AR-Cap Assets'!J38</f>
        <v>8539.0134182000002</v>
      </c>
      <c r="M46" s="1536">
        <f>'WP-AR-Cap Assets'!J48</f>
        <v>3855</v>
      </c>
      <c r="N46" s="882">
        <f>L46-M46</f>
        <v>4684.0134182000002</v>
      </c>
      <c r="O46" s="882">
        <f>'WP-AR-IS'!H30</f>
        <v>242</v>
      </c>
    </row>
    <row r="47" spans="1:22" s="851" customFormat="1" ht="13.5" customHeight="1">
      <c r="A47" s="850" t="s">
        <v>1269</v>
      </c>
      <c r="B47" s="850"/>
      <c r="C47" s="862" t="s">
        <v>845</v>
      </c>
      <c r="E47" s="880"/>
      <c r="F47" s="850"/>
      <c r="G47" s="495"/>
      <c r="H47" s="1480">
        <f>SUM(H45:H46)</f>
        <v>9544.6095156699994</v>
      </c>
      <c r="I47" s="1480">
        <f>SUM(I45:I46)</f>
        <v>4026</v>
      </c>
      <c r="J47" s="1480">
        <f t="shared" ref="J47:O47" si="1">SUM(J45:J46)</f>
        <v>5518.6095156700003</v>
      </c>
      <c r="K47" s="1480">
        <f t="shared" si="1"/>
        <v>235</v>
      </c>
      <c r="L47" s="1480">
        <f t="shared" si="1"/>
        <v>9296.6095156699994</v>
      </c>
      <c r="M47" s="1480">
        <f t="shared" si="1"/>
        <v>3855</v>
      </c>
      <c r="N47" s="881">
        <f t="shared" si="1"/>
        <v>5441.6095156700003</v>
      </c>
      <c r="O47" s="881">
        <f t="shared" si="1"/>
        <v>242</v>
      </c>
    </row>
    <row r="48" spans="1:22" s="851" customFormat="1" ht="13.5" customHeight="1">
      <c r="A48" s="850" t="s">
        <v>1270</v>
      </c>
      <c r="B48" s="850"/>
      <c r="C48" s="862" t="s">
        <v>846</v>
      </c>
      <c r="E48" s="880"/>
      <c r="F48" s="850"/>
      <c r="G48" s="495"/>
      <c r="H48" s="1536">
        <f>-'WP-AR-Cap Assets'!P23</f>
        <v>-603.76272946000017</v>
      </c>
      <c r="I48" s="1536">
        <v>0</v>
      </c>
      <c r="J48" s="1536">
        <f>H48-I48</f>
        <v>-603.76272946000017</v>
      </c>
      <c r="K48" s="1536">
        <v>0</v>
      </c>
      <c r="L48" s="1536">
        <f>-'WP-AR-Cap Assets'!J23</f>
        <v>-491.76272946000017</v>
      </c>
      <c r="M48" s="1536">
        <v>0</v>
      </c>
      <c r="N48" s="882">
        <f>L48-M48</f>
        <v>-491.76272946000017</v>
      </c>
      <c r="O48" s="882">
        <f>-'WP-BC'!N60</f>
        <v>0</v>
      </c>
    </row>
    <row r="49" spans="1:16" s="851" customFormat="1" ht="13.5" customHeight="1">
      <c r="A49" s="850" t="s">
        <v>1271</v>
      </c>
      <c r="B49" s="850"/>
      <c r="C49" s="862" t="s">
        <v>847</v>
      </c>
      <c r="E49" s="880"/>
      <c r="F49" s="850"/>
      <c r="G49" s="495"/>
      <c r="H49" s="1480">
        <f>SUM(H47:H48)</f>
        <v>8940.8467862099988</v>
      </c>
      <c r="I49" s="1480">
        <f t="shared" ref="I49:O49" si="2">SUM(I47:I48)</f>
        <v>4026</v>
      </c>
      <c r="J49" s="1480">
        <f t="shared" si="2"/>
        <v>4914.8467862100006</v>
      </c>
      <c r="K49" s="1480">
        <f t="shared" si="2"/>
        <v>235</v>
      </c>
      <c r="L49" s="1480">
        <f t="shared" si="2"/>
        <v>8804.8467862099988</v>
      </c>
      <c r="M49" s="1480">
        <f t="shared" si="2"/>
        <v>3855</v>
      </c>
      <c r="N49" s="881">
        <f t="shared" si="2"/>
        <v>4949.8467862100006</v>
      </c>
      <c r="O49" s="881">
        <f t="shared" si="2"/>
        <v>242</v>
      </c>
    </row>
    <row r="50" spans="1:16" s="851" customFormat="1" ht="13.5" customHeight="1">
      <c r="A50" s="850" t="s">
        <v>1272</v>
      </c>
      <c r="B50" s="850"/>
      <c r="C50" s="861" t="s">
        <v>854</v>
      </c>
      <c r="E50" s="880"/>
      <c r="F50" s="850"/>
      <c r="G50" s="495"/>
      <c r="H50" s="1480"/>
      <c r="I50" s="1480"/>
      <c r="J50" s="1480"/>
      <c r="K50" s="1480"/>
      <c r="L50" s="1480"/>
      <c r="M50" s="1480"/>
      <c r="N50" s="881"/>
      <c r="O50" s="881"/>
    </row>
    <row r="51" spans="1:16" s="851" customFormat="1" ht="13.5" customHeight="1">
      <c r="A51" s="850" t="s">
        <v>1273</v>
      </c>
      <c r="B51" s="850"/>
      <c r="C51" s="862" t="s">
        <v>855</v>
      </c>
      <c r="F51" s="850"/>
      <c r="G51" s="495"/>
      <c r="H51" s="1480"/>
      <c r="I51" s="1480"/>
      <c r="J51" s="1480"/>
      <c r="K51" s="1480"/>
      <c r="L51" s="1480"/>
      <c r="M51" s="1480"/>
      <c r="N51" s="881"/>
      <c r="O51" s="881"/>
    </row>
    <row r="52" spans="1:16" s="851" customFormat="1" ht="13.5" customHeight="1">
      <c r="A52" s="850" t="s">
        <v>1586</v>
      </c>
      <c r="B52" s="850"/>
      <c r="C52" s="883" t="s">
        <v>34</v>
      </c>
      <c r="E52" s="880"/>
      <c r="F52" s="850"/>
      <c r="G52" s="495"/>
      <c r="H52" s="1480">
        <f>'B2-Plant'!I28/10^6</f>
        <v>0</v>
      </c>
      <c r="I52" s="1480">
        <f>'B2-Plant'!J28/10^6</f>
        <v>118.76802406</v>
      </c>
      <c r="J52" s="1480">
        <f t="shared" ref="J52:J64" si="3">H52-I52</f>
        <v>-118.76802406</v>
      </c>
      <c r="K52" s="1480">
        <f>'B2-Plant'!L28/10^6</f>
        <v>0</v>
      </c>
      <c r="L52" s="1480">
        <f>'B2-Plant'!M28/10^6</f>
        <v>0</v>
      </c>
      <c r="M52" s="1480">
        <f>'B2-Plant'!N28/10^6</f>
        <v>110.39518900997717</v>
      </c>
      <c r="N52" s="881">
        <f t="shared" ref="N52:N64" si="4">L52-M52</f>
        <v>-110.39518900997717</v>
      </c>
      <c r="O52" s="881">
        <f>'B2-Plant'!P28/10^6</f>
        <v>0</v>
      </c>
    </row>
    <row r="53" spans="1:16" s="851" customFormat="1" ht="13.5" customHeight="1">
      <c r="A53" s="850" t="s">
        <v>1587</v>
      </c>
      <c r="B53" s="850"/>
      <c r="C53" s="883" t="s">
        <v>107</v>
      </c>
      <c r="E53" s="880"/>
      <c r="F53" s="850"/>
      <c r="G53" s="495"/>
      <c r="H53" s="1536">
        <f>'B2-Plant'!I49/10^6</f>
        <v>0</v>
      </c>
      <c r="I53" s="1536">
        <f>'B2-Plant'!J49/10^6</f>
        <v>4.0178589999999996</v>
      </c>
      <c r="J53" s="1536">
        <f t="shared" si="3"/>
        <v>-4.0178589999999996</v>
      </c>
      <c r="K53" s="1536">
        <f>'B2-Plant'!L49/10^6</f>
        <v>0</v>
      </c>
      <c r="L53" s="1536">
        <f>'B2-Plant'!M49/10^6</f>
        <v>0</v>
      </c>
      <c r="M53" s="1536">
        <f>'B2-Plant'!N49/10^6</f>
        <v>4.1264830000000003</v>
      </c>
      <c r="N53" s="882">
        <f t="shared" si="4"/>
        <v>-4.1264830000000003</v>
      </c>
      <c r="O53" s="882">
        <f>'B2-Plant'!P49/10^6</f>
        <v>0</v>
      </c>
    </row>
    <row r="54" spans="1:16" s="851" customFormat="1" ht="13.5" customHeight="1">
      <c r="A54" s="850" t="s">
        <v>1588</v>
      </c>
      <c r="B54" s="850"/>
      <c r="C54" s="883" t="s">
        <v>4</v>
      </c>
      <c r="E54" s="880"/>
      <c r="F54" s="850"/>
      <c r="G54" s="495"/>
      <c r="H54" s="1480">
        <f>SUM(H52:H53)</f>
        <v>0</v>
      </c>
      <c r="I54" s="1480">
        <f>SUM(I52:I53)</f>
        <v>122.78588306</v>
      </c>
      <c r="J54" s="1480">
        <f t="shared" si="3"/>
        <v>-122.78588306</v>
      </c>
      <c r="K54" s="1480">
        <f>SUM(K52:K53)</f>
        <v>0</v>
      </c>
      <c r="L54" s="1480">
        <f>SUM(L52:L53)</f>
        <v>0</v>
      </c>
      <c r="M54" s="1480">
        <f>SUM(M52:M53)</f>
        <v>114.52167200997718</v>
      </c>
      <c r="N54" s="881">
        <f t="shared" si="4"/>
        <v>-114.52167200997718</v>
      </c>
      <c r="O54" s="881">
        <f>SUM(O52:O53)</f>
        <v>0</v>
      </c>
    </row>
    <row r="55" spans="1:16" s="851" customFormat="1" ht="13.5" customHeight="1">
      <c r="A55" s="850" t="s">
        <v>1589</v>
      </c>
      <c r="B55" s="850"/>
      <c r="C55" s="862" t="s">
        <v>856</v>
      </c>
      <c r="E55" s="880"/>
      <c r="F55" s="850"/>
      <c r="G55" s="495"/>
      <c r="H55" s="1480"/>
      <c r="I55" s="1480"/>
      <c r="J55" s="1480"/>
      <c r="K55" s="1480"/>
      <c r="L55" s="1480"/>
      <c r="M55" s="1480"/>
      <c r="N55" s="881"/>
      <c r="O55" s="881"/>
    </row>
    <row r="56" spans="1:16" s="851" customFormat="1" ht="13.5" customHeight="1">
      <c r="A56" s="850" t="s">
        <v>1590</v>
      </c>
      <c r="B56" s="850"/>
      <c r="C56" s="883" t="s">
        <v>34</v>
      </c>
      <c r="E56" s="880"/>
      <c r="F56" s="850"/>
      <c r="G56" s="495"/>
      <c r="H56" s="1480">
        <f>'B2-Plant'!I30/10^6</f>
        <v>-359.44466248999998</v>
      </c>
      <c r="I56" s="1480">
        <f>'B2-Plant'!J30/10^6</f>
        <v>-217.30283987000001</v>
      </c>
      <c r="J56" s="1480">
        <f t="shared" si="3"/>
        <v>-142.14182261999997</v>
      </c>
      <c r="K56" s="1480">
        <f>'B2-Plant'!L30/10^6</f>
        <v>-9.0542246899999999</v>
      </c>
      <c r="L56" s="1480">
        <f>'B2-Plant'!M30/10^6</f>
        <v>-358.71486579999993</v>
      </c>
      <c r="M56" s="1480">
        <f>'B2-Plant'!N30/10^6</f>
        <v>-208.24861517999997</v>
      </c>
      <c r="N56" s="881">
        <f t="shared" si="4"/>
        <v>-150.46625061999995</v>
      </c>
      <c r="O56" s="881">
        <f>'B2-Plant'!P30/10^6</f>
        <v>-10.137264870000001</v>
      </c>
    </row>
    <row r="57" spans="1:16" s="851" customFormat="1" ht="13.5" customHeight="1">
      <c r="A57" s="850" t="s">
        <v>1591</v>
      </c>
      <c r="B57" s="850"/>
      <c r="C57" s="883" t="s">
        <v>107</v>
      </c>
      <c r="E57" s="880"/>
      <c r="F57" s="850"/>
      <c r="G57" s="495"/>
      <c r="H57" s="1536">
        <f>'B2-Plant'!I51/10^6</f>
        <v>-18.825078300000001</v>
      </c>
      <c r="I57" s="1536">
        <f>'B2-Plant'!J51/10^6</f>
        <v>-15.087058969999999</v>
      </c>
      <c r="J57" s="1536">
        <f t="shared" si="3"/>
        <v>-3.738019330000002</v>
      </c>
      <c r="K57" s="1536">
        <f>'B2-Plant'!L51/10^6</f>
        <v>-0.63845522999999993</v>
      </c>
      <c r="L57" s="1536">
        <f>'B2-Plant'!M51/10^6</f>
        <v>-18.731407559999997</v>
      </c>
      <c r="M57" s="1536">
        <f>'B2-Plant'!N51/10^6</f>
        <v>-14.581005749999997</v>
      </c>
      <c r="N57" s="882">
        <f t="shared" si="4"/>
        <v>-4.15040181</v>
      </c>
      <c r="O57" s="882">
        <f>'B2-Plant'!P51/10^6</f>
        <v>-0.69137209999999993</v>
      </c>
      <c r="P57" s="856"/>
    </row>
    <row r="58" spans="1:16" s="851" customFormat="1" ht="13.5" customHeight="1">
      <c r="A58" s="850" t="s">
        <v>1592</v>
      </c>
      <c r="B58" s="850"/>
      <c r="C58" s="883" t="s">
        <v>4</v>
      </c>
      <c r="E58" s="880"/>
      <c r="F58" s="850"/>
      <c r="G58" s="495"/>
      <c r="H58" s="1480">
        <f>SUM(H56:H57)</f>
        <v>-378.26974079000001</v>
      </c>
      <c r="I58" s="1480">
        <f>SUM(I56:I57)</f>
        <v>-232.38989884</v>
      </c>
      <c r="J58" s="1480">
        <f t="shared" si="3"/>
        <v>-145.87984195000001</v>
      </c>
      <c r="K58" s="1480">
        <f>SUM(K56:K57)</f>
        <v>-9.6926799199999998</v>
      </c>
      <c r="L58" s="1480">
        <f>SUM(L56:L57)</f>
        <v>-377.44627335999991</v>
      </c>
      <c r="M58" s="1480">
        <f>SUM(M56:M57)</f>
        <v>-222.82962092999998</v>
      </c>
      <c r="N58" s="881">
        <f t="shared" si="4"/>
        <v>-154.61665242999993</v>
      </c>
      <c r="O58" s="881">
        <f>SUM(O56:O57)</f>
        <v>-10.828636970000002</v>
      </c>
      <c r="P58" s="856"/>
    </row>
    <row r="59" spans="1:16" s="851" customFormat="1" ht="13.5" customHeight="1">
      <c r="A59" s="850" t="s">
        <v>1593</v>
      </c>
      <c r="B59" s="850"/>
      <c r="C59" s="862" t="s">
        <v>857</v>
      </c>
      <c r="E59" s="880"/>
      <c r="F59" s="850"/>
      <c r="G59" s="495"/>
      <c r="H59" s="1480"/>
      <c r="I59" s="1480"/>
      <c r="J59" s="1480"/>
      <c r="K59" s="1480"/>
      <c r="L59" s="1480"/>
      <c r="M59" s="1480"/>
      <c r="N59" s="881"/>
      <c r="O59" s="881"/>
    </row>
    <row r="60" spans="1:16" s="851" customFormat="1" ht="13.5" customHeight="1">
      <c r="A60" s="850" t="s">
        <v>1594</v>
      </c>
      <c r="B60" s="850"/>
      <c r="C60" s="883" t="s">
        <v>34</v>
      </c>
      <c r="E60" s="880"/>
      <c r="F60" s="850"/>
      <c r="G60" s="495"/>
      <c r="H60" s="1480">
        <f>'B2-Plant'!I38/10^6</f>
        <v>-134.54961840999999</v>
      </c>
      <c r="I60" s="1480">
        <f>'B2-Plant'!J38/10^6</f>
        <v>-48.745358409999994</v>
      </c>
      <c r="J60" s="1480">
        <f t="shared" si="3"/>
        <v>-85.804259999999999</v>
      </c>
      <c r="K60" s="1480">
        <f>'B2-Plant'!L38/10^6</f>
        <v>-1.26848044</v>
      </c>
      <c r="L60" s="1480">
        <f>'B2-Plant'!M38/10^6</f>
        <v>-134.54961840999999</v>
      </c>
      <c r="M60" s="1480">
        <f>'B2-Plant'!N38/10^6</f>
        <v>-45.298142409999997</v>
      </c>
      <c r="N60" s="881">
        <f t="shared" si="4"/>
        <v>-89.251475999999997</v>
      </c>
      <c r="O60" s="881">
        <f>'B2-Plant'!P38/10^6</f>
        <v>-1.1683082800000002</v>
      </c>
    </row>
    <row r="61" spans="1:16" s="851" customFormat="1" ht="13.5" customHeight="1">
      <c r="A61" s="850" t="s">
        <v>1595</v>
      </c>
      <c r="B61" s="850"/>
      <c r="C61" s="883" t="s">
        <v>107</v>
      </c>
      <c r="E61" s="880"/>
      <c r="F61" s="850"/>
      <c r="G61" s="495"/>
      <c r="H61" s="1536">
        <f>'B2-Plant'!I52/10^6-H53-H57</f>
        <v>-680.06734529999994</v>
      </c>
      <c r="I61" s="1536">
        <f>'B2-Plant'!J52/10^6-I53-I57</f>
        <v>-182.18345529999999</v>
      </c>
      <c r="J61" s="1536">
        <f t="shared" si="3"/>
        <v>-497.88388999999995</v>
      </c>
      <c r="K61" s="1536">
        <f>'B2-Plant'!L52/10^6-K53-K57</f>
        <v>-15.782454749999998</v>
      </c>
      <c r="L61" s="1536">
        <f>'B2-Plant'!M52/10^6-L53-L57</f>
        <v>-678.15491555000006</v>
      </c>
      <c r="M61" s="1536">
        <f>'B2-Plant'!N52/10^6-M53-M57</f>
        <v>-166.40100054999999</v>
      </c>
      <c r="N61" s="882">
        <f t="shared" si="4"/>
        <v>-511.75391500000006</v>
      </c>
      <c r="O61" s="882">
        <f>'B2-Plant'!P52/10^6-O53-O57</f>
        <v>-15.702311289999999</v>
      </c>
    </row>
    <row r="62" spans="1:16" s="851" customFormat="1" ht="13.5" customHeight="1">
      <c r="A62" s="850" t="s">
        <v>1596</v>
      </c>
      <c r="B62" s="850"/>
      <c r="C62" s="883" t="s">
        <v>4</v>
      </c>
      <c r="E62" s="880"/>
      <c r="F62" s="850"/>
      <c r="G62" s="495"/>
      <c r="H62" s="1480">
        <f>SUM(H60:H61)</f>
        <v>-814.61696370999994</v>
      </c>
      <c r="I62" s="1480">
        <f>SUM(I60:I61)</f>
        <v>-230.92881370999999</v>
      </c>
      <c r="J62" s="1480">
        <f t="shared" si="3"/>
        <v>-583.68814999999995</v>
      </c>
      <c r="K62" s="1480">
        <f>SUM(K60:K61)</f>
        <v>-17.050935189999997</v>
      </c>
      <c r="L62" s="1480">
        <f>SUM(L60:L61)</f>
        <v>-812.70453396000005</v>
      </c>
      <c r="M62" s="1480">
        <f>SUM(M60:M61)</f>
        <v>-211.69914295999999</v>
      </c>
      <c r="N62" s="881">
        <f t="shared" si="4"/>
        <v>-601.00539100000003</v>
      </c>
      <c r="O62" s="881">
        <f>SUM(O60:O61)</f>
        <v>-16.870619569999999</v>
      </c>
    </row>
    <row r="63" spans="1:16" s="851" customFormat="1" ht="13.5" customHeight="1">
      <c r="A63" s="850" t="s">
        <v>1597</v>
      </c>
      <c r="B63" s="850"/>
      <c r="C63" s="862"/>
      <c r="E63" s="880"/>
      <c r="F63" s="850"/>
      <c r="G63" s="495"/>
      <c r="H63" s="1480"/>
      <c r="I63" s="1480"/>
      <c r="J63" s="1480"/>
      <c r="K63" s="1480"/>
      <c r="L63" s="1480"/>
      <c r="M63" s="1480"/>
      <c r="N63" s="881"/>
      <c r="O63" s="881"/>
    </row>
    <row r="64" spans="1:16" s="851" customFormat="1" ht="13.5" customHeight="1" thickBot="1">
      <c r="A64" s="850" t="s">
        <v>1598</v>
      </c>
      <c r="B64" s="850"/>
      <c r="C64" s="851" t="s">
        <v>851</v>
      </c>
      <c r="E64" s="880"/>
      <c r="F64" s="850"/>
      <c r="G64" s="495"/>
      <c r="H64" s="1537">
        <f>H49+H54+H58+H62</f>
        <v>7747.960081709999</v>
      </c>
      <c r="I64" s="1537">
        <f>I49+I54+I58+I62</f>
        <v>3685.46717051</v>
      </c>
      <c r="J64" s="1537">
        <f t="shared" si="3"/>
        <v>4062.4929111999991</v>
      </c>
      <c r="K64" s="1537">
        <f>K49+K54+K58+K62</f>
        <v>208.25638489000002</v>
      </c>
      <c r="L64" s="1537">
        <f>L49+L54+L58+L62</f>
        <v>7614.6959788899994</v>
      </c>
      <c r="M64" s="1537">
        <f>M49+M54+M58+M62</f>
        <v>3534.9929081199771</v>
      </c>
      <c r="N64" s="884">
        <f t="shared" si="4"/>
        <v>4079.7030707700224</v>
      </c>
      <c r="O64" s="884">
        <f>O49+O54+O58+O62</f>
        <v>214.30074346000001</v>
      </c>
    </row>
    <row r="65" spans="1:22" s="851" customFormat="1" ht="13.5" customHeight="1" thickTop="1">
      <c r="A65" s="850" t="s">
        <v>1599</v>
      </c>
      <c r="B65" s="850"/>
      <c r="C65" s="851" t="s">
        <v>848</v>
      </c>
      <c r="E65" s="880"/>
      <c r="F65" s="850"/>
      <c r="G65" s="495"/>
      <c r="H65" s="1480"/>
      <c r="I65" s="1480"/>
      <c r="J65" s="1480"/>
      <c r="K65" s="1480"/>
      <c r="L65" s="1480"/>
      <c r="M65" s="1480"/>
      <c r="N65" s="881"/>
      <c r="O65" s="881"/>
    </row>
    <row r="66" spans="1:22" s="851" customFormat="1" ht="13.5" customHeight="1">
      <c r="A66" s="850" t="s">
        <v>1600</v>
      </c>
      <c r="B66" s="850"/>
      <c r="C66" s="862" t="s">
        <v>451</v>
      </c>
      <c r="E66" s="880"/>
      <c r="F66" s="850"/>
      <c r="G66" s="495"/>
      <c r="H66" s="1480">
        <f>'B2-Plant'!I21/10^6</f>
        <v>4605.3686508999999</v>
      </c>
      <c r="I66" s="1480">
        <f>'B2-Plant'!J21/10^6</f>
        <v>2124.1313172991208</v>
      </c>
      <c r="J66" s="1480">
        <f>'B2-Plant'!K21/10^6</f>
        <v>2481.2373336008786</v>
      </c>
      <c r="K66" s="1480">
        <f>'B2-Plant'!L21/10^6</f>
        <v>128.72179119999998</v>
      </c>
      <c r="L66" s="1480">
        <f>'B2-Plant'!M21/10^6</f>
        <v>4584.6004290000001</v>
      </c>
      <c r="M66" s="1480">
        <f>'B2-Plant'!N21/10^6</f>
        <v>2003.9670330991207</v>
      </c>
      <c r="N66" s="881">
        <f>'B2-Plant'!O21/10^6</f>
        <v>2580.6333959008789</v>
      </c>
      <c r="O66" s="881">
        <f>'B2-Plant'!P21/10^6</f>
        <v>131.52910015</v>
      </c>
    </row>
    <row r="67" spans="1:22" s="851" customFormat="1" ht="13.5" customHeight="1">
      <c r="A67" s="850" t="s">
        <v>1601</v>
      </c>
      <c r="B67" s="850"/>
      <c r="C67" s="862" t="s">
        <v>34</v>
      </c>
      <c r="E67" s="880"/>
      <c r="F67" s="850"/>
      <c r="G67" s="495"/>
      <c r="H67" s="1480">
        <f>'B2-Plant'!I40/10^6</f>
        <v>1781.9124514999996</v>
      </c>
      <c r="I67" s="1480">
        <f>'B2-Plant'!J40/10^6</f>
        <v>1155.0190221544394</v>
      </c>
      <c r="J67" s="1480">
        <f>'B2-Plant'!K40/10^6</f>
        <v>626.89342934555998</v>
      </c>
      <c r="K67" s="1480">
        <f>'B2-Plant'!L40/10^6</f>
        <v>35.383915950000009</v>
      </c>
      <c r="L67" s="1480">
        <f>'B2-Plant'!M40/10^6</f>
        <v>1747.0193955</v>
      </c>
      <c r="M67" s="1480">
        <f>'B2-Plant'!N40/10^6</f>
        <v>1124.9082850499997</v>
      </c>
      <c r="N67" s="881">
        <f>'B2-Plant'!O40/10^6</f>
        <v>622.11111045000007</v>
      </c>
      <c r="O67" s="881">
        <f>'B2-Plant'!P40/10^6</f>
        <v>36.136839779999988</v>
      </c>
    </row>
    <row r="68" spans="1:22" s="851" customFormat="1" ht="13.5" customHeight="1">
      <c r="A68" s="850" t="s">
        <v>1602</v>
      </c>
      <c r="B68" s="850"/>
      <c r="C68" s="862" t="s">
        <v>107</v>
      </c>
      <c r="E68" s="880"/>
      <c r="F68" s="850"/>
      <c r="G68" s="495"/>
      <c r="H68" s="1480">
        <f>'B2-Plant'!I54/10^6</f>
        <v>511.17091631000017</v>
      </c>
      <c r="I68" s="1480">
        <f>'B2-Plant'!J54/10^6</f>
        <v>221.00713151000005</v>
      </c>
      <c r="J68" s="1480">
        <f>'B2-Plant'!K54/10^6</f>
        <v>290.16378480000014</v>
      </c>
      <c r="K68" s="1480">
        <f>'B2-Plant'!L54/10^6</f>
        <v>21.436789310000009</v>
      </c>
      <c r="L68" s="1480">
        <f>'B2-Plant'!M54/10^6</f>
        <v>469.29097042999996</v>
      </c>
      <c r="M68" s="1480">
        <f>'B2-Plant'!N54/10^6</f>
        <v>240.86164380999998</v>
      </c>
      <c r="N68" s="881">
        <f>'B2-Plant'!O54/10^6</f>
        <v>228.42932662000018</v>
      </c>
      <c r="O68" s="881">
        <f>'B2-Plant'!P54/10^6</f>
        <v>23.379744859999999</v>
      </c>
    </row>
    <row r="69" spans="1:22" s="851" customFormat="1" ht="13.5" customHeight="1" thickBot="1">
      <c r="A69" s="850" t="s">
        <v>1603</v>
      </c>
      <c r="B69" s="850"/>
      <c r="C69" s="862" t="s">
        <v>4</v>
      </c>
      <c r="E69" s="880"/>
      <c r="F69" s="850"/>
      <c r="G69" s="495"/>
      <c r="H69" s="1531">
        <f t="shared" ref="H69:O69" si="5">SUM(H66:H68)</f>
        <v>6898.4520187099997</v>
      </c>
      <c r="I69" s="1531">
        <f t="shared" si="5"/>
        <v>3500.1574709635602</v>
      </c>
      <c r="J69" s="1531">
        <f t="shared" si="5"/>
        <v>3398.2945477464386</v>
      </c>
      <c r="K69" s="1531">
        <f t="shared" si="5"/>
        <v>185.54249646</v>
      </c>
      <c r="L69" s="1531">
        <f t="shared" si="5"/>
        <v>6800.9107949299996</v>
      </c>
      <c r="M69" s="1531">
        <f t="shared" si="5"/>
        <v>3369.73696195912</v>
      </c>
      <c r="N69" s="885">
        <f t="shared" si="5"/>
        <v>3431.1738329708792</v>
      </c>
      <c r="O69" s="885">
        <f t="shared" si="5"/>
        <v>191.04568478999997</v>
      </c>
    </row>
    <row r="70" spans="1:22" s="851" customFormat="1" ht="13.5" customHeight="1" thickTop="1">
      <c r="A70" s="850" t="s">
        <v>1604</v>
      </c>
      <c r="B70" s="850"/>
      <c r="C70" s="886" t="s">
        <v>577</v>
      </c>
      <c r="E70" s="880"/>
      <c r="F70" s="850"/>
      <c r="G70" s="1538" t="s">
        <v>1126</v>
      </c>
      <c r="H70" s="1539">
        <f t="shared" ref="H70:O70" si="6">H64-H69</f>
        <v>849.50806299999931</v>
      </c>
      <c r="I70" s="1539">
        <f t="shared" si="6"/>
        <v>185.30969954643979</v>
      </c>
      <c r="J70" s="1539">
        <f t="shared" si="6"/>
        <v>664.19836345356043</v>
      </c>
      <c r="K70" s="1539">
        <f t="shared" si="6"/>
        <v>22.713888430000026</v>
      </c>
      <c r="L70" s="1539">
        <f t="shared" si="6"/>
        <v>813.78518395999981</v>
      </c>
      <c r="M70" s="1539">
        <f t="shared" si="6"/>
        <v>165.25594616085709</v>
      </c>
      <c r="N70" s="887">
        <f t="shared" si="6"/>
        <v>648.52923779914317</v>
      </c>
      <c r="O70" s="887">
        <f t="shared" si="6"/>
        <v>23.255058670000039</v>
      </c>
    </row>
    <row r="71" spans="1:22" s="851" customFormat="1">
      <c r="A71" s="850"/>
      <c r="B71" s="850"/>
      <c r="C71" s="850"/>
      <c r="G71" s="495"/>
      <c r="H71" s="495"/>
      <c r="I71" s="495"/>
      <c r="J71" s="495"/>
      <c r="K71" s="495"/>
      <c r="L71" s="495"/>
      <c r="M71" s="495"/>
      <c r="Q71" s="852"/>
      <c r="R71" s="852"/>
      <c r="S71" s="852"/>
      <c r="T71" s="852"/>
      <c r="U71" s="852"/>
      <c r="V71" s="852"/>
    </row>
    <row r="72" spans="1:22" s="851" customFormat="1">
      <c r="A72" s="850"/>
      <c r="B72" s="850"/>
      <c r="C72" s="888" t="s">
        <v>341</v>
      </c>
      <c r="G72" s="495"/>
      <c r="H72" s="495"/>
      <c r="I72" s="495"/>
      <c r="J72" s="495"/>
      <c r="K72" s="495"/>
      <c r="L72" s="495"/>
      <c r="M72" s="495"/>
      <c r="Q72" s="852"/>
      <c r="R72" s="852"/>
      <c r="S72" s="852"/>
      <c r="T72" s="852"/>
      <c r="U72" s="852"/>
      <c r="V72" s="852"/>
    </row>
    <row r="73" spans="1:22" s="851" customFormat="1">
      <c r="A73" s="850" t="s">
        <v>1605</v>
      </c>
      <c r="B73" s="850"/>
      <c r="C73" s="850">
        <v>1</v>
      </c>
      <c r="D73" s="851" t="s">
        <v>866</v>
      </c>
      <c r="G73" s="495"/>
      <c r="H73" s="495"/>
      <c r="I73" s="495"/>
      <c r="J73" s="495"/>
      <c r="K73" s="495"/>
      <c r="L73" s="495"/>
      <c r="M73" s="495"/>
      <c r="Q73" s="852"/>
      <c r="R73" s="852"/>
      <c r="S73" s="852"/>
      <c r="T73" s="852"/>
      <c r="U73" s="852"/>
      <c r="V73" s="852"/>
    </row>
    <row r="74" spans="1:22" s="851" customFormat="1">
      <c r="A74" s="850" t="s">
        <v>1606</v>
      </c>
      <c r="B74" s="850"/>
      <c r="C74" s="850">
        <v>2</v>
      </c>
      <c r="D74" s="851" t="s">
        <v>867</v>
      </c>
      <c r="G74" s="495"/>
      <c r="H74" s="495"/>
      <c r="I74" s="495"/>
      <c r="J74" s="495"/>
      <c r="K74" s="495"/>
      <c r="L74" s="495"/>
      <c r="M74" s="495"/>
      <c r="Q74" s="852"/>
      <c r="R74" s="852"/>
      <c r="S74" s="852"/>
      <c r="T74" s="852"/>
      <c r="U74" s="852"/>
      <c r="V74" s="852"/>
    </row>
    <row r="75" spans="1:22" s="851" customFormat="1">
      <c r="A75" s="850" t="s">
        <v>1607</v>
      </c>
      <c r="B75" s="850"/>
      <c r="C75" s="850">
        <v>3</v>
      </c>
      <c r="D75" s="851" t="s">
        <v>1144</v>
      </c>
      <c r="G75" s="495"/>
      <c r="H75" s="495"/>
      <c r="I75" s="495"/>
      <c r="J75" s="495"/>
      <c r="K75" s="495"/>
      <c r="L75" s="495"/>
      <c r="M75" s="495"/>
      <c r="Q75" s="852"/>
      <c r="R75" s="852"/>
      <c r="S75" s="852"/>
      <c r="T75" s="852"/>
      <c r="U75" s="852"/>
      <c r="V75" s="852"/>
    </row>
    <row r="76" spans="1:22" s="851" customFormat="1">
      <c r="A76" s="850"/>
      <c r="B76" s="850"/>
      <c r="C76" s="850"/>
      <c r="G76" s="495"/>
      <c r="H76" s="495"/>
      <c r="I76" s="495"/>
      <c r="J76" s="495"/>
      <c r="K76" s="495"/>
      <c r="L76" s="495"/>
      <c r="M76" s="495"/>
      <c r="Q76" s="852"/>
      <c r="R76" s="852"/>
      <c r="S76" s="852"/>
      <c r="T76" s="852"/>
      <c r="U76" s="852"/>
      <c r="V76" s="852"/>
    </row>
    <row r="77" spans="1:22" s="851" customFormat="1">
      <c r="A77" s="850"/>
      <c r="B77" s="858">
        <v>3</v>
      </c>
      <c r="C77" s="873" t="s">
        <v>873</v>
      </c>
      <c r="G77" s="495"/>
      <c r="H77" s="495"/>
      <c r="I77" s="495"/>
      <c r="J77" s="495"/>
      <c r="K77" s="495"/>
      <c r="L77" s="495"/>
      <c r="M77" s="495"/>
      <c r="Q77" s="852"/>
      <c r="R77" s="852"/>
      <c r="S77" s="852"/>
      <c r="T77" s="852"/>
      <c r="U77" s="852"/>
      <c r="V77" s="852"/>
    </row>
    <row r="78" spans="1:22" s="851" customFormat="1">
      <c r="A78" s="850"/>
      <c r="B78" s="858"/>
      <c r="C78" s="873"/>
      <c r="G78" s="495"/>
      <c r="H78" s="1540"/>
      <c r="I78" s="1541"/>
      <c r="J78" s="495"/>
      <c r="K78" s="495"/>
      <c r="L78" s="495"/>
      <c r="M78" s="495"/>
      <c r="Q78" s="852"/>
      <c r="R78" s="852"/>
      <c r="S78" s="852"/>
      <c r="T78" s="852"/>
      <c r="U78" s="852"/>
      <c r="V78" s="852"/>
    </row>
    <row r="79" spans="1:22" s="851" customFormat="1">
      <c r="A79" s="850" t="s">
        <v>1277</v>
      </c>
      <c r="B79" s="850"/>
      <c r="C79" s="854" t="s">
        <v>859</v>
      </c>
      <c r="G79" s="495"/>
      <c r="H79" s="495"/>
      <c r="I79" s="495"/>
      <c r="J79" s="495"/>
      <c r="K79" s="495"/>
      <c r="L79" s="495"/>
      <c r="M79" s="495"/>
      <c r="Q79" s="852"/>
      <c r="R79" s="852"/>
      <c r="S79" s="852"/>
      <c r="T79" s="852"/>
      <c r="U79" s="852"/>
      <c r="V79" s="852"/>
    </row>
    <row r="80" spans="1:22" s="851" customFormat="1">
      <c r="A80" s="850" t="s">
        <v>1278</v>
      </c>
      <c r="B80" s="850"/>
      <c r="C80" s="862" t="s">
        <v>874</v>
      </c>
      <c r="G80" s="495"/>
      <c r="H80" s="495">
        <f>'WP-AR-BS'!D22</f>
        <v>0</v>
      </c>
      <c r="I80" s="495">
        <f>'WP-AR-BS'!E22</f>
        <v>0</v>
      </c>
      <c r="J80" s="495"/>
      <c r="K80" s="495"/>
      <c r="L80" s="495"/>
      <c r="M80" s="495"/>
      <c r="Q80" s="852"/>
      <c r="R80" s="852"/>
      <c r="S80" s="852"/>
      <c r="T80" s="852"/>
      <c r="U80" s="852"/>
      <c r="V80" s="852"/>
    </row>
    <row r="81" spans="1:22" s="851" customFormat="1">
      <c r="A81" s="850" t="s">
        <v>1279</v>
      </c>
      <c r="B81" s="850"/>
      <c r="C81" s="854" t="s">
        <v>869</v>
      </c>
      <c r="G81" s="495"/>
      <c r="H81" s="495">
        <f>'WP-CA'!H30/10^6</f>
        <v>81.806268000000003</v>
      </c>
      <c r="I81" s="495">
        <f>'WP-CA'!I30/10^6</f>
        <v>80.975537000000003</v>
      </c>
      <c r="J81" s="495"/>
      <c r="K81" s="495"/>
      <c r="L81" s="495"/>
      <c r="M81" s="495"/>
      <c r="Q81" s="852"/>
      <c r="R81" s="852"/>
      <c r="S81" s="852"/>
      <c r="T81" s="852"/>
      <c r="U81" s="852"/>
      <c r="V81" s="852"/>
    </row>
    <row r="82" spans="1:22" s="886" customFormat="1">
      <c r="A82" s="850" t="s">
        <v>1280</v>
      </c>
      <c r="B82" s="864"/>
      <c r="C82" s="866" t="s">
        <v>577</v>
      </c>
      <c r="G82" s="1542"/>
      <c r="H82" s="1542">
        <f>H80-H81</f>
        <v>-81.806268000000003</v>
      </c>
      <c r="I82" s="1542">
        <f>I80-I81</f>
        <v>-80.975537000000003</v>
      </c>
      <c r="J82" s="1542"/>
      <c r="K82" s="1542"/>
      <c r="L82" s="1542"/>
      <c r="M82" s="1542"/>
      <c r="Q82" s="889"/>
      <c r="R82" s="889"/>
      <c r="S82" s="889"/>
      <c r="T82" s="889"/>
      <c r="U82" s="889"/>
      <c r="V82" s="889"/>
    </row>
    <row r="83" spans="1:22" s="851" customFormat="1">
      <c r="A83" s="850"/>
      <c r="B83" s="850"/>
      <c r="C83" s="850"/>
      <c r="G83" s="495"/>
      <c r="H83" s="495"/>
      <c r="I83" s="495"/>
      <c r="J83" s="495"/>
      <c r="K83" s="495"/>
      <c r="L83" s="495"/>
      <c r="M83" s="495"/>
      <c r="Q83" s="852"/>
      <c r="R83" s="852"/>
      <c r="S83" s="852"/>
      <c r="T83" s="852"/>
      <c r="U83" s="852"/>
      <c r="V83" s="852"/>
    </row>
    <row r="84" spans="1:22" s="851" customFormat="1">
      <c r="A84" s="850"/>
      <c r="B84" s="858">
        <v>4</v>
      </c>
      <c r="C84" s="873" t="s">
        <v>168</v>
      </c>
      <c r="G84" s="495"/>
      <c r="H84" s="495"/>
      <c r="I84" s="495"/>
      <c r="J84" s="495"/>
      <c r="K84" s="495"/>
      <c r="L84" s="495"/>
      <c r="M84" s="495"/>
      <c r="Q84" s="852"/>
      <c r="R84" s="852"/>
      <c r="S84" s="852"/>
      <c r="T84" s="852"/>
      <c r="U84" s="852"/>
      <c r="V84" s="852"/>
    </row>
    <row r="85" spans="1:22" s="851" customFormat="1">
      <c r="A85" s="850"/>
      <c r="B85" s="858"/>
      <c r="C85" s="873"/>
      <c r="G85" s="495"/>
      <c r="H85" s="1871"/>
      <c r="I85" s="1873"/>
      <c r="J85" s="1871"/>
      <c r="K85" s="1873"/>
      <c r="L85" s="495"/>
      <c r="M85" s="495"/>
      <c r="Q85" s="852"/>
      <c r="R85" s="852"/>
      <c r="S85" s="852"/>
      <c r="T85" s="852"/>
      <c r="U85" s="852"/>
      <c r="V85" s="852"/>
    </row>
    <row r="86" spans="1:22" s="851" customFormat="1">
      <c r="A86" s="850"/>
      <c r="B86" s="850"/>
      <c r="C86" s="850"/>
      <c r="G86" s="495"/>
      <c r="H86" s="1543" t="s">
        <v>877</v>
      </c>
      <c r="I86" s="1543" t="s">
        <v>175</v>
      </c>
      <c r="J86" s="1543" t="s">
        <v>877</v>
      </c>
      <c r="K86" s="1543" t="s">
        <v>175</v>
      </c>
      <c r="L86" s="495"/>
      <c r="M86" s="495"/>
      <c r="Q86" s="852"/>
      <c r="R86" s="852"/>
      <c r="S86" s="852"/>
      <c r="T86" s="852"/>
      <c r="U86" s="852"/>
      <c r="V86" s="852"/>
    </row>
    <row r="87" spans="1:22" s="851" customFormat="1" ht="15">
      <c r="A87" s="850" t="s">
        <v>1575</v>
      </c>
      <c r="B87" s="850"/>
      <c r="C87" s="854" t="s">
        <v>859</v>
      </c>
      <c r="G87" s="495"/>
      <c r="H87" s="495"/>
      <c r="I87" s="495"/>
      <c r="J87" s="495"/>
      <c r="K87" s="930"/>
      <c r="L87" s="495"/>
      <c r="M87" s="495"/>
      <c r="Q87" s="852"/>
      <c r="R87" s="852"/>
      <c r="S87" s="852"/>
      <c r="T87" s="852"/>
      <c r="U87" s="852"/>
      <c r="V87" s="852"/>
    </row>
    <row r="88" spans="1:22" s="851" customFormat="1" ht="15">
      <c r="A88" s="850" t="s">
        <v>1576</v>
      </c>
      <c r="B88" s="850"/>
      <c r="C88" s="862" t="s">
        <v>875</v>
      </c>
      <c r="G88" s="495"/>
      <c r="H88" s="495">
        <f>'WP-AR-BS'!D99</f>
        <v>701</v>
      </c>
      <c r="I88" s="495"/>
      <c r="J88" s="495">
        <f>'WP-AR-BS'!E99</f>
        <v>769</v>
      </c>
      <c r="K88" s="930"/>
      <c r="L88" s="495"/>
      <c r="M88" s="495"/>
      <c r="Q88" s="852"/>
      <c r="R88" s="852"/>
      <c r="S88" s="852"/>
      <c r="T88" s="852"/>
      <c r="U88" s="852"/>
      <c r="V88" s="852"/>
    </row>
    <row r="89" spans="1:22" s="851" customFormat="1" ht="15">
      <c r="A89" s="850" t="s">
        <v>1577</v>
      </c>
      <c r="B89" s="850"/>
      <c r="C89" s="862" t="s">
        <v>876</v>
      </c>
      <c r="G89" s="495"/>
      <c r="H89" s="495">
        <f>'WP-AR-BS'!D82</f>
        <v>64</v>
      </c>
      <c r="I89" s="495"/>
      <c r="J89" s="495">
        <f>'WP-AR-BS'!E81</f>
        <v>485</v>
      </c>
      <c r="K89" s="930"/>
      <c r="L89" s="495"/>
      <c r="M89" s="495"/>
      <c r="Q89" s="852"/>
      <c r="R89" s="852"/>
      <c r="S89" s="852"/>
      <c r="T89" s="852"/>
      <c r="U89" s="852"/>
      <c r="V89" s="852"/>
    </row>
    <row r="90" spans="1:22" s="851" customFormat="1">
      <c r="A90" s="850" t="s">
        <v>1578</v>
      </c>
      <c r="B90" s="850"/>
      <c r="C90" s="862" t="s">
        <v>4</v>
      </c>
      <c r="G90" s="495"/>
      <c r="H90" s="1544">
        <f>H88+H89</f>
        <v>765</v>
      </c>
      <c r="I90" s="1544">
        <f>'WP-AR-BS'!D130</f>
        <v>4734</v>
      </c>
      <c r="J90" s="1544">
        <f>J88+J89</f>
        <v>1254</v>
      </c>
      <c r="K90" s="1544">
        <f>'WP-AR-BS'!E130</f>
        <v>4739</v>
      </c>
      <c r="L90" s="495"/>
      <c r="M90" s="495"/>
      <c r="Q90" s="852"/>
      <c r="R90" s="852"/>
      <c r="S90" s="852"/>
      <c r="T90" s="852"/>
      <c r="U90" s="852"/>
      <c r="V90" s="852"/>
    </row>
    <row r="91" spans="1:22" s="851" customFormat="1">
      <c r="A91" s="850" t="s">
        <v>1579</v>
      </c>
      <c r="B91" s="850"/>
      <c r="C91" s="854" t="s">
        <v>869</v>
      </c>
      <c r="G91" s="495"/>
      <c r="H91" s="1544">
        <f>'WP-DB'!E31/10^6</f>
        <v>753.28914999999995</v>
      </c>
      <c r="I91" s="1544">
        <f>'WP-DB'!E41/10^6</f>
        <v>4734</v>
      </c>
      <c r="J91" s="1544">
        <f>'WP-DB'!F31/10^6</f>
        <v>814.69431299999997</v>
      </c>
      <c r="K91" s="1544">
        <f>'WP-DB'!F41/10^6</f>
        <v>4739</v>
      </c>
      <c r="L91" s="495"/>
      <c r="M91" s="495"/>
      <c r="Q91" s="852"/>
      <c r="R91" s="852"/>
      <c r="S91" s="852"/>
      <c r="T91" s="852"/>
      <c r="U91" s="852"/>
      <c r="V91" s="852"/>
    </row>
    <row r="92" spans="1:22" s="886" customFormat="1">
      <c r="A92" s="850" t="s">
        <v>1580</v>
      </c>
      <c r="B92" s="864"/>
      <c r="C92" s="866" t="s">
        <v>577</v>
      </c>
      <c r="G92" s="1542"/>
      <c r="H92" s="1542">
        <f>H90-H91</f>
        <v>11.71085000000005</v>
      </c>
      <c r="I92" s="1542">
        <f>I90-I91</f>
        <v>0</v>
      </c>
      <c r="J92" s="1542">
        <f>J90-J91</f>
        <v>439.30568700000003</v>
      </c>
      <c r="K92" s="1542">
        <f>K90-K91</f>
        <v>0</v>
      </c>
      <c r="L92" s="1542"/>
      <c r="M92" s="1542"/>
      <c r="Q92" s="889"/>
      <c r="R92" s="889"/>
      <c r="S92" s="889"/>
      <c r="T92" s="889"/>
      <c r="U92" s="889"/>
      <c r="V92" s="889"/>
    </row>
    <row r="93" spans="1:22" s="851" customFormat="1">
      <c r="A93" s="850"/>
      <c r="B93" s="850"/>
      <c r="C93" s="850"/>
      <c r="G93" s="495"/>
      <c r="H93" s="495"/>
      <c r="I93" s="495"/>
      <c r="J93" s="495"/>
      <c r="K93" s="495"/>
      <c r="L93" s="495"/>
      <c r="M93" s="495"/>
      <c r="Q93" s="852"/>
      <c r="R93" s="852"/>
      <c r="S93" s="852"/>
      <c r="T93" s="852"/>
      <c r="U93" s="852"/>
      <c r="V93" s="852"/>
    </row>
    <row r="94" spans="1:22" s="851" customFormat="1">
      <c r="A94" s="850"/>
      <c r="B94" s="858">
        <v>5</v>
      </c>
      <c r="C94" s="873" t="s">
        <v>878</v>
      </c>
      <c r="G94" s="495"/>
      <c r="H94" s="495"/>
      <c r="I94" s="495"/>
      <c r="J94" s="495"/>
      <c r="K94" s="495"/>
      <c r="L94" s="495"/>
      <c r="M94" s="495"/>
      <c r="Q94" s="852"/>
      <c r="R94" s="852"/>
      <c r="S94" s="852"/>
      <c r="T94" s="852"/>
      <c r="U94" s="852"/>
      <c r="V94" s="852"/>
    </row>
    <row r="95" spans="1:22" s="851" customFormat="1">
      <c r="A95" s="850"/>
      <c r="B95" s="850"/>
      <c r="C95" s="850"/>
      <c r="G95" s="495"/>
      <c r="H95" s="1540"/>
      <c r="I95" s="1541"/>
      <c r="J95" s="495"/>
      <c r="K95" s="495"/>
      <c r="L95" s="495"/>
      <c r="M95" s="495"/>
      <c r="Q95" s="852"/>
      <c r="R95" s="852"/>
      <c r="S95" s="852"/>
      <c r="T95" s="852"/>
      <c r="U95" s="852"/>
      <c r="V95" s="852"/>
    </row>
    <row r="96" spans="1:22" s="851" customFormat="1">
      <c r="A96" s="850" t="s">
        <v>1274</v>
      </c>
      <c r="B96" s="850"/>
      <c r="C96" s="854" t="s">
        <v>859</v>
      </c>
      <c r="G96" s="495"/>
      <c r="H96" s="495"/>
      <c r="I96" s="495"/>
      <c r="J96" s="495"/>
      <c r="K96" s="495"/>
      <c r="L96" s="495"/>
      <c r="M96" s="495"/>
      <c r="Q96" s="852"/>
      <c r="R96" s="852"/>
      <c r="S96" s="852"/>
      <c r="T96" s="852"/>
      <c r="U96" s="852"/>
      <c r="V96" s="852"/>
    </row>
    <row r="97" spans="1:22" s="851" customFormat="1">
      <c r="A97" s="850" t="s">
        <v>1275</v>
      </c>
      <c r="B97" s="850"/>
      <c r="C97" s="862" t="s">
        <v>608</v>
      </c>
      <c r="G97" s="495"/>
      <c r="H97" s="495">
        <f>'WP-AR-IS'!G45</f>
        <v>47</v>
      </c>
      <c r="I97" s="495">
        <f>'WP-AR-IS'!H45</f>
        <v>47</v>
      </c>
      <c r="J97" s="495"/>
      <c r="K97" s="495"/>
      <c r="L97" s="495"/>
      <c r="M97" s="495"/>
      <c r="Q97" s="852"/>
      <c r="R97" s="852"/>
      <c r="S97" s="852"/>
      <c r="T97" s="852"/>
      <c r="U97" s="852"/>
      <c r="V97" s="852"/>
    </row>
    <row r="98" spans="1:22" s="851" customFormat="1">
      <c r="A98" s="850" t="s">
        <v>1276</v>
      </c>
      <c r="B98" s="850"/>
      <c r="C98" s="862" t="s">
        <v>217</v>
      </c>
      <c r="G98" s="495"/>
      <c r="H98" s="495">
        <f>'WP-AR-IS'!G48</f>
        <v>-3</v>
      </c>
      <c r="I98" s="495">
        <f>'WP-AR-IS'!H48</f>
        <v>-4</v>
      </c>
      <c r="J98" s="495"/>
      <c r="K98" s="495"/>
      <c r="L98" s="495"/>
      <c r="M98" s="495"/>
      <c r="Q98" s="852"/>
      <c r="R98" s="852"/>
      <c r="S98" s="852"/>
      <c r="T98" s="852"/>
      <c r="U98" s="852"/>
      <c r="V98" s="852"/>
    </row>
    <row r="99" spans="1:22" s="851" customFormat="1">
      <c r="A99" s="850" t="s">
        <v>1282</v>
      </c>
      <c r="B99" s="850"/>
      <c r="C99" s="862" t="s">
        <v>4</v>
      </c>
      <c r="G99" s="495"/>
      <c r="H99" s="1544">
        <f>H97+H98</f>
        <v>44</v>
      </c>
      <c r="I99" s="1544">
        <f>I97+I98</f>
        <v>43</v>
      </c>
      <c r="J99" s="495"/>
      <c r="K99" s="495"/>
      <c r="L99" s="495"/>
      <c r="M99" s="495"/>
      <c r="Q99" s="852"/>
      <c r="R99" s="852"/>
      <c r="S99" s="852"/>
      <c r="T99" s="852"/>
      <c r="U99" s="852"/>
      <c r="V99" s="852"/>
    </row>
    <row r="100" spans="1:22" s="851" customFormat="1">
      <c r="A100" s="850" t="s">
        <v>1283</v>
      </c>
      <c r="B100" s="850"/>
      <c r="C100" s="854" t="s">
        <v>869</v>
      </c>
      <c r="G100" s="495"/>
      <c r="H100" s="1545"/>
      <c r="I100" s="1545"/>
      <c r="J100" s="495"/>
      <c r="K100" s="495"/>
      <c r="L100" s="495"/>
      <c r="M100" s="495"/>
      <c r="Q100" s="852"/>
      <c r="R100" s="852"/>
      <c r="S100" s="852"/>
      <c r="T100" s="852"/>
      <c r="U100" s="852"/>
      <c r="V100" s="852"/>
    </row>
    <row r="101" spans="1:22" s="851" customFormat="1">
      <c r="A101" s="850" t="s">
        <v>1581</v>
      </c>
      <c r="B101" s="850"/>
      <c r="C101" s="862" t="s">
        <v>608</v>
      </c>
      <c r="G101" s="495"/>
      <c r="H101" s="495">
        <f>'WP-DB'!E17/10^6</f>
        <v>42.450838759999996</v>
      </c>
      <c r="I101" s="495">
        <f>'WP-DB'!F17/10^6</f>
        <v>45.136388670000002</v>
      </c>
      <c r="J101" s="495"/>
      <c r="K101" s="495"/>
      <c r="L101" s="495"/>
      <c r="M101" s="495"/>
      <c r="Q101" s="852"/>
      <c r="R101" s="852"/>
      <c r="S101" s="852"/>
      <c r="T101" s="852"/>
      <c r="U101" s="852"/>
      <c r="V101" s="852"/>
    </row>
    <row r="102" spans="1:22" s="851" customFormat="1">
      <c r="A102" s="850" t="s">
        <v>1582</v>
      </c>
      <c r="B102" s="850"/>
      <c r="C102" s="862" t="s">
        <v>217</v>
      </c>
      <c r="G102" s="495"/>
      <c r="H102" s="495">
        <f>'WP-DB'!E18/10^6</f>
        <v>0.85558800000000002</v>
      </c>
      <c r="I102" s="495">
        <f>'WP-DB'!F18/10^6</f>
        <v>0.83834500000000001</v>
      </c>
      <c r="J102" s="495"/>
      <c r="K102" s="495"/>
      <c r="L102" s="495"/>
      <c r="M102" s="495"/>
      <c r="Q102" s="852"/>
      <c r="R102" s="852"/>
      <c r="S102" s="852"/>
      <c r="T102" s="852"/>
      <c r="U102" s="852"/>
      <c r="V102" s="852"/>
    </row>
    <row r="103" spans="1:22" s="851" customFormat="1">
      <c r="A103" s="850" t="s">
        <v>1583</v>
      </c>
      <c r="B103" s="850"/>
      <c r="C103" s="862" t="s">
        <v>4</v>
      </c>
      <c r="G103" s="495"/>
      <c r="H103" s="1544">
        <f>'WP-DB'!E23/10^6</f>
        <v>39.955353760000001</v>
      </c>
      <c r="I103" s="1544">
        <f>'WP-DB'!F23/10^6</f>
        <v>41.894659670000003</v>
      </c>
      <c r="J103" s="495"/>
      <c r="K103" s="495"/>
      <c r="L103" s="495"/>
      <c r="M103" s="495"/>
      <c r="Q103" s="852"/>
      <c r="R103" s="852"/>
      <c r="S103" s="852"/>
      <c r="T103" s="852"/>
      <c r="U103" s="852"/>
      <c r="V103" s="852"/>
    </row>
    <row r="104" spans="1:22" s="886" customFormat="1">
      <c r="A104" s="850" t="s">
        <v>1584</v>
      </c>
      <c r="B104" s="864"/>
      <c r="C104" s="866" t="s">
        <v>577</v>
      </c>
      <c r="G104" s="1542"/>
      <c r="H104" s="1542">
        <f>H99-H103</f>
        <v>4.0446462399999987</v>
      </c>
      <c r="I104" s="1542">
        <f>I99-I103</f>
        <v>1.1053403299999971</v>
      </c>
      <c r="J104" s="1542"/>
      <c r="K104" s="1542"/>
      <c r="L104" s="1542"/>
      <c r="M104" s="1542"/>
      <c r="Q104" s="889"/>
      <c r="R104" s="889"/>
      <c r="S104" s="889"/>
      <c r="T104" s="889"/>
      <c r="U104" s="889"/>
      <c r="V104" s="889"/>
    </row>
    <row r="105" spans="1:22" s="851" customFormat="1">
      <c r="A105" s="850"/>
      <c r="B105" s="850"/>
      <c r="C105" s="850"/>
      <c r="G105" s="495"/>
      <c r="H105" s="495"/>
      <c r="I105" s="495"/>
      <c r="J105" s="495"/>
      <c r="K105" s="495"/>
      <c r="L105" s="495"/>
      <c r="M105" s="495"/>
      <c r="Q105" s="852"/>
      <c r="R105" s="852"/>
      <c r="S105" s="852"/>
      <c r="T105" s="852"/>
      <c r="U105" s="852"/>
      <c r="V105" s="852"/>
    </row>
    <row r="106" spans="1:22" s="851" customFormat="1">
      <c r="A106" s="850"/>
      <c r="B106" s="850"/>
      <c r="C106" s="850"/>
      <c r="G106" s="495"/>
      <c r="H106" s="495"/>
      <c r="I106" s="495"/>
      <c r="J106" s="495"/>
      <c r="K106" s="495"/>
      <c r="L106" s="495"/>
      <c r="M106" s="495"/>
      <c r="Q106" s="852"/>
      <c r="R106" s="852"/>
      <c r="S106" s="852"/>
      <c r="T106" s="852"/>
      <c r="U106" s="852"/>
      <c r="V106" s="852"/>
    </row>
    <row r="107" spans="1:22" s="851" customFormat="1">
      <c r="A107" s="850"/>
      <c r="B107" s="858">
        <v>6</v>
      </c>
      <c r="C107" s="873" t="s">
        <v>896</v>
      </c>
      <c r="G107" s="495"/>
      <c r="H107" s="495"/>
      <c r="I107" s="495"/>
      <c r="J107" s="495"/>
      <c r="K107" s="495"/>
      <c r="L107" s="495"/>
      <c r="M107" s="495"/>
      <c r="Q107" s="852"/>
      <c r="R107" s="852"/>
      <c r="S107" s="852"/>
      <c r="T107" s="852"/>
      <c r="U107" s="852"/>
      <c r="V107" s="852"/>
    </row>
    <row r="108" spans="1:22" s="851" customFormat="1">
      <c r="A108" s="850"/>
      <c r="B108" s="858"/>
      <c r="C108" s="873"/>
      <c r="G108" s="495"/>
      <c r="H108" s="1541"/>
      <c r="I108" s="495"/>
      <c r="J108" s="495"/>
      <c r="K108" s="495"/>
      <c r="L108" s="495"/>
      <c r="M108" s="495"/>
      <c r="Q108" s="852"/>
      <c r="R108" s="852"/>
      <c r="S108" s="852"/>
      <c r="T108" s="852"/>
      <c r="U108" s="852"/>
      <c r="V108" s="852"/>
    </row>
    <row r="109" spans="1:22" s="851" customFormat="1">
      <c r="A109" s="850"/>
      <c r="B109" s="858"/>
      <c r="C109" s="873"/>
      <c r="G109" s="495"/>
      <c r="H109" s="1528"/>
      <c r="I109" s="495"/>
      <c r="J109" s="495"/>
      <c r="K109" s="495"/>
      <c r="L109" s="495"/>
      <c r="M109" s="495"/>
      <c r="Q109" s="852"/>
      <c r="R109" s="852"/>
      <c r="S109" s="852"/>
      <c r="T109" s="852"/>
      <c r="U109" s="852"/>
      <c r="V109" s="852"/>
    </row>
    <row r="110" spans="1:22" s="851" customFormat="1">
      <c r="A110" s="850" t="s">
        <v>1367</v>
      </c>
      <c r="B110" s="850"/>
      <c r="C110" s="854" t="s">
        <v>859</v>
      </c>
      <c r="G110" s="495"/>
      <c r="H110" s="1351">
        <v>0</v>
      </c>
      <c r="I110" s="495"/>
      <c r="J110" s="495"/>
      <c r="K110" s="495"/>
      <c r="L110" s="495"/>
      <c r="M110" s="495"/>
      <c r="Q110" s="852"/>
      <c r="R110" s="852"/>
      <c r="S110" s="852"/>
      <c r="T110" s="852"/>
      <c r="U110" s="852"/>
      <c r="V110" s="852"/>
    </row>
    <row r="111" spans="1:22" s="851" customFormat="1" ht="15.75" customHeight="1">
      <c r="A111" s="850" t="s">
        <v>1368</v>
      </c>
      <c r="B111" s="850"/>
      <c r="C111" s="862" t="s">
        <v>899</v>
      </c>
      <c r="D111" s="862"/>
      <c r="E111" s="862"/>
      <c r="G111" s="495"/>
      <c r="H111" s="1351"/>
      <c r="I111" s="495"/>
      <c r="J111" s="495"/>
      <c r="K111" s="495"/>
      <c r="L111" s="495"/>
      <c r="M111" s="495"/>
      <c r="Q111" s="852"/>
      <c r="R111" s="852"/>
      <c r="S111" s="852"/>
      <c r="T111" s="852"/>
      <c r="U111" s="852"/>
      <c r="V111" s="852"/>
    </row>
    <row r="112" spans="1:22" s="851" customFormat="1" ht="15.75" customHeight="1">
      <c r="A112" s="850" t="s">
        <v>1369</v>
      </c>
      <c r="B112" s="850"/>
      <c r="C112" s="862" t="s">
        <v>900</v>
      </c>
      <c r="D112" s="862"/>
      <c r="E112" s="862"/>
      <c r="G112" s="495"/>
      <c r="H112" s="1351"/>
      <c r="I112" s="495"/>
      <c r="J112" s="495"/>
      <c r="K112" s="495"/>
      <c r="L112" s="495"/>
      <c r="M112" s="495"/>
      <c r="Q112" s="852"/>
      <c r="R112" s="852"/>
      <c r="S112" s="852"/>
      <c r="T112" s="852"/>
      <c r="U112" s="852"/>
      <c r="V112" s="852"/>
    </row>
    <row r="113" spans="1:22" s="851" customFormat="1" ht="15.75" customHeight="1">
      <c r="A113" s="850" t="s">
        <v>1370</v>
      </c>
      <c r="B113" s="850"/>
      <c r="C113" s="862" t="s">
        <v>898</v>
      </c>
      <c r="D113" s="862"/>
      <c r="E113" s="862"/>
      <c r="G113" s="495"/>
      <c r="H113" s="1351"/>
      <c r="I113" s="495"/>
      <c r="J113" s="495"/>
      <c r="K113" s="495"/>
      <c r="L113" s="495"/>
      <c r="M113" s="495"/>
      <c r="Q113" s="852"/>
      <c r="R113" s="852"/>
      <c r="S113" s="852"/>
      <c r="T113" s="852"/>
      <c r="U113" s="852"/>
      <c r="V113" s="852"/>
    </row>
    <row r="114" spans="1:22" s="851" customFormat="1" ht="15.75" customHeight="1">
      <c r="A114" s="850" t="s">
        <v>541</v>
      </c>
      <c r="B114" s="850"/>
      <c r="C114" s="1513"/>
      <c r="D114" s="1513"/>
      <c r="E114" s="1513"/>
      <c r="F114" s="890"/>
      <c r="G114" s="1351"/>
      <c r="H114" s="1546"/>
      <c r="I114" s="495"/>
      <c r="J114" s="495"/>
      <c r="K114" s="495"/>
      <c r="L114" s="495"/>
      <c r="M114" s="495"/>
      <c r="Q114" s="852"/>
      <c r="R114" s="852"/>
      <c r="S114" s="852"/>
      <c r="T114" s="852"/>
      <c r="U114" s="852"/>
      <c r="V114" s="852"/>
    </row>
    <row r="115" spans="1:22" s="851" customFormat="1" ht="15.75" customHeight="1">
      <c r="A115" s="850" t="s">
        <v>541</v>
      </c>
      <c r="B115" s="850"/>
      <c r="C115" s="1513"/>
      <c r="D115" s="1513"/>
      <c r="E115" s="1513"/>
      <c r="F115" s="890"/>
      <c r="G115" s="1351"/>
      <c r="H115" s="1547"/>
      <c r="I115" s="495"/>
      <c r="J115" s="495"/>
      <c r="K115" s="495"/>
      <c r="L115" s="495"/>
      <c r="M115" s="495"/>
      <c r="Q115" s="852"/>
      <c r="R115" s="852"/>
      <c r="S115" s="852"/>
      <c r="T115" s="852"/>
      <c r="U115" s="852"/>
      <c r="V115" s="852"/>
    </row>
    <row r="116" spans="1:22" s="851" customFormat="1">
      <c r="A116" s="850" t="s">
        <v>1284</v>
      </c>
      <c r="B116" s="850"/>
      <c r="C116" s="862" t="s">
        <v>1146</v>
      </c>
      <c r="D116" s="862"/>
      <c r="E116" s="862"/>
      <c r="G116" s="495"/>
      <c r="H116" s="1548">
        <f>SUM(H111:H113)</f>
        <v>0</v>
      </c>
      <c r="I116" s="495"/>
      <c r="J116" s="495"/>
      <c r="K116" s="495"/>
      <c r="L116" s="495"/>
      <c r="M116" s="495"/>
      <c r="Q116" s="852"/>
      <c r="R116" s="852"/>
      <c r="S116" s="852"/>
      <c r="T116" s="852"/>
      <c r="U116" s="852"/>
      <c r="V116" s="852"/>
    </row>
    <row r="117" spans="1:22" s="851" customFormat="1" ht="15">
      <c r="A117" s="850" t="s">
        <v>1285</v>
      </c>
      <c r="B117" s="850"/>
      <c r="C117" s="891" t="s">
        <v>1145</v>
      </c>
      <c r="D117" s="891"/>
      <c r="E117" s="892"/>
      <c r="G117" s="495"/>
      <c r="H117" s="495">
        <f>H110+H116</f>
        <v>0</v>
      </c>
      <c r="I117" s="495"/>
      <c r="J117" s="495"/>
      <c r="K117" s="495"/>
      <c r="L117" s="495"/>
      <c r="M117" s="495"/>
      <c r="Q117" s="852"/>
      <c r="R117" s="852"/>
      <c r="S117" s="852"/>
      <c r="T117" s="852"/>
      <c r="U117" s="852"/>
      <c r="V117" s="852"/>
    </row>
    <row r="118" spans="1:22" s="851" customFormat="1">
      <c r="A118" s="850" t="s">
        <v>1286</v>
      </c>
      <c r="B118" s="850"/>
      <c r="C118" s="866" t="s">
        <v>577</v>
      </c>
      <c r="G118" s="495"/>
      <c r="H118" s="495">
        <f>H117-H110-H116</f>
        <v>0</v>
      </c>
      <c r="I118" s="495"/>
      <c r="J118" s="495"/>
      <c r="K118" s="495"/>
      <c r="L118" s="495"/>
      <c r="M118" s="495"/>
      <c r="Q118" s="852"/>
      <c r="R118" s="852"/>
      <c r="S118" s="852"/>
      <c r="T118" s="852"/>
      <c r="U118" s="852"/>
      <c r="V118" s="852"/>
    </row>
    <row r="119" spans="1:22" s="851" customFormat="1">
      <c r="A119" s="850"/>
      <c r="B119" s="850"/>
      <c r="C119" s="850"/>
      <c r="G119" s="495"/>
      <c r="H119" s="495"/>
      <c r="I119" s="495"/>
      <c r="J119" s="495"/>
      <c r="K119" s="495"/>
      <c r="L119" s="495"/>
      <c r="M119" s="495"/>
      <c r="Q119" s="852"/>
      <c r="R119" s="852"/>
      <c r="S119" s="852"/>
      <c r="T119" s="852"/>
      <c r="U119" s="852"/>
      <c r="V119" s="852"/>
    </row>
    <row r="120" spans="1:22" s="851" customFormat="1">
      <c r="A120" s="850"/>
      <c r="B120" s="850"/>
      <c r="C120" s="850"/>
      <c r="G120" s="495"/>
      <c r="H120" s="495"/>
      <c r="I120" s="495"/>
      <c r="J120" s="495"/>
      <c r="K120" s="495"/>
      <c r="L120" s="495"/>
      <c r="M120" s="495"/>
      <c r="Q120" s="852"/>
      <c r="R120" s="852"/>
      <c r="S120" s="852"/>
      <c r="T120" s="852"/>
      <c r="U120" s="852"/>
      <c r="V120" s="852"/>
    </row>
    <row r="121" spans="1:22" s="851" customFormat="1">
      <c r="A121" s="850"/>
      <c r="B121" s="850"/>
      <c r="C121" s="888" t="s">
        <v>341</v>
      </c>
      <c r="G121" s="495"/>
      <c r="H121" s="495"/>
      <c r="I121" s="495"/>
      <c r="J121" s="495"/>
      <c r="K121" s="495"/>
      <c r="L121" s="495"/>
      <c r="M121" s="495"/>
      <c r="Q121" s="852"/>
      <c r="R121" s="852"/>
      <c r="S121" s="852"/>
      <c r="T121" s="852"/>
      <c r="U121" s="852"/>
      <c r="V121" s="852"/>
    </row>
    <row r="122" spans="1:22" s="851" customFormat="1">
      <c r="A122" s="850" t="s">
        <v>1287</v>
      </c>
      <c r="B122" s="850"/>
      <c r="C122" s="850">
        <v>4</v>
      </c>
      <c r="D122" s="854" t="s">
        <v>1147</v>
      </c>
      <c r="G122" s="495"/>
      <c r="H122" s="495"/>
      <c r="I122" s="495"/>
      <c r="J122" s="495"/>
      <c r="K122" s="495"/>
      <c r="L122" s="495"/>
      <c r="M122" s="495"/>
      <c r="Q122" s="852"/>
      <c r="R122" s="852"/>
      <c r="S122" s="852"/>
      <c r="T122" s="852"/>
      <c r="U122" s="852"/>
      <c r="V122" s="852"/>
    </row>
    <row r="123" spans="1:22" s="851" customFormat="1">
      <c r="A123" s="850" t="s">
        <v>1636</v>
      </c>
      <c r="B123" s="850"/>
      <c r="C123" s="850">
        <v>5</v>
      </c>
      <c r="D123" s="854" t="s">
        <v>897</v>
      </c>
      <c r="G123" s="495"/>
      <c r="H123" s="495"/>
      <c r="I123" s="495"/>
      <c r="J123" s="495"/>
      <c r="K123" s="495"/>
      <c r="L123" s="495"/>
      <c r="M123" s="495"/>
      <c r="Q123" s="852"/>
      <c r="R123" s="852"/>
      <c r="S123" s="852"/>
      <c r="T123" s="852"/>
      <c r="U123" s="852"/>
      <c r="V123" s="852"/>
    </row>
    <row r="127" spans="1:22" s="851" customFormat="1">
      <c r="A127" s="850"/>
      <c r="B127" s="858">
        <v>8</v>
      </c>
      <c r="C127" s="873" t="s">
        <v>1154</v>
      </c>
      <c r="G127" s="495"/>
      <c r="H127" s="495"/>
      <c r="I127" s="495"/>
      <c r="J127" s="495"/>
      <c r="K127" s="495"/>
      <c r="L127" s="495"/>
      <c r="M127" s="495"/>
      <c r="Q127" s="852"/>
      <c r="R127" s="852"/>
      <c r="S127" s="852"/>
      <c r="T127" s="852"/>
      <c r="U127" s="852"/>
      <c r="V127" s="852"/>
    </row>
    <row r="128" spans="1:22" s="851" customFormat="1">
      <c r="A128" s="850"/>
      <c r="B128" s="858"/>
      <c r="C128" s="873"/>
      <c r="G128" s="495"/>
      <c r="H128" s="495"/>
      <c r="I128" s="495"/>
      <c r="J128" s="495"/>
      <c r="K128" s="495"/>
      <c r="L128" s="495"/>
      <c r="M128" s="495"/>
      <c r="Q128" s="852"/>
      <c r="R128" s="852"/>
      <c r="S128" s="852"/>
      <c r="T128" s="852"/>
      <c r="U128" s="852"/>
      <c r="V128" s="852"/>
    </row>
    <row r="129" spans="1:22">
      <c r="C129" s="873"/>
      <c r="D129" s="851"/>
      <c r="E129" s="851"/>
      <c r="F129" s="851"/>
      <c r="G129" s="495"/>
      <c r="H129" s="1541"/>
    </row>
    <row r="130" spans="1:22" s="851" customFormat="1">
      <c r="A130" s="850" t="s">
        <v>1167</v>
      </c>
      <c r="B130" s="850"/>
      <c r="C130" s="854" t="s">
        <v>859</v>
      </c>
      <c r="G130" s="495"/>
      <c r="I130" s="495"/>
      <c r="J130" s="495"/>
      <c r="K130" s="495"/>
      <c r="L130" s="495"/>
      <c r="M130" s="495"/>
      <c r="Q130" s="852"/>
      <c r="R130" s="852"/>
      <c r="S130" s="852"/>
      <c r="T130" s="852"/>
      <c r="U130" s="852"/>
      <c r="V130" s="852"/>
    </row>
    <row r="131" spans="1:22" s="851" customFormat="1">
      <c r="A131" s="850" t="s">
        <v>1168</v>
      </c>
      <c r="B131" s="850"/>
      <c r="C131" s="862" t="s">
        <v>1155</v>
      </c>
      <c r="G131" s="495"/>
      <c r="H131" s="1351">
        <v>0</v>
      </c>
      <c r="I131" s="495"/>
      <c r="J131" s="495"/>
      <c r="K131" s="495"/>
      <c r="L131" s="495"/>
      <c r="M131" s="495"/>
      <c r="Q131" s="852"/>
      <c r="R131" s="852"/>
      <c r="S131" s="852"/>
      <c r="T131" s="852"/>
      <c r="U131" s="852"/>
      <c r="V131" s="852"/>
    </row>
    <row r="132" spans="1:22" s="851" customFormat="1">
      <c r="A132" s="850" t="s">
        <v>1188</v>
      </c>
      <c r="B132" s="850"/>
      <c r="C132" s="854" t="s">
        <v>869</v>
      </c>
      <c r="G132" s="495"/>
      <c r="H132" s="495"/>
      <c r="I132" s="495"/>
      <c r="J132" s="495"/>
      <c r="K132" s="495"/>
      <c r="L132" s="495"/>
      <c r="M132" s="495"/>
      <c r="Q132" s="852"/>
      <c r="R132" s="852"/>
      <c r="S132" s="852"/>
      <c r="T132" s="852"/>
      <c r="U132" s="852"/>
      <c r="V132" s="852"/>
    </row>
    <row r="133" spans="1:22" s="851" customFormat="1">
      <c r="A133" s="850" t="s">
        <v>1189</v>
      </c>
      <c r="B133" s="850"/>
      <c r="C133" s="862" t="s">
        <v>1069</v>
      </c>
      <c r="G133" s="495"/>
      <c r="H133" s="1549">
        <f>'WP-AF'!H13/1000000</f>
        <v>2.4709449999999999</v>
      </c>
      <c r="I133" s="495"/>
      <c r="J133" s="495"/>
      <c r="K133" s="495"/>
      <c r="L133" s="495"/>
      <c r="M133" s="495"/>
      <c r="Q133" s="852"/>
      <c r="R133" s="852"/>
      <c r="S133" s="852"/>
      <c r="T133" s="852"/>
      <c r="U133" s="852"/>
      <c r="V133" s="852"/>
    </row>
    <row r="134" spans="1:22" s="851" customFormat="1">
      <c r="A134" s="850" t="s">
        <v>1190</v>
      </c>
      <c r="B134" s="850"/>
      <c r="C134" s="866" t="s">
        <v>577</v>
      </c>
      <c r="D134" s="886"/>
      <c r="E134" s="886"/>
      <c r="F134" s="886"/>
      <c r="G134" s="1542"/>
      <c r="H134" s="1542">
        <f>H131-H133</f>
        <v>-2.4709449999999999</v>
      </c>
      <c r="I134" s="1542"/>
      <c r="J134" s="495"/>
      <c r="K134" s="495"/>
      <c r="L134" s="495"/>
      <c r="M134" s="495"/>
      <c r="Q134" s="852"/>
      <c r="R134" s="852"/>
      <c r="S134" s="852"/>
      <c r="T134" s="852"/>
      <c r="U134" s="852"/>
      <c r="V134" s="852"/>
    </row>
  </sheetData>
  <customSheetViews>
    <customSheetView guid="{B321D76C-CDE5-48BB-9CDE-80FF97D58FCF}" showPageBreaks="1" printArea="1" view="pageBreakPreview" topLeftCell="A112">
      <selection activeCell="D33" sqref="D33"/>
      <rowBreaks count="2" manualBreakCount="2">
        <brk id="38" max="16383" man="1"/>
        <brk id="76" max="14" man="1"/>
      </rowBreaks>
      <pageMargins left="0.7" right="0.7" top="0.75" bottom="0.75" header="0.3" footer="0.3"/>
      <pageSetup scale="61" orientation="landscape" r:id="rId1"/>
    </customSheetView>
  </customSheetViews>
  <mergeCells count="11">
    <mergeCell ref="H40:K40"/>
    <mergeCell ref="L40:O40"/>
    <mergeCell ref="H11:J11"/>
    <mergeCell ref="J85:K85"/>
    <mergeCell ref="H85:I85"/>
    <mergeCell ref="Q11:T11"/>
    <mergeCell ref="A4:O4"/>
    <mergeCell ref="A5:O5"/>
    <mergeCell ref="A6:O6"/>
    <mergeCell ref="A8:P8"/>
    <mergeCell ref="A9:P9"/>
  </mergeCells>
  <pageMargins left="0.7" right="0.7" top="0.75" bottom="0.75" header="0.3" footer="0.3"/>
  <pageSetup scale="61" orientation="landscape" r:id="rId2"/>
  <rowBreaks count="2" manualBreakCount="2">
    <brk id="38" max="16383" man="1"/>
    <brk id="76" max="1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rgb="FF0070C0"/>
    <pageSetUpPr fitToPage="1"/>
  </sheetPr>
  <dimension ref="A1:Q55"/>
  <sheetViews>
    <sheetView showGridLines="0" tabSelected="1" defaultGridColor="0" view="pageBreakPreview" topLeftCell="A9" colorId="22" zoomScale="67" zoomScaleNormal="55" zoomScaleSheetLayoutView="67" zoomScalePageLayoutView="80" workbookViewId="0">
      <selection activeCell="C30" sqref="C30"/>
    </sheetView>
  </sheetViews>
  <sheetFormatPr defaultColWidth="13.5" defaultRowHeight="12"/>
  <cols>
    <col min="1" max="1" width="9" style="13" bestFit="1" customWidth="1"/>
    <col min="2" max="2" width="2.25" style="13" customWidth="1"/>
    <col min="3" max="3" width="7.5" style="13" customWidth="1"/>
    <col min="4" max="4" width="2.25" style="13" customWidth="1"/>
    <col min="5" max="5" width="27.75" style="13" customWidth="1"/>
    <col min="6" max="6" width="23.5" style="13" customWidth="1"/>
    <col min="7" max="7" width="16.75" style="13" customWidth="1"/>
    <col min="8" max="8" width="19.25" style="13" customWidth="1"/>
    <col min="9" max="9" width="5.75" style="13" customWidth="1"/>
    <col min="10" max="10" width="19.5" style="13" customWidth="1"/>
    <col min="11" max="11" width="29.125" style="13" customWidth="1"/>
    <col min="12" max="12" width="10" style="13" customWidth="1"/>
    <col min="13" max="13" width="6.375" style="13" customWidth="1"/>
    <col min="14" max="14" width="17.125" style="13" bestFit="1" customWidth="1"/>
    <col min="15" max="15" width="6.125" style="13" customWidth="1"/>
    <col min="16" max="16" width="13.75" style="13" customWidth="1"/>
    <col min="17" max="17" width="2.375" style="13" customWidth="1"/>
    <col min="18" max="16384" width="13.5" style="13"/>
  </cols>
  <sheetData>
    <row r="1" spans="1:17" s="17" customFormat="1" ht="20.25">
      <c r="A1" s="644" t="s">
        <v>893</v>
      </c>
      <c r="B1" s="20"/>
      <c r="C1" s="20"/>
      <c r="D1" s="20"/>
      <c r="E1" s="101"/>
      <c r="F1" s="20"/>
      <c r="G1" s="20"/>
      <c r="H1" s="20"/>
      <c r="I1" s="20"/>
      <c r="J1" s="20"/>
      <c r="K1" s="20"/>
      <c r="L1" s="20"/>
      <c r="M1" s="20"/>
      <c r="N1" s="20"/>
      <c r="O1" s="20"/>
      <c r="P1" s="159"/>
      <c r="Q1" s="60"/>
    </row>
    <row r="2" spans="1:17" ht="18">
      <c r="B2" s="11"/>
      <c r="C2" s="11"/>
      <c r="D2" s="11"/>
      <c r="F2" s="11"/>
      <c r="G2" s="11"/>
      <c r="H2" s="11"/>
      <c r="I2" s="11"/>
      <c r="J2" s="11"/>
      <c r="K2" s="11"/>
      <c r="L2" s="11"/>
      <c r="M2" s="11"/>
      <c r="N2" s="11"/>
      <c r="O2" s="11"/>
    </row>
    <row r="3" spans="1:17" ht="18">
      <c r="B3" s="11"/>
      <c r="C3" s="11"/>
      <c r="D3" s="11"/>
      <c r="F3" s="11"/>
      <c r="G3" s="11"/>
      <c r="H3" s="11"/>
      <c r="I3" s="11"/>
      <c r="J3" s="11"/>
      <c r="K3" s="11"/>
      <c r="L3" s="11"/>
      <c r="M3" s="11"/>
      <c r="N3" s="11"/>
      <c r="O3" s="11"/>
      <c r="P3" s="11"/>
      <c r="Q3" s="11"/>
    </row>
    <row r="4" spans="1:17" ht="18">
      <c r="A4" s="1788" t="s">
        <v>199</v>
      </c>
      <c r="B4" s="1788"/>
      <c r="C4" s="1788"/>
      <c r="D4" s="1788"/>
      <c r="E4" s="1788"/>
      <c r="F4" s="1788"/>
      <c r="G4" s="1788"/>
      <c r="H4" s="1788"/>
      <c r="I4" s="1788"/>
      <c r="J4" s="1788"/>
      <c r="K4" s="1788"/>
      <c r="L4" s="1788"/>
      <c r="M4" s="1788"/>
      <c r="N4" s="1788"/>
      <c r="O4" s="1788"/>
      <c r="P4" s="1788"/>
      <c r="Q4" s="1788"/>
    </row>
    <row r="5" spans="1:17" ht="18">
      <c r="A5" s="1788" t="s">
        <v>103</v>
      </c>
      <c r="B5" s="1788"/>
      <c r="C5" s="1788"/>
      <c r="D5" s="1788"/>
      <c r="E5" s="1788"/>
      <c r="F5" s="1788"/>
      <c r="G5" s="1788"/>
      <c r="H5" s="1788"/>
      <c r="I5" s="1788"/>
      <c r="J5" s="1788"/>
      <c r="K5" s="1788"/>
      <c r="L5" s="1788"/>
      <c r="M5" s="1788"/>
      <c r="N5" s="1788"/>
      <c r="O5" s="1788"/>
      <c r="P5" s="1788"/>
      <c r="Q5" s="1788"/>
    </row>
    <row r="6" spans="1:17" ht="18">
      <c r="A6" s="1789" t="s">
        <v>2036</v>
      </c>
      <c r="B6" s="1789"/>
      <c r="C6" s="1789"/>
      <c r="D6" s="1789"/>
      <c r="E6" s="1789"/>
      <c r="F6" s="1789"/>
      <c r="G6" s="1789"/>
      <c r="H6" s="1789"/>
      <c r="I6" s="1789"/>
      <c r="J6" s="1789"/>
      <c r="K6" s="1789"/>
      <c r="L6" s="1789"/>
      <c r="M6" s="1789"/>
      <c r="N6" s="1789"/>
      <c r="O6" s="1789"/>
      <c r="P6" s="1789"/>
      <c r="Q6" s="1789"/>
    </row>
    <row r="8" spans="1:17" ht="18">
      <c r="A8" s="1790" t="s">
        <v>892</v>
      </c>
      <c r="B8" s="1790"/>
      <c r="C8" s="1790"/>
      <c r="D8" s="1790"/>
      <c r="E8" s="1790"/>
      <c r="F8" s="1790"/>
      <c r="G8" s="1790"/>
      <c r="H8" s="1790"/>
      <c r="I8" s="1790"/>
      <c r="J8" s="1790"/>
      <c r="K8" s="1790"/>
      <c r="L8" s="1790"/>
      <c r="M8" s="1790"/>
      <c r="N8" s="1790"/>
      <c r="O8" s="1790"/>
      <c r="P8" s="1790"/>
      <c r="Q8" s="1790"/>
    </row>
    <row r="9" spans="1:17" ht="18">
      <c r="A9" s="1788" t="s">
        <v>816</v>
      </c>
      <c r="B9" s="1788"/>
      <c r="C9" s="1788"/>
      <c r="D9" s="1788"/>
      <c r="E9" s="1788"/>
      <c r="F9" s="1788"/>
      <c r="G9" s="1788"/>
      <c r="H9" s="1788"/>
      <c r="I9" s="1788"/>
      <c r="J9" s="1788"/>
      <c r="K9" s="1788"/>
      <c r="L9" s="1788"/>
      <c r="M9" s="1788"/>
      <c r="N9" s="1788"/>
      <c r="O9" s="1788"/>
      <c r="P9" s="1788"/>
      <c r="Q9" s="1788"/>
    </row>
    <row r="10" spans="1:17" ht="18">
      <c r="B10" s="11"/>
      <c r="C10" s="11"/>
      <c r="D10" s="11"/>
      <c r="E10" s="11"/>
      <c r="F10" s="11"/>
      <c r="G10" s="11"/>
      <c r="H10" s="11"/>
      <c r="I10" s="11"/>
      <c r="J10" s="11"/>
      <c r="K10" s="11"/>
      <c r="L10" s="11"/>
      <c r="M10" s="11"/>
      <c r="N10" s="11"/>
      <c r="O10" s="11"/>
      <c r="P10" s="11"/>
      <c r="Q10" s="11"/>
    </row>
    <row r="11" spans="1:17" ht="18">
      <c r="B11" s="11"/>
      <c r="C11" s="11"/>
      <c r="D11" s="11"/>
      <c r="E11" s="11"/>
      <c r="F11" s="11"/>
      <c r="G11" s="11"/>
      <c r="H11" s="11"/>
      <c r="I11" s="11"/>
      <c r="J11" s="11"/>
      <c r="K11" s="11"/>
      <c r="M11" s="11"/>
      <c r="N11" s="11"/>
      <c r="O11" s="11"/>
      <c r="P11" s="11"/>
      <c r="Q11" s="11"/>
    </row>
    <row r="12" spans="1:17" s="64" customFormat="1" ht="15.75">
      <c r="B12" s="134"/>
      <c r="C12" s="134"/>
      <c r="D12" s="134"/>
      <c r="E12" s="134"/>
      <c r="F12" s="134"/>
      <c r="G12" s="134"/>
      <c r="H12" s="134"/>
      <c r="I12" s="134"/>
      <c r="J12" s="134"/>
      <c r="K12" s="134"/>
      <c r="M12" s="134"/>
      <c r="N12" s="1254"/>
      <c r="O12" s="1254"/>
      <c r="P12" s="1254" t="s">
        <v>4</v>
      </c>
    </row>
    <row r="13" spans="1:17" s="64" customFormat="1" ht="15.75">
      <c r="B13" s="134"/>
      <c r="C13" s="134"/>
      <c r="D13" s="134"/>
      <c r="E13" s="134"/>
      <c r="F13" s="134"/>
      <c r="G13" s="134"/>
      <c r="H13" s="134"/>
      <c r="I13" s="134"/>
      <c r="J13" s="134"/>
      <c r="K13" s="134"/>
      <c r="M13" s="134"/>
      <c r="N13" s="1254" t="s">
        <v>97</v>
      </c>
      <c r="O13" s="1254"/>
      <c r="P13" s="1254" t="s">
        <v>99</v>
      </c>
    </row>
    <row r="14" spans="1:17" s="100" customFormat="1" ht="15.75">
      <c r="B14" s="20"/>
      <c r="C14" s="1276" t="s">
        <v>0</v>
      </c>
      <c r="D14" s="20"/>
      <c r="E14" s="20"/>
      <c r="F14" s="20"/>
      <c r="G14" s="20"/>
      <c r="H14" s="20"/>
      <c r="I14" s="20"/>
      <c r="J14" s="20"/>
      <c r="K14" s="20"/>
      <c r="L14" s="759" t="s">
        <v>34</v>
      </c>
      <c r="M14" s="20"/>
      <c r="N14" s="759" t="s">
        <v>33</v>
      </c>
      <c r="O14" s="20"/>
      <c r="P14" s="759" t="s">
        <v>68</v>
      </c>
    </row>
    <row r="15" spans="1:17" s="100" customFormat="1" ht="15.75">
      <c r="A15" s="893" t="s">
        <v>1</v>
      </c>
      <c r="B15" s="20"/>
      <c r="C15" s="893" t="s">
        <v>2</v>
      </c>
      <c r="D15" s="20"/>
      <c r="E15" s="894" t="s">
        <v>3</v>
      </c>
      <c r="F15" s="20"/>
      <c r="G15" s="893" t="s">
        <v>455</v>
      </c>
      <c r="H15" s="893" t="s">
        <v>34</v>
      </c>
      <c r="I15" s="20"/>
      <c r="J15" s="893" t="s">
        <v>97</v>
      </c>
      <c r="K15" s="20"/>
      <c r="L15" s="893" t="s">
        <v>98</v>
      </c>
      <c r="M15" s="20"/>
      <c r="N15" s="893" t="s">
        <v>1091</v>
      </c>
      <c r="O15" s="20"/>
      <c r="P15" s="893" t="s">
        <v>832</v>
      </c>
    </row>
    <row r="16" spans="1:17" s="100" customFormat="1" ht="15.75">
      <c r="B16" s="20"/>
      <c r="C16" s="20"/>
      <c r="D16" s="20"/>
      <c r="E16" s="20"/>
      <c r="F16" s="20"/>
      <c r="G16" s="759" t="s">
        <v>6</v>
      </c>
      <c r="H16" s="759" t="s">
        <v>7</v>
      </c>
      <c r="J16" s="759" t="s">
        <v>8</v>
      </c>
      <c r="L16" s="759" t="s">
        <v>9</v>
      </c>
      <c r="N16" s="759" t="s">
        <v>28</v>
      </c>
      <c r="P16" s="895" t="s">
        <v>371</v>
      </c>
      <c r="Q16" s="759"/>
    </row>
    <row r="17" spans="1:17" s="100" customFormat="1" ht="15.75">
      <c r="B17" s="20"/>
      <c r="C17" s="20"/>
      <c r="D17" s="20"/>
      <c r="E17" s="20"/>
      <c r="F17" s="20"/>
      <c r="G17" s="20"/>
      <c r="H17" s="759"/>
      <c r="I17" s="20"/>
      <c r="J17" s="759"/>
      <c r="K17" s="20"/>
      <c r="L17" s="759"/>
      <c r="M17" s="20"/>
      <c r="N17" s="759"/>
      <c r="O17" s="20"/>
      <c r="P17" s="759"/>
      <c r="Q17" s="759"/>
    </row>
    <row r="18" spans="1:17" s="100" customFormat="1" ht="15.75">
      <c r="A18" s="322">
        <v>1</v>
      </c>
      <c r="B18" s="903"/>
      <c r="C18" s="21">
        <v>352</v>
      </c>
      <c r="D18" s="903"/>
      <c r="E18" s="903" t="s">
        <v>69</v>
      </c>
      <c r="F18" s="897"/>
      <c r="G18" s="20" t="s">
        <v>1644</v>
      </c>
      <c r="H18" s="1579">
        <f>'WP-BA'!K126</f>
        <v>1589114.7173748142</v>
      </c>
      <c r="I18" s="1588"/>
      <c r="J18" s="1588"/>
      <c r="K18" s="20"/>
      <c r="L18" s="20"/>
      <c r="M18" s="20"/>
      <c r="N18" s="20"/>
      <c r="O18" s="20"/>
      <c r="P18" s="20"/>
      <c r="Q18" s="20"/>
    </row>
    <row r="19" spans="1:17" s="100" customFormat="1" ht="15.75">
      <c r="A19" s="322">
        <f>A18+1</f>
        <v>2</v>
      </c>
      <c r="B19" s="903"/>
      <c r="C19" s="21">
        <v>353</v>
      </c>
      <c r="D19" s="903"/>
      <c r="E19" s="903" t="s">
        <v>20</v>
      </c>
      <c r="F19" s="20"/>
      <c r="G19" s="20" t="s">
        <v>1644</v>
      </c>
      <c r="H19" s="1579">
        <f>'WP-BA'!K138</f>
        <v>14175732.909159331</v>
      </c>
      <c r="I19" s="1588"/>
      <c r="J19" s="1588"/>
      <c r="K19" s="20"/>
      <c r="L19" s="20"/>
      <c r="M19" s="20"/>
      <c r="N19" s="20"/>
      <c r="O19" s="20"/>
      <c r="P19" s="20"/>
      <c r="Q19" s="20"/>
    </row>
    <row r="20" spans="1:17" s="100" customFormat="1" ht="15.75">
      <c r="A20" s="322">
        <f t="shared" ref="A20:A45" si="0">A19+1</f>
        <v>3</v>
      </c>
      <c r="B20" s="903"/>
      <c r="C20" s="21">
        <v>354</v>
      </c>
      <c r="D20" s="903"/>
      <c r="E20" s="903" t="s">
        <v>70</v>
      </c>
      <c r="F20" s="20"/>
      <c r="G20" s="20" t="s">
        <v>1644</v>
      </c>
      <c r="H20" s="1579">
        <f>'WP-BA'!K148</f>
        <v>4374491.2919815704</v>
      </c>
      <c r="I20" s="1588"/>
      <c r="J20" s="1588"/>
      <c r="K20" s="20"/>
      <c r="L20" s="20"/>
      <c r="M20" s="20"/>
      <c r="N20" s="20"/>
      <c r="O20" s="20"/>
      <c r="P20" s="20"/>
      <c r="Q20" s="20"/>
    </row>
    <row r="21" spans="1:17" s="100" customFormat="1" ht="15.75">
      <c r="A21" s="322">
        <f t="shared" si="0"/>
        <v>4</v>
      </c>
      <c r="B21" s="903"/>
      <c r="C21" s="21">
        <v>355</v>
      </c>
      <c r="D21" s="903"/>
      <c r="E21" s="903" t="s">
        <v>71</v>
      </c>
      <c r="F21" s="20"/>
      <c r="G21" s="20" t="s">
        <v>1644</v>
      </c>
      <c r="H21" s="1579">
        <f>'WP-BA'!K157</f>
        <v>4786064.9901652494</v>
      </c>
      <c r="I21" s="1588"/>
      <c r="J21" s="1588"/>
      <c r="K21" s="20"/>
      <c r="L21" s="20"/>
      <c r="M21" s="20"/>
      <c r="N21" s="20"/>
      <c r="O21" s="20"/>
      <c r="P21" s="20"/>
      <c r="Q21" s="20"/>
    </row>
    <row r="22" spans="1:17" s="100" customFormat="1" ht="15.75">
      <c r="A22" s="322">
        <f t="shared" si="0"/>
        <v>5</v>
      </c>
      <c r="B22" s="903"/>
      <c r="C22" s="21">
        <v>356</v>
      </c>
      <c r="D22" s="903"/>
      <c r="E22" s="903" t="s">
        <v>72</v>
      </c>
      <c r="F22" s="20"/>
      <c r="G22" s="20" t="s">
        <v>1644</v>
      </c>
      <c r="H22" s="1579">
        <f>'WP-BA'!K167</f>
        <v>2801462.1609517504</v>
      </c>
      <c r="I22" s="1588"/>
      <c r="J22" s="1588"/>
      <c r="K22" s="20"/>
      <c r="L22" s="20"/>
      <c r="M22" s="20"/>
      <c r="N22" s="20"/>
      <c r="O22" s="20"/>
      <c r="P22" s="20"/>
      <c r="Q22" s="20"/>
    </row>
    <row r="23" spans="1:17" s="100" customFormat="1" ht="15.75">
      <c r="A23" s="322">
        <f t="shared" si="0"/>
        <v>6</v>
      </c>
      <c r="B23" s="903"/>
      <c r="C23" s="21">
        <v>357</v>
      </c>
      <c r="D23" s="903"/>
      <c r="E23" s="903" t="s">
        <v>73</v>
      </c>
      <c r="F23" s="20"/>
      <c r="G23" s="20" t="s">
        <v>1644</v>
      </c>
      <c r="H23" s="1579">
        <f>'WP-BA'!K174</f>
        <v>2568471.4135011625</v>
      </c>
      <c r="I23" s="1588"/>
      <c r="J23" s="1588"/>
      <c r="K23" s="20"/>
      <c r="L23" s="20"/>
      <c r="M23" s="20"/>
      <c r="N23" s="20"/>
      <c r="O23" s="20"/>
      <c r="P23" s="20"/>
      <c r="Q23" s="20"/>
    </row>
    <row r="24" spans="1:17" s="100" customFormat="1" ht="15.75">
      <c r="A24" s="322">
        <f t="shared" si="0"/>
        <v>7</v>
      </c>
      <c r="B24" s="903"/>
      <c r="C24" s="21">
        <v>358</v>
      </c>
      <c r="D24" s="903"/>
      <c r="E24" s="903" t="s">
        <v>74</v>
      </c>
      <c r="F24" s="20"/>
      <c r="G24" s="20" t="s">
        <v>1644</v>
      </c>
      <c r="H24" s="1579">
        <f>'WP-BA'!K181</f>
        <v>6105865.5956645031</v>
      </c>
      <c r="I24" s="1588"/>
      <c r="J24" s="1588"/>
      <c r="K24" s="20"/>
      <c r="L24" s="20"/>
      <c r="M24" s="20"/>
      <c r="N24" s="20"/>
      <c r="O24" s="20"/>
      <c r="P24" s="20"/>
      <c r="Q24" s="20"/>
    </row>
    <row r="25" spans="1:17" s="100" customFormat="1" ht="15.75">
      <c r="A25" s="322">
        <f t="shared" si="0"/>
        <v>8</v>
      </c>
      <c r="B25" s="903"/>
      <c r="C25" s="21">
        <v>359</v>
      </c>
      <c r="D25" s="903"/>
      <c r="E25" s="903" t="s">
        <v>75</v>
      </c>
      <c r="F25" s="20"/>
      <c r="G25" s="20" t="s">
        <v>1644</v>
      </c>
      <c r="H25" s="1589">
        <f>'WP-BA'!K191</f>
        <v>251193.31120162216</v>
      </c>
      <c r="I25" s="1588"/>
      <c r="J25" s="1588"/>
      <c r="K25" s="20"/>
      <c r="L25" s="20"/>
      <c r="M25" s="20"/>
      <c r="N25" s="20"/>
      <c r="O25" s="20"/>
      <c r="P25" s="20"/>
      <c r="Q25" s="20"/>
    </row>
    <row r="26" spans="1:17" s="100" customFormat="1" ht="15.75">
      <c r="A26" s="322">
        <f>A25+1</f>
        <v>9</v>
      </c>
      <c r="B26" s="903"/>
      <c r="C26" s="925" t="s">
        <v>850</v>
      </c>
      <c r="D26" s="903"/>
      <c r="F26" s="20"/>
      <c r="G26" s="20"/>
      <c r="H26" s="1588">
        <f>'WP-BA'!K193</f>
        <v>36652396.390000008</v>
      </c>
      <c r="I26" s="1588"/>
      <c r="J26" s="1588"/>
      <c r="K26" s="20"/>
      <c r="L26" s="20"/>
      <c r="M26" s="20"/>
      <c r="N26" s="20"/>
      <c r="O26" s="20"/>
      <c r="P26" s="20"/>
      <c r="Q26" s="20"/>
    </row>
    <row r="27" spans="1:17" s="100" customFormat="1" ht="15.75">
      <c r="A27" s="322"/>
      <c r="B27" s="903"/>
      <c r="C27" s="926"/>
      <c r="D27" s="903"/>
      <c r="F27" s="20"/>
      <c r="G27" s="20"/>
      <c r="H27" s="1588"/>
      <c r="I27" s="1588"/>
      <c r="J27" s="1588"/>
      <c r="K27" s="20"/>
      <c r="L27" s="20"/>
      <c r="M27" s="20"/>
      <c r="N27" s="20"/>
      <c r="O27" s="20"/>
      <c r="P27" s="20"/>
      <c r="Q27" s="20"/>
    </row>
    <row r="28" spans="1:17" s="100" customFormat="1" ht="15.75">
      <c r="A28" s="322">
        <f>A26+1</f>
        <v>10</v>
      </c>
      <c r="B28" s="903"/>
      <c r="C28" s="21">
        <v>390</v>
      </c>
      <c r="D28" s="903"/>
      <c r="E28" s="903" t="s">
        <v>69</v>
      </c>
      <c r="F28" s="20"/>
      <c r="G28" s="20" t="s">
        <v>1644</v>
      </c>
      <c r="H28" s="1310"/>
      <c r="I28" s="1579"/>
      <c r="J28" s="1587">
        <f>'WP-BA'!K23</f>
        <v>2632451.58</v>
      </c>
      <c r="K28" s="20"/>
      <c r="L28" s="20"/>
      <c r="M28" s="20"/>
      <c r="N28" s="20"/>
      <c r="O28" s="20"/>
      <c r="P28" s="20"/>
      <c r="Q28" s="20"/>
    </row>
    <row r="29" spans="1:17" s="100" customFormat="1" ht="15.75">
      <c r="A29" s="322">
        <f t="shared" si="0"/>
        <v>11</v>
      </c>
      <c r="B29" s="903"/>
      <c r="C29" s="21">
        <v>391</v>
      </c>
      <c r="D29" s="903"/>
      <c r="E29" s="903" t="s">
        <v>76</v>
      </c>
      <c r="F29" s="927"/>
      <c r="G29" s="20" t="s">
        <v>1644</v>
      </c>
      <c r="H29" s="1310"/>
      <c r="I29" s="1579"/>
      <c r="J29" s="1587">
        <f>'WP-BA'!K41</f>
        <v>11003305.630000001</v>
      </c>
      <c r="K29" s="20"/>
      <c r="L29" s="20"/>
      <c r="M29" s="20"/>
      <c r="N29" s="20"/>
      <c r="O29" s="20"/>
      <c r="P29" s="20"/>
      <c r="Q29" s="20"/>
    </row>
    <row r="30" spans="1:17" s="100" customFormat="1" ht="15.75">
      <c r="A30" s="322">
        <f t="shared" si="0"/>
        <v>12</v>
      </c>
      <c r="B30" s="903"/>
      <c r="C30" s="21">
        <v>392</v>
      </c>
      <c r="D30" s="903"/>
      <c r="E30" s="903" t="s">
        <v>77</v>
      </c>
      <c r="F30" s="20"/>
      <c r="G30" s="20" t="s">
        <v>1644</v>
      </c>
      <c r="H30" s="1310"/>
      <c r="I30" s="1579"/>
      <c r="J30" s="1587">
        <f>'WP-BA'!K50</f>
        <v>2005734.75</v>
      </c>
      <c r="K30" s="20"/>
      <c r="L30" s="20"/>
      <c r="M30" s="20"/>
      <c r="N30" s="20"/>
      <c r="O30" s="20"/>
      <c r="P30" s="20"/>
      <c r="Q30" s="20"/>
    </row>
    <row r="31" spans="1:17" s="100" customFormat="1" ht="15.75">
      <c r="A31" s="322">
        <f t="shared" si="0"/>
        <v>13</v>
      </c>
      <c r="B31" s="903"/>
      <c r="C31" s="21">
        <v>393</v>
      </c>
      <c r="D31" s="903"/>
      <c r="E31" s="903" t="s">
        <v>78</v>
      </c>
      <c r="F31" s="20"/>
      <c r="G31" s="20" t="s">
        <v>1644</v>
      </c>
      <c r="H31" s="1310"/>
      <c r="I31" s="1579"/>
      <c r="J31" s="1587">
        <f>'WP-BA'!K58</f>
        <v>35491</v>
      </c>
      <c r="K31" s="20"/>
      <c r="L31" s="20"/>
      <c r="M31" s="20"/>
      <c r="N31" s="20"/>
      <c r="O31" s="20"/>
      <c r="P31" s="20"/>
      <c r="Q31" s="20"/>
    </row>
    <row r="32" spans="1:17" s="100" customFormat="1" ht="15.75">
      <c r="A32" s="322">
        <f t="shared" si="0"/>
        <v>14</v>
      </c>
      <c r="B32" s="903"/>
      <c r="C32" s="21">
        <v>394</v>
      </c>
      <c r="D32" s="903"/>
      <c r="E32" s="903" t="s">
        <v>79</v>
      </c>
      <c r="F32" s="20"/>
      <c r="G32" s="20" t="s">
        <v>1644</v>
      </c>
      <c r="H32" s="1310"/>
      <c r="I32" s="1579"/>
      <c r="J32" s="1587">
        <f>'WP-BA'!K67</f>
        <v>829586.75</v>
      </c>
      <c r="K32" s="20"/>
      <c r="L32" s="20"/>
      <c r="M32" s="20"/>
      <c r="N32" s="20"/>
      <c r="O32" s="20"/>
      <c r="P32" s="20"/>
      <c r="Q32" s="20"/>
    </row>
    <row r="33" spans="1:17" s="100" customFormat="1" ht="15.75">
      <c r="A33" s="322">
        <f t="shared" si="0"/>
        <v>15</v>
      </c>
      <c r="B33" s="903"/>
      <c r="C33" s="21">
        <v>395</v>
      </c>
      <c r="D33" s="903"/>
      <c r="E33" s="903" t="s">
        <v>80</v>
      </c>
      <c r="F33" s="20"/>
      <c r="G33" s="20" t="s">
        <v>1644</v>
      </c>
      <c r="H33" s="1310"/>
      <c r="I33" s="1587"/>
      <c r="J33" s="1587">
        <f>'WP-BA'!K76</f>
        <v>256158.35</v>
      </c>
      <c r="K33" s="20"/>
      <c r="L33" s="20"/>
      <c r="M33" s="20"/>
      <c r="N33" s="20"/>
      <c r="O33" s="20"/>
      <c r="P33" s="20"/>
      <c r="Q33" s="20"/>
    </row>
    <row r="34" spans="1:17" s="100" customFormat="1" ht="15.75">
      <c r="A34" s="322">
        <f t="shared" si="0"/>
        <v>16</v>
      </c>
      <c r="B34" s="903"/>
      <c r="C34" s="21">
        <v>396</v>
      </c>
      <c r="D34" s="903"/>
      <c r="E34" s="903" t="s">
        <v>81</v>
      </c>
      <c r="F34" s="20"/>
      <c r="G34" s="20" t="s">
        <v>1644</v>
      </c>
      <c r="H34" s="1310"/>
      <c r="I34" s="1579"/>
      <c r="J34" s="1587">
        <f>'WP-BA'!K85</f>
        <v>1199344.29</v>
      </c>
      <c r="K34" s="20"/>
      <c r="L34" s="20"/>
      <c r="M34" s="20"/>
      <c r="N34" s="20"/>
      <c r="O34" s="20"/>
      <c r="P34" s="20"/>
      <c r="Q34" s="20"/>
    </row>
    <row r="35" spans="1:17" s="100" customFormat="1" ht="15.75">
      <c r="A35" s="322">
        <f t="shared" si="0"/>
        <v>17</v>
      </c>
      <c r="B35" s="903"/>
      <c r="C35" s="21">
        <v>397</v>
      </c>
      <c r="D35" s="903"/>
      <c r="E35" s="903" t="s">
        <v>82</v>
      </c>
      <c r="F35" s="20"/>
      <c r="G35" s="20" t="s">
        <v>1644</v>
      </c>
      <c r="H35" s="1310"/>
      <c r="I35" s="1579"/>
      <c r="J35" s="1587">
        <f>'WP-BA'!K96</f>
        <v>956342.76</v>
      </c>
      <c r="K35" s="20"/>
      <c r="L35" s="20"/>
      <c r="M35" s="20"/>
      <c r="N35" s="20"/>
      <c r="O35" s="20"/>
      <c r="P35" s="20"/>
      <c r="Q35" s="20"/>
    </row>
    <row r="36" spans="1:17" s="100" customFormat="1" ht="15.75">
      <c r="A36" s="322">
        <f t="shared" si="0"/>
        <v>18</v>
      </c>
      <c r="B36" s="903"/>
      <c r="C36" s="21">
        <v>398</v>
      </c>
      <c r="D36" s="903"/>
      <c r="E36" s="903" t="s">
        <v>83</v>
      </c>
      <c r="F36" s="20"/>
      <c r="G36" s="20" t="s">
        <v>1644</v>
      </c>
      <c r="H36" s="1310"/>
      <c r="I36" s="1579"/>
      <c r="J36" s="1587">
        <f>'WP-BA'!K105</f>
        <v>18183050.950000003</v>
      </c>
      <c r="K36" s="20"/>
      <c r="L36" s="20"/>
      <c r="M36" s="20"/>
      <c r="N36" s="20"/>
      <c r="O36" s="20"/>
      <c r="P36" s="20"/>
      <c r="Q36" s="20"/>
    </row>
    <row r="37" spans="1:17" s="100" customFormat="1" ht="15.75">
      <c r="A37" s="322">
        <f t="shared" si="0"/>
        <v>19</v>
      </c>
      <c r="B37" s="903"/>
      <c r="C37" s="21">
        <v>399</v>
      </c>
      <c r="D37" s="903"/>
      <c r="E37" s="903" t="s">
        <v>84</v>
      </c>
      <c r="F37" s="20"/>
      <c r="G37" s="20" t="s">
        <v>1644</v>
      </c>
      <c r="H37" s="1310"/>
      <c r="I37" s="1579"/>
      <c r="J37" s="1590">
        <f>'WP-BA'!K112</f>
        <v>117778</v>
      </c>
      <c r="K37" s="20"/>
      <c r="L37" s="20"/>
      <c r="M37" s="20"/>
      <c r="N37" s="20"/>
      <c r="O37" s="20"/>
      <c r="P37" s="20"/>
      <c r="Q37" s="20"/>
    </row>
    <row r="38" spans="1:17" s="100" customFormat="1" ht="15.75">
      <c r="A38" s="322">
        <f t="shared" si="0"/>
        <v>20</v>
      </c>
      <c r="B38" s="903"/>
      <c r="C38" s="925" t="s">
        <v>703</v>
      </c>
      <c r="D38" s="926"/>
      <c r="E38" s="926"/>
      <c r="F38" s="20"/>
      <c r="G38" s="20"/>
      <c r="H38" s="1310"/>
      <c r="I38" s="1588"/>
      <c r="J38" s="1588">
        <f>SUM(J28:J37)</f>
        <v>37219244.060000002</v>
      </c>
      <c r="K38" s="20"/>
      <c r="L38" s="20"/>
      <c r="M38" s="20"/>
      <c r="N38" s="20"/>
      <c r="O38" s="20"/>
      <c r="P38" s="20"/>
      <c r="Q38" s="20"/>
    </row>
    <row r="39" spans="1:17" s="100" customFormat="1" ht="15.75">
      <c r="A39" s="322"/>
      <c r="B39" s="903"/>
      <c r="C39" s="903"/>
      <c r="D39" s="903"/>
      <c r="E39" s="926"/>
      <c r="F39" s="20"/>
      <c r="G39" s="20"/>
      <c r="H39" s="1588"/>
      <c r="I39" s="1588"/>
      <c r="J39" s="1588"/>
      <c r="K39" s="20"/>
      <c r="L39" s="20"/>
      <c r="M39" s="20"/>
      <c r="N39" s="20"/>
      <c r="O39" s="20"/>
      <c r="P39" s="20"/>
      <c r="Q39" s="20"/>
    </row>
    <row r="40" spans="1:17" s="100" customFormat="1" ht="15.75">
      <c r="A40" s="322"/>
      <c r="B40" s="903"/>
      <c r="C40" s="925" t="s">
        <v>183</v>
      </c>
      <c r="D40" s="903"/>
      <c r="F40" s="20"/>
      <c r="G40" s="20"/>
      <c r="H40" s="1588"/>
      <c r="I40" s="1588"/>
      <c r="J40" s="1588"/>
      <c r="K40" s="20"/>
      <c r="L40" s="20"/>
      <c r="M40" s="20"/>
      <c r="N40" s="20"/>
      <c r="O40" s="20"/>
      <c r="P40" s="20"/>
      <c r="Q40" s="20"/>
    </row>
    <row r="41" spans="1:17" s="100" customFormat="1" ht="15.75">
      <c r="A41" s="322">
        <f>A38+1</f>
        <v>21</v>
      </c>
      <c r="B41" s="903"/>
      <c r="C41" s="903"/>
      <c r="D41" s="903"/>
      <c r="E41" s="368" t="s">
        <v>356</v>
      </c>
      <c r="F41" s="368"/>
      <c r="G41" s="1247" t="s">
        <v>905</v>
      </c>
      <c r="H41" s="1591">
        <f>'B2-Plant'!L37</f>
        <v>2178735.56</v>
      </c>
      <c r="I41" s="1579"/>
      <c r="J41" s="1588"/>
      <c r="K41" s="928"/>
      <c r="L41" s="928"/>
      <c r="M41" s="928"/>
      <c r="N41" s="928"/>
      <c r="O41" s="928"/>
      <c r="P41" s="928"/>
      <c r="Q41" s="928"/>
    </row>
    <row r="42" spans="1:17" s="100" customFormat="1" ht="15.75">
      <c r="A42" s="322">
        <f t="shared" si="0"/>
        <v>22</v>
      </c>
      <c r="B42" s="20"/>
      <c r="C42" s="20"/>
      <c r="D42" s="20"/>
      <c r="E42" s="368" t="s">
        <v>146</v>
      </c>
      <c r="F42" s="368"/>
      <c r="G42" s="1247" t="s">
        <v>906</v>
      </c>
      <c r="H42" s="1591">
        <f>'B2-Plant'!L36</f>
        <v>-990508</v>
      </c>
      <c r="I42" s="1592"/>
      <c r="J42" s="1592"/>
      <c r="K42" s="928"/>
      <c r="L42" s="928"/>
      <c r="M42" s="928"/>
      <c r="N42" s="928"/>
      <c r="O42" s="928"/>
      <c r="P42" s="928"/>
      <c r="Q42" s="928"/>
    </row>
    <row r="43" spans="1:17" s="100" customFormat="1" ht="15.75">
      <c r="A43" s="322">
        <f t="shared" si="0"/>
        <v>23</v>
      </c>
      <c r="B43" s="20"/>
      <c r="C43" s="20"/>
      <c r="D43" s="20"/>
      <c r="E43" s="368" t="s">
        <v>246</v>
      </c>
      <c r="F43" s="368"/>
      <c r="G43" s="1247" t="s">
        <v>907</v>
      </c>
      <c r="H43" s="1591">
        <f>'B2-Plant'!L34</f>
        <v>-1608459</v>
      </c>
      <c r="I43" s="1592"/>
      <c r="J43" s="1592"/>
      <c r="K43" s="928"/>
      <c r="L43" s="928"/>
      <c r="M43" s="928"/>
      <c r="N43" s="928"/>
      <c r="O43" s="928"/>
      <c r="P43" s="928"/>
      <c r="Q43" s="928"/>
    </row>
    <row r="44" spans="1:17" s="100" customFormat="1" ht="15.75">
      <c r="A44" s="322">
        <f t="shared" si="0"/>
        <v>24</v>
      </c>
      <c r="B44" s="20"/>
      <c r="C44" s="20"/>
      <c r="D44" s="20"/>
      <c r="E44" s="368" t="s">
        <v>145</v>
      </c>
      <c r="F44" s="368"/>
      <c r="G44" s="1247" t="s">
        <v>908</v>
      </c>
      <c r="H44" s="1591">
        <f>'B2-Plant'!L35</f>
        <v>-848249</v>
      </c>
      <c r="I44" s="1592"/>
      <c r="J44" s="1592"/>
      <c r="K44" s="928"/>
      <c r="L44" s="928"/>
      <c r="M44" s="928"/>
      <c r="N44" s="928"/>
      <c r="O44" s="928"/>
      <c r="P44" s="928"/>
      <c r="Q44" s="928"/>
    </row>
    <row r="45" spans="1:17" s="100" customFormat="1" ht="15.75">
      <c r="A45" s="322">
        <f t="shared" si="0"/>
        <v>25</v>
      </c>
      <c r="B45" s="903"/>
      <c r="D45" s="20"/>
      <c r="E45" s="1444" t="s">
        <v>1645</v>
      </c>
      <c r="F45" s="368"/>
      <c r="G45" s="907" t="s">
        <v>909</v>
      </c>
      <c r="H45" s="1593"/>
      <c r="I45" s="1579"/>
      <c r="J45" s="1577">
        <f>-'WP-BG'!H43</f>
        <v>-15782454.749999998</v>
      </c>
      <c r="K45" s="928"/>
      <c r="L45" s="928"/>
      <c r="M45" s="928"/>
      <c r="N45" s="928"/>
      <c r="O45" s="928"/>
      <c r="P45" s="928"/>
      <c r="Q45" s="929"/>
    </row>
    <row r="46" spans="1:17" s="100" customFormat="1" ht="16.5" thickBot="1">
      <c r="A46" s="322"/>
      <c r="B46" s="20"/>
      <c r="C46" s="20"/>
      <c r="D46" s="20"/>
      <c r="E46" s="20"/>
      <c r="F46" s="20"/>
      <c r="G46" s="20"/>
      <c r="H46" s="1579"/>
      <c r="I46" s="1579"/>
      <c r="J46" s="1579"/>
      <c r="K46" s="20"/>
      <c r="L46" s="20"/>
      <c r="M46" s="20"/>
      <c r="N46" s="20"/>
      <c r="O46" s="20"/>
      <c r="P46" s="20"/>
      <c r="Q46" s="20"/>
    </row>
    <row r="47" spans="1:17" s="100" customFormat="1" ht="17.25" thickTop="1" thickBot="1">
      <c r="A47" s="322">
        <f>A45+1</f>
        <v>26</v>
      </c>
      <c r="B47" s="20"/>
      <c r="C47" s="20"/>
      <c r="D47" s="20"/>
      <c r="E47" s="759" t="s">
        <v>32</v>
      </c>
      <c r="F47" s="20"/>
      <c r="G47" s="20" t="s">
        <v>1709</v>
      </c>
      <c r="H47" s="899">
        <f>SUM(H26:H45)</f>
        <v>35383915.95000001</v>
      </c>
      <c r="I47" s="930"/>
      <c r="J47" s="899">
        <f>SUM(J38:J46)</f>
        <v>21436789.310000002</v>
      </c>
      <c r="K47" s="20"/>
      <c r="L47" s="1674">
        <f>+'E1-Labor Ratio'!H21</f>
        <v>0.29502901668219966</v>
      </c>
      <c r="M47" s="14" t="s">
        <v>360</v>
      </c>
      <c r="N47" s="899">
        <f>J47*L47</f>
        <v>6324474.8709527897</v>
      </c>
      <c r="O47" s="899"/>
      <c r="P47" s="931">
        <f>H47+N47</f>
        <v>41708390.820952803</v>
      </c>
    </row>
    <row r="48" spans="1:17" s="100" customFormat="1" ht="16.5" thickTop="1">
      <c r="B48" s="20"/>
      <c r="C48" s="20"/>
      <c r="D48" s="20"/>
      <c r="E48" s="20"/>
      <c r="F48" s="20"/>
      <c r="G48" s="20"/>
      <c r="H48" s="899"/>
      <c r="I48" s="20"/>
      <c r="K48" s="20"/>
      <c r="L48" s="20"/>
      <c r="M48" s="20"/>
      <c r="N48" s="20"/>
      <c r="O48" s="20"/>
      <c r="P48" s="20"/>
      <c r="Q48" s="20"/>
    </row>
    <row r="49" spans="1:17" s="100" customFormat="1" ht="15.75">
      <c r="A49" s="14" t="s">
        <v>1791</v>
      </c>
      <c r="C49" s="20"/>
      <c r="D49" s="20"/>
      <c r="E49" s="20"/>
      <c r="F49" s="20"/>
      <c r="G49" s="20"/>
      <c r="H49" s="899"/>
      <c r="I49" s="20"/>
      <c r="K49" s="20"/>
      <c r="L49" s="20"/>
      <c r="M49" s="20"/>
      <c r="N49" s="20"/>
      <c r="O49" s="20"/>
      <c r="P49" s="20"/>
      <c r="Q49" s="20"/>
    </row>
    <row r="50" spans="1:17" s="64" customFormat="1" ht="15.75">
      <c r="C50" s="138"/>
      <c r="D50" s="138"/>
      <c r="E50" s="138"/>
      <c r="F50" s="138"/>
      <c r="G50" s="134"/>
      <c r="H50" s="440"/>
      <c r="J50" s="134"/>
      <c r="K50" s="134"/>
      <c r="L50" s="134"/>
      <c r="M50" s="134"/>
      <c r="N50" s="134"/>
      <c r="O50" s="134"/>
      <c r="P50" s="134"/>
      <c r="Q50" s="134"/>
    </row>
    <row r="51" spans="1:17" s="64" customFormat="1" ht="15.75">
      <c r="B51" s="139"/>
      <c r="C51" s="139"/>
      <c r="D51" s="139"/>
      <c r="E51" s="139"/>
      <c r="F51" s="138"/>
      <c r="G51" s="183"/>
      <c r="H51" s="138"/>
      <c r="I51" s="134"/>
      <c r="J51" s="136"/>
      <c r="K51" s="134"/>
      <c r="L51" s="134"/>
      <c r="M51" s="134"/>
      <c r="N51" s="134"/>
      <c r="O51" s="134"/>
      <c r="P51" s="134"/>
      <c r="Q51" s="134"/>
    </row>
    <row r="52" spans="1:17" s="64" customFormat="1" ht="15.75">
      <c r="B52" s="134"/>
      <c r="C52" s="134"/>
      <c r="D52" s="134"/>
      <c r="E52" s="134"/>
      <c r="F52" s="134"/>
      <c r="G52" s="134"/>
      <c r="H52" s="134"/>
      <c r="I52" s="134"/>
      <c r="J52" s="134"/>
      <c r="K52" s="134"/>
      <c r="L52" s="134"/>
      <c r="M52" s="134"/>
      <c r="N52" s="134"/>
      <c r="O52" s="134"/>
      <c r="P52" s="134"/>
      <c r="Q52" s="134"/>
    </row>
    <row r="53" spans="1:17" ht="18">
      <c r="B53" s="11"/>
      <c r="C53" s="11"/>
      <c r="D53" s="11"/>
      <c r="E53" s="11"/>
      <c r="F53" s="11"/>
      <c r="G53" s="11"/>
      <c r="H53" s="11"/>
      <c r="I53" s="11"/>
      <c r="J53" s="11"/>
      <c r="K53" s="11"/>
      <c r="L53" s="11"/>
      <c r="M53" s="11"/>
      <c r="N53" s="11"/>
      <c r="O53" s="11"/>
      <c r="P53" s="11"/>
      <c r="Q53" s="11"/>
    </row>
    <row r="54" spans="1:17" ht="18">
      <c r="B54" s="11"/>
      <c r="C54" s="11"/>
      <c r="D54" s="11"/>
      <c r="E54" s="11"/>
      <c r="F54" s="11"/>
      <c r="G54" s="11"/>
      <c r="H54" s="11"/>
      <c r="I54" s="11"/>
      <c r="J54" s="11"/>
      <c r="K54" s="11"/>
      <c r="L54" s="11"/>
      <c r="M54" s="11"/>
      <c r="N54" s="11"/>
      <c r="O54" s="11"/>
      <c r="P54" s="11"/>
      <c r="Q54" s="11"/>
    </row>
    <row r="55" spans="1:17" ht="18">
      <c r="B55" s="11"/>
      <c r="C55" s="11"/>
      <c r="D55" s="11"/>
      <c r="E55" s="11"/>
      <c r="F55" s="11"/>
      <c r="G55" s="11"/>
      <c r="H55" s="11"/>
      <c r="I55" s="11"/>
      <c r="J55" s="11"/>
      <c r="K55" s="11"/>
      <c r="L55" s="11"/>
      <c r="M55" s="11"/>
      <c r="N55" s="11"/>
      <c r="O55" s="11"/>
      <c r="P55" s="11"/>
      <c r="Q55" s="11"/>
    </row>
  </sheetData>
  <customSheetViews>
    <customSheetView guid="{B321D76C-CDE5-48BB-9CDE-80FF97D58FCF}" colorId="22" showPageBreaks="1" showGridLines="0" fitToPage="1" printArea="1" view="pageBreakPreview" topLeftCell="G31">
      <selection activeCell="D33" sqref="D33"/>
      <colBreaks count="1" manualBreakCount="1">
        <brk id="22" max="1048575" man="1"/>
      </colBreaks>
      <pageMargins left="0.25" right="0.25" top="0.25" bottom="0.25" header="0.5" footer="0.5"/>
      <printOptions horizontalCentered="1"/>
      <pageSetup scale="63" orientation="landscape" r:id="rId1"/>
      <headerFooter alignWithMargins="0"/>
    </customSheetView>
  </customSheetViews>
  <mergeCells count="5">
    <mergeCell ref="A4:Q4"/>
    <mergeCell ref="A5:Q5"/>
    <mergeCell ref="A9:Q9"/>
    <mergeCell ref="A6:Q6"/>
    <mergeCell ref="A8:Q8"/>
  </mergeCells>
  <printOptions horizontalCentered="1"/>
  <pageMargins left="0.25" right="0.25" top="0.25" bottom="0.25" header="0.5" footer="0.5"/>
  <pageSetup scale="62" orientation="landscape" r:id="rId2"/>
  <headerFooter alignWithMargins="0"/>
  <colBreaks count="1" manualBreakCount="1">
    <brk id="2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V89"/>
  <sheetViews>
    <sheetView tabSelected="1" view="pageBreakPreview" topLeftCell="A22" zoomScale="80" zoomScaleNormal="100" zoomScaleSheetLayoutView="80" workbookViewId="0">
      <selection activeCell="C30" sqref="C30"/>
    </sheetView>
  </sheetViews>
  <sheetFormatPr defaultColWidth="9" defaultRowHeight="13.5" customHeight="1"/>
  <cols>
    <col min="1" max="1" width="0.75" style="63" customWidth="1"/>
    <col min="2" max="2" width="5" style="63" customWidth="1"/>
    <col min="3" max="3" width="0.5" style="63" customWidth="1"/>
    <col min="4" max="4" width="18.5" style="63" customWidth="1"/>
    <col min="5" max="5" width="18.5" style="143" customWidth="1"/>
    <col min="6" max="6" width="10.5" style="141" customWidth="1"/>
    <col min="7" max="7" width="33.375" style="63" bestFit="1" customWidth="1"/>
    <col min="8" max="8" width="23" style="63" customWidth="1"/>
    <col min="9" max="9" width="16.375" style="63" customWidth="1"/>
    <col min="10" max="10" width="19.375" style="63" customWidth="1"/>
    <col min="11" max="11" width="29.125" style="63" customWidth="1"/>
    <col min="12" max="12" width="18.75" style="63" customWidth="1"/>
    <col min="13" max="13" width="19.375" style="63" customWidth="1"/>
    <col min="14" max="14" width="16.875" style="63" customWidth="1"/>
    <col min="15" max="15" width="18" style="63" customWidth="1"/>
    <col min="16" max="16" width="14.75" style="63" customWidth="1"/>
    <col min="17" max="17" width="15.75" style="63" customWidth="1"/>
    <col min="18" max="18" width="16.875" style="63" customWidth="1"/>
    <col min="19" max="19" width="1.875" style="63" customWidth="1"/>
    <col min="20" max="20" width="16.125" style="63" customWidth="1"/>
    <col min="21" max="21" width="1.5" style="27" customWidth="1"/>
    <col min="22" max="22" width="10.375" style="27" bestFit="1" customWidth="1"/>
    <col min="23" max="16384" width="9" style="27"/>
  </cols>
  <sheetData>
    <row r="1" spans="1:21" s="347" customFormat="1" ht="21">
      <c r="A1" s="320"/>
      <c r="B1" s="642" t="s">
        <v>911</v>
      </c>
      <c r="C1" s="345"/>
      <c r="D1" s="320"/>
      <c r="F1" s="339"/>
      <c r="G1" s="345"/>
      <c r="H1" s="345"/>
      <c r="I1" s="345"/>
      <c r="J1" s="345"/>
      <c r="K1" s="345"/>
      <c r="L1" s="345"/>
      <c r="M1" s="345"/>
      <c r="N1" s="345"/>
      <c r="O1" s="345"/>
      <c r="P1" s="345"/>
      <c r="Q1" s="345"/>
      <c r="R1" s="320"/>
      <c r="S1" s="344"/>
      <c r="T1" s="340"/>
    </row>
    <row r="2" spans="1:21" s="349" customFormat="1" ht="15.75" customHeight="1">
      <c r="A2" s="320"/>
      <c r="B2" s="345"/>
      <c r="C2" s="345"/>
      <c r="D2" s="320"/>
      <c r="E2" s="346"/>
      <c r="F2" s="339"/>
      <c r="G2" s="345"/>
      <c r="H2" s="345"/>
      <c r="I2" s="345"/>
      <c r="J2" s="345"/>
      <c r="K2" s="345"/>
      <c r="L2" s="345"/>
      <c r="M2" s="345"/>
      <c r="N2" s="345"/>
      <c r="O2" s="345"/>
      <c r="P2" s="345"/>
      <c r="Q2" s="345"/>
      <c r="R2" s="345"/>
      <c r="S2" s="345"/>
      <c r="T2" s="348"/>
      <c r="U2" s="21"/>
    </row>
    <row r="3" spans="1:21" s="349" customFormat="1" ht="15.75">
      <c r="A3" s="1796" t="s">
        <v>199</v>
      </c>
      <c r="B3" s="1796"/>
      <c r="C3" s="1796"/>
      <c r="D3" s="1796"/>
      <c r="E3" s="1796"/>
      <c r="F3" s="1796"/>
      <c r="G3" s="1796"/>
      <c r="H3" s="1796"/>
      <c r="I3" s="1796"/>
      <c r="J3" s="1796"/>
      <c r="K3" s="1796"/>
      <c r="L3" s="1796"/>
      <c r="M3" s="1796"/>
      <c r="N3" s="1796"/>
      <c r="O3" s="1796"/>
      <c r="P3" s="1796"/>
      <c r="Q3" s="1796"/>
      <c r="R3" s="1796"/>
      <c r="S3" s="1796"/>
      <c r="T3" s="1796"/>
      <c r="U3" s="1796"/>
    </row>
    <row r="4" spans="1:21" s="349" customFormat="1" ht="15.75">
      <c r="A4" s="1796" t="s">
        <v>103</v>
      </c>
      <c r="B4" s="1796"/>
      <c r="C4" s="1796"/>
      <c r="D4" s="1796"/>
      <c r="E4" s="1796"/>
      <c r="F4" s="1796"/>
      <c r="G4" s="1796"/>
      <c r="H4" s="1796"/>
      <c r="I4" s="1796"/>
      <c r="J4" s="1796"/>
      <c r="K4" s="1796"/>
      <c r="L4" s="1796"/>
      <c r="M4" s="1796"/>
      <c r="N4" s="1796"/>
      <c r="O4" s="1796"/>
      <c r="P4" s="1796"/>
      <c r="Q4" s="1796"/>
      <c r="R4" s="1796"/>
      <c r="S4" s="1796"/>
      <c r="T4" s="1796"/>
      <c r="U4" s="1796"/>
    </row>
    <row r="5" spans="1:21" s="349" customFormat="1" ht="15.75">
      <c r="A5" s="1792" t="s">
        <v>2036</v>
      </c>
      <c r="B5" s="1792"/>
      <c r="C5" s="1792"/>
      <c r="D5" s="1792"/>
      <c r="E5" s="1792"/>
      <c r="F5" s="1792"/>
      <c r="G5" s="1792"/>
      <c r="H5" s="1792"/>
      <c r="I5" s="1792"/>
      <c r="J5" s="1792"/>
      <c r="K5" s="1792"/>
      <c r="L5" s="1792"/>
      <c r="M5" s="1792"/>
      <c r="N5" s="1792"/>
      <c r="O5" s="1792"/>
      <c r="P5" s="1792"/>
      <c r="Q5" s="1792"/>
      <c r="R5" s="1792"/>
      <c r="S5" s="1792"/>
      <c r="T5" s="1792"/>
      <c r="U5" s="336"/>
    </row>
    <row r="6" spans="1:21" s="349" customFormat="1" ht="12.75">
      <c r="A6" s="320"/>
      <c r="B6" s="320"/>
      <c r="C6" s="320"/>
      <c r="D6" s="320"/>
      <c r="E6" s="350"/>
      <c r="F6" s="141"/>
      <c r="G6" s="320"/>
      <c r="H6" s="320"/>
      <c r="I6" s="320"/>
      <c r="J6" s="320"/>
      <c r="K6" s="320"/>
      <c r="L6" s="320"/>
      <c r="M6" s="320"/>
      <c r="N6" s="320"/>
      <c r="O6" s="320"/>
      <c r="P6" s="320"/>
      <c r="Q6" s="320"/>
      <c r="R6" s="320"/>
      <c r="S6" s="320"/>
      <c r="T6" s="320"/>
    </row>
    <row r="7" spans="1:21" s="349" customFormat="1" ht="15.75">
      <c r="A7" s="1796" t="s">
        <v>910</v>
      </c>
      <c r="B7" s="1796"/>
      <c r="C7" s="1796"/>
      <c r="D7" s="1796"/>
      <c r="E7" s="1796"/>
      <c r="F7" s="1796"/>
      <c r="G7" s="1796"/>
      <c r="H7" s="1796"/>
      <c r="I7" s="1796"/>
      <c r="J7" s="1796"/>
      <c r="K7" s="1796"/>
      <c r="L7" s="1796"/>
      <c r="M7" s="1796"/>
      <c r="N7" s="1796"/>
      <c r="O7" s="1796"/>
      <c r="P7" s="1796"/>
      <c r="Q7" s="1796"/>
      <c r="R7" s="1796"/>
      <c r="S7" s="1796"/>
      <c r="T7" s="1796"/>
      <c r="U7" s="1796"/>
    </row>
    <row r="8" spans="1:21" s="349" customFormat="1" ht="15.75">
      <c r="A8" s="1796" t="s">
        <v>205</v>
      </c>
      <c r="B8" s="1796"/>
      <c r="C8" s="1796"/>
      <c r="D8" s="1796"/>
      <c r="E8" s="1796"/>
      <c r="F8" s="1796"/>
      <c r="G8" s="1796"/>
      <c r="H8" s="1796"/>
      <c r="I8" s="1796"/>
      <c r="J8" s="1796"/>
      <c r="K8" s="1796"/>
      <c r="L8" s="1796"/>
      <c r="M8" s="1796"/>
      <c r="N8" s="1796"/>
      <c r="O8" s="1796"/>
      <c r="P8" s="1796"/>
      <c r="Q8" s="1796"/>
      <c r="R8" s="1796"/>
      <c r="S8" s="1796"/>
      <c r="T8" s="1796"/>
      <c r="U8" s="1796"/>
    </row>
    <row r="9" spans="1:21" s="349" customFormat="1" ht="12.75">
      <c r="A9" s="320"/>
      <c r="B9" s="320"/>
      <c r="C9" s="320"/>
      <c r="D9" s="342"/>
      <c r="E9" s="342"/>
      <c r="F9" s="337"/>
      <c r="G9" s="341"/>
      <c r="H9" s="341"/>
      <c r="I9" s="341"/>
      <c r="J9" s="341"/>
      <c r="K9" s="341"/>
      <c r="L9" s="341"/>
      <c r="M9" s="341"/>
      <c r="N9" s="341"/>
      <c r="O9" s="341"/>
      <c r="P9" s="341"/>
      <c r="Q9" s="341"/>
      <c r="R9" s="341"/>
      <c r="S9" s="341"/>
      <c r="T9" s="341"/>
    </row>
    <row r="10" spans="1:21" s="349" customFormat="1" ht="12.75">
      <c r="A10" s="320"/>
      <c r="B10" s="320"/>
      <c r="C10" s="320"/>
      <c r="D10" s="342"/>
      <c r="E10" s="342"/>
      <c r="F10" s="337"/>
      <c r="G10" s="341"/>
      <c r="H10" s="341"/>
      <c r="I10" s="338"/>
      <c r="J10" s="338"/>
      <c r="K10" s="338"/>
      <c r="L10" s="338"/>
      <c r="M10" s="320"/>
      <c r="N10" s="320"/>
      <c r="O10" s="320"/>
      <c r="P10" s="320"/>
      <c r="Q10" s="341"/>
      <c r="R10" s="341"/>
      <c r="S10" s="341"/>
      <c r="T10" s="341"/>
    </row>
    <row r="11" spans="1:21" s="320" customFormat="1" ht="18" customHeight="1">
      <c r="D11" s="342"/>
      <c r="E11" s="350"/>
      <c r="F11" s="141"/>
      <c r="I11" s="1793">
        <v>2018</v>
      </c>
      <c r="J11" s="1794"/>
      <c r="K11" s="1794"/>
      <c r="L11" s="1795"/>
      <c r="M11" s="1793">
        <v>2017</v>
      </c>
      <c r="N11" s="1794"/>
      <c r="O11" s="1794"/>
      <c r="P11" s="1795"/>
      <c r="Q11" s="1793" t="s">
        <v>2055</v>
      </c>
      <c r="R11" s="1794"/>
      <c r="S11" s="1794"/>
      <c r="T11" s="1795"/>
    </row>
    <row r="12" spans="1:21" s="320" customFormat="1" ht="18" customHeight="1">
      <c r="D12" s="342"/>
      <c r="E12" s="350"/>
      <c r="F12" s="141"/>
      <c r="L12" s="338"/>
      <c r="Q12" s="343"/>
      <c r="R12" s="343"/>
      <c r="S12" s="351"/>
      <c r="T12" s="337" t="s">
        <v>216</v>
      </c>
    </row>
    <row r="13" spans="1:21" s="349" customFormat="1" ht="18" customHeight="1">
      <c r="B13" s="849" t="s">
        <v>58</v>
      </c>
      <c r="D13" s="342"/>
      <c r="E13" s="932"/>
      <c r="F13" s="933"/>
      <c r="I13" s="934" t="s">
        <v>234</v>
      </c>
      <c r="J13" s="934" t="s">
        <v>150</v>
      </c>
      <c r="K13" s="934" t="s">
        <v>234</v>
      </c>
      <c r="L13" s="934" t="s">
        <v>68</v>
      </c>
      <c r="M13" s="934" t="s">
        <v>234</v>
      </c>
      <c r="N13" s="934" t="s">
        <v>150</v>
      </c>
      <c r="O13" s="934" t="s">
        <v>234</v>
      </c>
      <c r="P13" s="934" t="s">
        <v>68</v>
      </c>
      <c r="Q13" s="934" t="s">
        <v>234</v>
      </c>
      <c r="R13" s="934" t="s">
        <v>150</v>
      </c>
      <c r="S13" s="935"/>
      <c r="T13" s="934" t="s">
        <v>234</v>
      </c>
    </row>
    <row r="14" spans="1:21" s="349" customFormat="1" ht="18" customHeight="1">
      <c r="B14" s="853" t="s">
        <v>59</v>
      </c>
      <c r="D14" s="342"/>
      <c r="E14" s="932"/>
      <c r="F14" s="936"/>
      <c r="G14" s="937"/>
      <c r="H14" s="937"/>
      <c r="I14" s="936" t="s">
        <v>792</v>
      </c>
      <c r="J14" s="936" t="s">
        <v>280</v>
      </c>
      <c r="K14" s="936" t="s">
        <v>849</v>
      </c>
      <c r="L14" s="936" t="s">
        <v>794</v>
      </c>
      <c r="M14" s="936" t="s">
        <v>792</v>
      </c>
      <c r="N14" s="936" t="s">
        <v>280</v>
      </c>
      <c r="O14" s="936" t="s">
        <v>849</v>
      </c>
      <c r="P14" s="936" t="s">
        <v>794</v>
      </c>
      <c r="Q14" s="936" t="s">
        <v>792</v>
      </c>
      <c r="R14" s="936" t="s">
        <v>280</v>
      </c>
      <c r="S14" s="936"/>
      <c r="T14" s="936" t="s">
        <v>792</v>
      </c>
    </row>
    <row r="15" spans="1:21" s="349" customFormat="1" ht="18" customHeight="1">
      <c r="B15" s="938"/>
      <c r="E15" s="932"/>
      <c r="F15" s="933"/>
      <c r="I15" s="939" t="s">
        <v>192</v>
      </c>
      <c r="J15" s="939" t="s">
        <v>193</v>
      </c>
      <c r="K15" s="939" t="s">
        <v>194</v>
      </c>
      <c r="L15" s="939" t="s">
        <v>195</v>
      </c>
      <c r="M15" s="939" t="s">
        <v>196</v>
      </c>
      <c r="N15" s="939" t="s">
        <v>371</v>
      </c>
      <c r="O15" s="939" t="s">
        <v>372</v>
      </c>
      <c r="P15" s="939" t="s">
        <v>901</v>
      </c>
      <c r="Q15" s="939" t="s">
        <v>902</v>
      </c>
      <c r="R15" s="939" t="s">
        <v>903</v>
      </c>
      <c r="S15" s="933"/>
      <c r="T15" s="939" t="s">
        <v>904</v>
      </c>
    </row>
    <row r="16" spans="1:21" s="349" customFormat="1" ht="18" customHeight="1">
      <c r="B16" s="938"/>
      <c r="E16" s="932"/>
      <c r="F16" s="933"/>
      <c r="G16" s="1791" t="s">
        <v>1773</v>
      </c>
      <c r="H16" s="1791"/>
      <c r="I16" s="939"/>
      <c r="J16" s="939"/>
      <c r="K16" s="939"/>
      <c r="L16" s="940"/>
      <c r="M16" s="939"/>
      <c r="N16" s="939"/>
      <c r="O16" s="939"/>
      <c r="P16" s="940"/>
      <c r="Q16" s="939"/>
      <c r="R16" s="939"/>
      <c r="S16" s="933"/>
      <c r="T16" s="939"/>
    </row>
    <row r="17" spans="2:20" s="349" customFormat="1" ht="29.25" customHeight="1">
      <c r="B17" s="938"/>
      <c r="D17" s="935" t="s">
        <v>53</v>
      </c>
      <c r="E17" s="932"/>
      <c r="F17" s="935" t="s">
        <v>455</v>
      </c>
      <c r="G17" s="1483" t="s">
        <v>1730</v>
      </c>
      <c r="H17" s="1483" t="s">
        <v>1771</v>
      </c>
      <c r="I17" s="939"/>
      <c r="J17" s="939"/>
      <c r="K17" s="939"/>
      <c r="L17" s="940"/>
      <c r="M17" s="939"/>
      <c r="N17" s="939"/>
      <c r="O17" s="939"/>
      <c r="P17" s="940"/>
      <c r="Q17" s="939"/>
      <c r="R17" s="939"/>
      <c r="S17" s="933"/>
      <c r="T17" s="939"/>
    </row>
    <row r="18" spans="2:20" s="349" customFormat="1" ht="18" customHeight="1">
      <c r="B18" s="849">
        <v>1</v>
      </c>
      <c r="D18" s="941" t="s">
        <v>706</v>
      </c>
      <c r="E18" s="942"/>
      <c r="F18" s="943" t="s">
        <v>1137</v>
      </c>
      <c r="G18" s="944" t="s">
        <v>1701</v>
      </c>
      <c r="H18" s="1502"/>
      <c r="I18" s="945">
        <f>SUM('WP-BC'!G35:G52)</f>
        <v>104513478.78</v>
      </c>
      <c r="J18" s="946">
        <f>SUM('WP-BC'!H35:H52)</f>
        <v>0</v>
      </c>
      <c r="K18" s="946">
        <f>SUM('WP-BC'!I35:I52)</f>
        <v>104513478.78</v>
      </c>
      <c r="L18" s="946">
        <f>SUM('WP-BC'!J35:J52)</f>
        <v>0</v>
      </c>
      <c r="M18" s="946">
        <f>SUM('WP-BC'!K35:K52)</f>
        <v>104807218.78</v>
      </c>
      <c r="N18" s="946">
        <f>SUM('WP-BC'!L35:L52)</f>
        <v>0</v>
      </c>
      <c r="O18" s="946">
        <f>SUM('WP-BC'!M35:M52)</f>
        <v>104807218.78</v>
      </c>
      <c r="P18" s="946">
        <f>SUM('WP-BC'!N35:N52)</f>
        <v>0</v>
      </c>
      <c r="Q18" s="946">
        <f t="shared" ref="Q18:R21" si="0">AVERAGE(I18,M18)</f>
        <v>104660348.78</v>
      </c>
      <c r="R18" s="946">
        <f t="shared" si="0"/>
        <v>0</v>
      </c>
      <c r="S18" s="946"/>
      <c r="T18" s="947">
        <f>Q18-R18</f>
        <v>104660348.78</v>
      </c>
    </row>
    <row r="19" spans="2:20" s="349" customFormat="1" ht="18" customHeight="1">
      <c r="B19" s="849">
        <f>B18+1</f>
        <v>2</v>
      </c>
      <c r="D19" s="948" t="s">
        <v>611</v>
      </c>
      <c r="E19" s="949"/>
      <c r="F19" s="950" t="s">
        <v>1137</v>
      </c>
      <c r="G19" s="940" t="s">
        <v>1702</v>
      </c>
      <c r="H19" s="940" t="s">
        <v>1782</v>
      </c>
      <c r="I19" s="951">
        <f>'WP-BC'!G104</f>
        <v>2114283400.0199997</v>
      </c>
      <c r="J19" s="952">
        <f>'WP-BC'!H104</f>
        <v>863599866.3499999</v>
      </c>
      <c r="K19" s="952">
        <f>'WP-BC'!I104</f>
        <v>1250683533.6700001</v>
      </c>
      <c r="L19" s="952">
        <f>'WP-BC'!J104</f>
        <v>41205124.130000003</v>
      </c>
      <c r="M19" s="952">
        <f>'WP-BC'!K104</f>
        <v>2101714209.8899999</v>
      </c>
      <c r="N19" s="952">
        <f>'WP-BC'!L104</f>
        <v>830952249.21999979</v>
      </c>
      <c r="O19" s="952">
        <f>'WP-BC'!M104</f>
        <v>1270761960.6700001</v>
      </c>
      <c r="P19" s="952">
        <f>'WP-BC'!N104</f>
        <v>41058930.70000001</v>
      </c>
      <c r="Q19" s="952">
        <f t="shared" si="0"/>
        <v>2107998804.9549999</v>
      </c>
      <c r="R19" s="952">
        <f t="shared" si="0"/>
        <v>847276057.78499985</v>
      </c>
      <c r="S19" s="952"/>
      <c r="T19" s="953">
        <f>Q19-R19</f>
        <v>1260722747.1700001</v>
      </c>
    </row>
    <row r="20" spans="2:20" s="954" customFormat="1" ht="18" customHeight="1">
      <c r="B20" s="849">
        <f>B19+1</f>
        <v>3</v>
      </c>
      <c r="D20" s="948" t="s">
        <v>707</v>
      </c>
      <c r="E20" s="955"/>
      <c r="F20" s="950" t="s">
        <v>1137</v>
      </c>
      <c r="G20" s="940" t="s">
        <v>1703</v>
      </c>
      <c r="H20" s="940" t="s">
        <v>1757</v>
      </c>
      <c r="I20" s="956">
        <f>'WP-BC'!G165</f>
        <v>2386571772.0999999</v>
      </c>
      <c r="J20" s="957">
        <f>'WP-BC'!H165</f>
        <v>1260531450.949121</v>
      </c>
      <c r="K20" s="957">
        <f>'WP-BC'!I165</f>
        <v>1126040321.1508784</v>
      </c>
      <c r="L20" s="957">
        <f>'WP-BC'!J165</f>
        <v>87516667.069999993</v>
      </c>
      <c r="M20" s="957">
        <f>'WP-BC'!K165</f>
        <v>2378079000.3299999</v>
      </c>
      <c r="N20" s="957">
        <f>'WP-BC'!L165</f>
        <v>1173014783.8791208</v>
      </c>
      <c r="O20" s="957">
        <f>'WP-BC'!M165</f>
        <v>1205064216.4508786</v>
      </c>
      <c r="P20" s="957">
        <f>'WP-BC'!N165</f>
        <v>90470169.450000003</v>
      </c>
      <c r="Q20" s="957">
        <f t="shared" si="0"/>
        <v>2382325386.2150002</v>
      </c>
      <c r="R20" s="957">
        <f t="shared" si="0"/>
        <v>1216773117.4141209</v>
      </c>
      <c r="S20" s="957"/>
      <c r="T20" s="958">
        <f>Q20-R20</f>
        <v>1165552268.8008792</v>
      </c>
    </row>
    <row r="21" spans="2:20" s="349" customFormat="1" ht="18" customHeight="1">
      <c r="B21" s="849">
        <f>B20+1</f>
        <v>4</v>
      </c>
      <c r="D21" s="959"/>
      <c r="E21" s="960"/>
      <c r="F21" s="961"/>
      <c r="G21" s="962"/>
      <c r="H21" s="962"/>
      <c r="I21" s="963">
        <f t="shared" ref="I21:P21" si="1">SUM(I18:I20)</f>
        <v>4605368650.8999996</v>
      </c>
      <c r="J21" s="964">
        <f t="shared" si="1"/>
        <v>2124131317.2991209</v>
      </c>
      <c r="K21" s="964">
        <f t="shared" si="1"/>
        <v>2481237333.6008787</v>
      </c>
      <c r="L21" s="964">
        <f t="shared" si="1"/>
        <v>128721791.19999999</v>
      </c>
      <c r="M21" s="964">
        <f t="shared" si="1"/>
        <v>4584600429</v>
      </c>
      <c r="N21" s="964">
        <f t="shared" si="1"/>
        <v>2003967033.0991206</v>
      </c>
      <c r="O21" s="964">
        <f t="shared" si="1"/>
        <v>2580633395.9008789</v>
      </c>
      <c r="P21" s="964">
        <f t="shared" si="1"/>
        <v>131529100.15000001</v>
      </c>
      <c r="Q21" s="964">
        <f t="shared" si="0"/>
        <v>4594984539.9499998</v>
      </c>
      <c r="R21" s="964">
        <f t="shared" si="0"/>
        <v>2064049175.1991208</v>
      </c>
      <c r="S21" s="964"/>
      <c r="T21" s="965">
        <f>Q21-R21</f>
        <v>2530935364.7508793</v>
      </c>
    </row>
    <row r="22" spans="2:20" s="349" customFormat="1" ht="18" customHeight="1">
      <c r="B22" s="849"/>
      <c r="E22" s="932"/>
      <c r="F22" s="933"/>
      <c r="I22" s="966"/>
      <c r="J22" s="966"/>
      <c r="K22" s="966"/>
      <c r="L22" s="966"/>
      <c r="M22" s="966"/>
      <c r="N22" s="966"/>
      <c r="O22" s="966"/>
      <c r="P22" s="966"/>
      <c r="Q22" s="967"/>
      <c r="R22" s="967"/>
      <c r="S22" s="952"/>
      <c r="T22" s="967"/>
    </row>
    <row r="23" spans="2:20" s="349" customFormat="1" ht="18" customHeight="1">
      <c r="B23" s="849"/>
      <c r="D23" s="935" t="s">
        <v>27</v>
      </c>
      <c r="E23" s="932"/>
      <c r="F23" s="933"/>
      <c r="G23" s="863"/>
      <c r="H23" s="863"/>
      <c r="I23" s="966"/>
      <c r="J23" s="966"/>
      <c r="K23" s="966"/>
      <c r="L23" s="966"/>
      <c r="M23" s="966"/>
      <c r="N23" s="966"/>
      <c r="O23" s="966"/>
      <c r="P23" s="966"/>
      <c r="Q23" s="967"/>
      <c r="R23" s="967"/>
      <c r="S23" s="952"/>
      <c r="T23" s="967"/>
    </row>
    <row r="24" spans="2:20" s="349" customFormat="1" ht="18" customHeight="1">
      <c r="B24" s="849">
        <f>B21+1</f>
        <v>5</v>
      </c>
      <c r="D24" s="968" t="s">
        <v>708</v>
      </c>
      <c r="E24" s="969"/>
      <c r="F24" s="970" t="s">
        <v>1137</v>
      </c>
      <c r="G24" s="1484" t="s">
        <v>1705</v>
      </c>
      <c r="H24" s="1503"/>
      <c r="I24" s="971">
        <f>SUM('WP-BC'!G18:G24,'WP-BC'!G32:G34)</f>
        <v>47385723.490000002</v>
      </c>
      <c r="J24" s="972">
        <f>SUM('WP-BC'!H18:H24,'WP-BC'!H32:H34)</f>
        <v>0</v>
      </c>
      <c r="K24" s="972">
        <f>SUM('WP-BC'!I18:I24,'WP-BC'!I32:I34)</f>
        <v>47385723.490000002</v>
      </c>
      <c r="L24" s="972">
        <f>SUM('WP-BC'!J18:J24,'WP-BC'!J32:J34)</f>
        <v>0</v>
      </c>
      <c r="M24" s="972">
        <f>SUM('WP-BC'!K18:K24,'WP-BC'!K32:K34)</f>
        <v>47404965.990000002</v>
      </c>
      <c r="N24" s="972">
        <f>SUM('WP-BC'!L18:L24,'WP-BC'!L32:L34)</f>
        <v>0</v>
      </c>
      <c r="O24" s="972">
        <f>SUM('WP-BC'!M18:M24,'WP-BC'!M32:M34)</f>
        <v>47404965.990000002</v>
      </c>
      <c r="P24" s="972">
        <f>SUM('WP-BC'!N18:N24,'WP-BC'!N32:N34)</f>
        <v>0</v>
      </c>
      <c r="Q24" s="972">
        <f t="shared" ref="Q24:R26" si="2">AVERAGE(I24,M24)</f>
        <v>47395344.740000002</v>
      </c>
      <c r="R24" s="972">
        <f t="shared" si="2"/>
        <v>0</v>
      </c>
      <c r="S24" s="972"/>
      <c r="T24" s="973">
        <f>Q24-R24</f>
        <v>47395344.740000002</v>
      </c>
    </row>
    <row r="25" spans="2:20" s="349" customFormat="1" ht="18" customHeight="1">
      <c r="B25" s="849">
        <f>B24+1</f>
        <v>6</v>
      </c>
      <c r="D25" s="948" t="s">
        <v>34</v>
      </c>
      <c r="E25" s="949"/>
      <c r="F25" s="950" t="s">
        <v>1137</v>
      </c>
      <c r="G25" s="940" t="s">
        <v>1704</v>
      </c>
      <c r="H25" s="940" t="s">
        <v>1780</v>
      </c>
      <c r="I25" s="974">
        <f>'WP-BC'!G241</f>
        <v>2228521008.9099998</v>
      </c>
      <c r="J25" s="975">
        <f>'WP-BC'!H241</f>
        <v>1302299196.3744397</v>
      </c>
      <c r="K25" s="975">
        <f>'WP-BC'!I241</f>
        <v>926221812.53555989</v>
      </c>
      <c r="L25" s="975">
        <f>'WP-BC'!J241</f>
        <v>45706621.080000006</v>
      </c>
      <c r="M25" s="975">
        <f>'WP-BC'!K241</f>
        <v>2192878913.7200003</v>
      </c>
      <c r="N25" s="975">
        <f>'WP-BC'!L241</f>
        <v>1268059853.6300228</v>
      </c>
      <c r="O25" s="975">
        <f>'WP-BC'!M241</f>
        <v>924819060.08997726</v>
      </c>
      <c r="P25" s="975">
        <f>'WP-BC'!N241</f>
        <v>47442412.929999992</v>
      </c>
      <c r="Q25" s="975">
        <f t="shared" si="2"/>
        <v>2210699961.3150001</v>
      </c>
      <c r="R25" s="975">
        <f t="shared" si="2"/>
        <v>1285179525.0022311</v>
      </c>
      <c r="S25" s="975"/>
      <c r="T25" s="976">
        <f>Q25-R25</f>
        <v>925520436.31276894</v>
      </c>
    </row>
    <row r="26" spans="2:20" s="349" customFormat="1" ht="18" customHeight="1">
      <c r="B26" s="849">
        <f>B25+1</f>
        <v>7</v>
      </c>
      <c r="D26" s="948"/>
      <c r="E26" s="949"/>
      <c r="F26" s="950"/>
      <c r="G26" s="940"/>
      <c r="H26" s="940"/>
      <c r="I26" s="951">
        <f t="shared" ref="I26:P26" si="3">I24+I25</f>
        <v>2275906732.3999996</v>
      </c>
      <c r="J26" s="952">
        <f t="shared" si="3"/>
        <v>1302299196.3744397</v>
      </c>
      <c r="K26" s="952">
        <f t="shared" si="3"/>
        <v>973607536.0255599</v>
      </c>
      <c r="L26" s="952">
        <f t="shared" si="3"/>
        <v>45706621.080000006</v>
      </c>
      <c r="M26" s="952">
        <f t="shared" si="3"/>
        <v>2240283879.71</v>
      </c>
      <c r="N26" s="952">
        <f t="shared" si="3"/>
        <v>1268059853.6300228</v>
      </c>
      <c r="O26" s="952">
        <f t="shared" si="3"/>
        <v>972224026.07997727</v>
      </c>
      <c r="P26" s="952">
        <f t="shared" si="3"/>
        <v>47442412.929999992</v>
      </c>
      <c r="Q26" s="952">
        <f t="shared" si="2"/>
        <v>2258095306.0549998</v>
      </c>
      <c r="R26" s="952">
        <f t="shared" si="2"/>
        <v>1285179525.0022311</v>
      </c>
      <c r="S26" s="952"/>
      <c r="T26" s="953">
        <f>Q26-R26</f>
        <v>972915781.05276871</v>
      </c>
    </row>
    <row r="27" spans="2:20" s="349" customFormat="1" ht="18" customHeight="1">
      <c r="B27" s="849"/>
      <c r="D27" s="948"/>
      <c r="E27" s="949"/>
      <c r="F27" s="950"/>
      <c r="G27" s="1480"/>
      <c r="H27" s="1480"/>
      <c r="I27" s="951"/>
      <c r="J27" s="952"/>
      <c r="K27" s="952"/>
      <c r="L27" s="952"/>
      <c r="M27" s="952"/>
      <c r="N27" s="952"/>
      <c r="O27" s="952"/>
      <c r="P27" s="952"/>
      <c r="Q27" s="952"/>
      <c r="R27" s="952"/>
      <c r="S27" s="952"/>
      <c r="T27" s="953"/>
    </row>
    <row r="28" spans="2:20" s="349" customFormat="1" ht="18" customHeight="1">
      <c r="B28" s="849">
        <f>B26+1</f>
        <v>8</v>
      </c>
      <c r="D28" s="948" t="s">
        <v>879</v>
      </c>
      <c r="E28" s="949"/>
      <c r="F28" s="950" t="s">
        <v>1137</v>
      </c>
      <c r="G28" s="940"/>
      <c r="H28" s="940"/>
      <c r="I28" s="951">
        <f>-'WP-BC'!G238</f>
        <v>0</v>
      </c>
      <c r="J28" s="952">
        <f>-'WP-BC'!H238</f>
        <v>118768024.06</v>
      </c>
      <c r="K28" s="952">
        <f>-'WP-BC'!I238</f>
        <v>-118768024.06</v>
      </c>
      <c r="L28" s="952">
        <f>-'WP-BC'!J238</f>
        <v>0</v>
      </c>
      <c r="M28" s="952">
        <f>-'WP-BC'!K238</f>
        <v>0</v>
      </c>
      <c r="N28" s="952">
        <f>-'WP-BC'!L238</f>
        <v>110395189.00997718</v>
      </c>
      <c r="O28" s="952">
        <f>-'WP-BC'!M238</f>
        <v>-110395189.00997718</v>
      </c>
      <c r="P28" s="952">
        <f>-'WP-BC'!N238</f>
        <v>0</v>
      </c>
      <c r="Q28" s="952">
        <f>AVERAGE(I28,M28)</f>
        <v>0</v>
      </c>
      <c r="R28" s="952">
        <f>AVERAGE(J28,N28)</f>
        <v>114581606.53498858</v>
      </c>
      <c r="S28" s="952"/>
      <c r="T28" s="953">
        <f>Q28-R28</f>
        <v>-114581606.53498858</v>
      </c>
    </row>
    <row r="29" spans="2:20" s="349" customFormat="1" ht="18" customHeight="1">
      <c r="B29" s="849"/>
      <c r="D29" s="948"/>
      <c r="E29" s="949"/>
      <c r="F29" s="977"/>
      <c r="G29" s="940"/>
      <c r="H29" s="940"/>
      <c r="I29" s="951"/>
      <c r="J29" s="952"/>
      <c r="K29" s="952"/>
      <c r="L29" s="952"/>
      <c r="M29" s="952"/>
      <c r="N29" s="952"/>
      <c r="O29" s="952"/>
      <c r="P29" s="952"/>
      <c r="Q29" s="952"/>
      <c r="R29" s="952"/>
      <c r="S29" s="952"/>
      <c r="T29" s="953"/>
    </row>
    <row r="30" spans="2:20" s="349" customFormat="1" ht="18" customHeight="1">
      <c r="B30" s="849">
        <f>B28+1</f>
        <v>9</v>
      </c>
      <c r="D30" s="978" t="s">
        <v>880</v>
      </c>
      <c r="E30" s="949"/>
      <c r="F30" s="950" t="s">
        <v>1140</v>
      </c>
      <c r="G30" s="940"/>
      <c r="H30" s="940"/>
      <c r="I30" s="974">
        <f>-'WP-BB'!K$75</f>
        <v>-359444662.49000001</v>
      </c>
      <c r="J30" s="975">
        <f>-'WP-BB'!L$75</f>
        <v>-217302839.87</v>
      </c>
      <c r="K30" s="975">
        <f>-'WP-BB'!M$75</f>
        <v>-142141822.62</v>
      </c>
      <c r="L30" s="975">
        <f>-'WP-BB'!N$75</f>
        <v>-9054224.6899999995</v>
      </c>
      <c r="M30" s="975">
        <f>-'WP-BB'!O$75</f>
        <v>-358714865.79999995</v>
      </c>
      <c r="N30" s="975">
        <f>-'WP-BB'!P$75</f>
        <v>-208248615.17999998</v>
      </c>
      <c r="O30" s="975">
        <f>-'WP-BB'!Q$75</f>
        <v>-150466250.62</v>
      </c>
      <c r="P30" s="975">
        <f>-'WP-BB'!R$75</f>
        <v>-10137264.870000001</v>
      </c>
      <c r="Q30" s="975">
        <f>AVERAGE(I30,M30)</f>
        <v>-359079764.14499998</v>
      </c>
      <c r="R30" s="975">
        <f>AVERAGE(J30,N30)</f>
        <v>-212775727.52499998</v>
      </c>
      <c r="S30" s="952"/>
      <c r="T30" s="976">
        <f>Q30-R30</f>
        <v>-146304036.62</v>
      </c>
    </row>
    <row r="31" spans="2:20" s="349" customFormat="1" ht="18" customHeight="1">
      <c r="B31" s="849"/>
      <c r="D31" s="948"/>
      <c r="E31" s="949"/>
      <c r="F31" s="950"/>
      <c r="G31" s="940"/>
      <c r="H31" s="940"/>
      <c r="I31" s="951"/>
      <c r="J31" s="952"/>
      <c r="K31" s="952"/>
      <c r="L31" s="952"/>
      <c r="M31" s="952"/>
      <c r="N31" s="952"/>
      <c r="O31" s="952"/>
      <c r="P31" s="952"/>
      <c r="Q31" s="952"/>
      <c r="R31" s="952"/>
      <c r="S31" s="952"/>
      <c r="T31" s="953"/>
    </row>
    <row r="32" spans="2:20" s="349" customFormat="1" ht="18" customHeight="1">
      <c r="B32" s="849"/>
      <c r="D32" s="979" t="s">
        <v>759</v>
      </c>
      <c r="E32" s="949"/>
      <c r="F32" s="950"/>
      <c r="G32" s="940"/>
      <c r="H32" s="940"/>
      <c r="I32" s="980"/>
      <c r="J32" s="981"/>
      <c r="K32" s="981"/>
      <c r="L32" s="981"/>
      <c r="M32" s="981"/>
      <c r="N32" s="981"/>
      <c r="O32" s="981"/>
      <c r="P32" s="981"/>
      <c r="Q32" s="952"/>
      <c r="R32" s="952"/>
      <c r="S32" s="952"/>
      <c r="T32" s="953"/>
    </row>
    <row r="33" spans="2:22" s="349" customFormat="1" ht="18" customHeight="1">
      <c r="B33" s="849">
        <f>B30+1</f>
        <v>10</v>
      </c>
      <c r="D33" s="948" t="s">
        <v>709</v>
      </c>
      <c r="E33" s="949"/>
      <c r="F33" s="950" t="s">
        <v>1137</v>
      </c>
      <c r="G33" s="1480"/>
      <c r="H33" s="1480"/>
      <c r="I33" s="951">
        <f>-'WP-BC'!G237</f>
        <v>30000000</v>
      </c>
      <c r="J33" s="952">
        <f>-'WP-BC'!H237</f>
        <v>0</v>
      </c>
      <c r="K33" s="952">
        <f>-'WP-BC'!I237</f>
        <v>30000000</v>
      </c>
      <c r="L33" s="952">
        <f>-'WP-BC'!J237</f>
        <v>0</v>
      </c>
      <c r="M33" s="952">
        <f>-'WP-BC'!K237</f>
        <v>30000000</v>
      </c>
      <c r="N33" s="952">
        <f>-'WP-BC'!L237</f>
        <v>0</v>
      </c>
      <c r="O33" s="952">
        <f>-'WP-BC'!M237</f>
        <v>30000000</v>
      </c>
      <c r="P33" s="952">
        <f>-'WP-BC'!N237</f>
        <v>0</v>
      </c>
      <c r="Q33" s="952">
        <f>AVERAGE(I33,M33)</f>
        <v>30000000</v>
      </c>
      <c r="R33" s="952">
        <f>AVERAGE(J33,N33)</f>
        <v>0</v>
      </c>
      <c r="S33" s="952"/>
      <c r="T33" s="953">
        <f>Q33-R33</f>
        <v>30000000</v>
      </c>
    </row>
    <row r="34" spans="2:22" s="349" customFormat="1" ht="18" customHeight="1">
      <c r="B34" s="849">
        <f>B33+1</f>
        <v>11</v>
      </c>
      <c r="D34" s="948" t="s">
        <v>246</v>
      </c>
      <c r="E34" s="982"/>
      <c r="F34" s="950" t="s">
        <v>1137</v>
      </c>
      <c r="G34" s="1480"/>
      <c r="H34" s="1480"/>
      <c r="I34" s="951">
        <f>-('WP-BC'!G34+'WP-BC'!G194)</f>
        <v>-79826053</v>
      </c>
      <c r="J34" s="952">
        <f>-('WP-BC'!H34+'WP-BC'!H194)</f>
        <v>-10569726</v>
      </c>
      <c r="K34" s="952">
        <f>-('WP-BC'!I34+'WP-BC'!I194)</f>
        <v>-69256327</v>
      </c>
      <c r="L34" s="952">
        <f>-('WP-BC'!J34+'WP-BC'!J194)</f>
        <v>-1608459</v>
      </c>
      <c r="M34" s="952">
        <f>-('WP-BC'!K34+'WP-BC'!K194)</f>
        <v>-79826053</v>
      </c>
      <c r="N34" s="952">
        <f>-('WP-BC'!L34+'WP-BC'!L194)</f>
        <v>-8961267</v>
      </c>
      <c r="O34" s="952">
        <f>-('WP-BC'!M34+'WP-BC'!M194)</f>
        <v>-70864786</v>
      </c>
      <c r="P34" s="952">
        <f>-('WP-BC'!N34+'WP-BC'!N194)</f>
        <v>-1608459</v>
      </c>
      <c r="Q34" s="952">
        <f t="shared" ref="Q34:R36" si="4">AVERAGE(I34,M34)</f>
        <v>-79826053</v>
      </c>
      <c r="R34" s="952">
        <f t="shared" si="4"/>
        <v>-9765496.5</v>
      </c>
      <c r="S34" s="952"/>
      <c r="T34" s="953">
        <f>Q34-R34</f>
        <v>-70060556.5</v>
      </c>
    </row>
    <row r="35" spans="2:22" s="349" customFormat="1" ht="18" customHeight="1">
      <c r="B35" s="849">
        <f t="shared" ref="B35:B40" si="5">B34+1</f>
        <v>12</v>
      </c>
      <c r="D35" s="948" t="s">
        <v>718</v>
      </c>
      <c r="E35" s="949"/>
      <c r="F35" s="950" t="s">
        <v>1138</v>
      </c>
      <c r="G35" s="1480"/>
      <c r="H35" s="1480"/>
      <c r="I35" s="951">
        <f>-'WP-BF'!F56</f>
        <v>-39979912.390000001</v>
      </c>
      <c r="J35" s="952">
        <f>'WP-BF'!H56</f>
        <v>-23312359.389999997</v>
      </c>
      <c r="K35" s="952">
        <f>I35-J35</f>
        <v>-16667553.000000004</v>
      </c>
      <c r="L35" s="952">
        <f>-'WP-BF'!L56</f>
        <v>-848249</v>
      </c>
      <c r="M35" s="952">
        <f>-'WP-BF'!N56</f>
        <v>-39979912.390000001</v>
      </c>
      <c r="N35" s="952">
        <f>'WP-BF'!P56</f>
        <v>-22464110.390000001</v>
      </c>
      <c r="O35" s="952">
        <f>M35-N35</f>
        <v>-17515802</v>
      </c>
      <c r="P35" s="952">
        <f>-'WP-BF'!T56</f>
        <v>-760559.32999999984</v>
      </c>
      <c r="Q35" s="952">
        <f t="shared" si="4"/>
        <v>-39979912.390000001</v>
      </c>
      <c r="R35" s="952">
        <f t="shared" si="4"/>
        <v>-22888234.890000001</v>
      </c>
      <c r="S35" s="952"/>
      <c r="T35" s="953">
        <f>Q35-R35</f>
        <v>-17091677.5</v>
      </c>
    </row>
    <row r="36" spans="2:22" s="349" customFormat="1" ht="18" customHeight="1">
      <c r="B36" s="849">
        <f t="shared" si="5"/>
        <v>13</v>
      </c>
      <c r="D36" s="948" t="s">
        <v>146</v>
      </c>
      <c r="E36" s="949"/>
      <c r="F36" s="950" t="s">
        <v>926</v>
      </c>
      <c r="G36" s="1480"/>
      <c r="H36" s="1480"/>
      <c r="I36" s="951">
        <f>-'WP-BE'!F41</f>
        <v>-44743653.020000003</v>
      </c>
      <c r="J36" s="952">
        <f>'WP-BE'!G41</f>
        <v>-14863273.02</v>
      </c>
      <c r="K36" s="952">
        <f>I36-J36</f>
        <v>-29880380.000000004</v>
      </c>
      <c r="L36" s="952">
        <f>'WP-BE'!I41</f>
        <v>-990508</v>
      </c>
      <c r="M36" s="952">
        <f>-'WP-BE'!J41</f>
        <v>-44743653.020000003</v>
      </c>
      <c r="N36" s="952">
        <f>'WP-BE'!K41</f>
        <v>-13872765.02</v>
      </c>
      <c r="O36" s="952">
        <f>M36-N36</f>
        <v>-30870888.000000004</v>
      </c>
      <c r="P36" s="952">
        <f>'WP-BE'!M41</f>
        <v>-978025.51000000036</v>
      </c>
      <c r="Q36" s="952">
        <f t="shared" si="4"/>
        <v>-44743653.020000003</v>
      </c>
      <c r="R36" s="952">
        <f t="shared" si="4"/>
        <v>-14368019.02</v>
      </c>
      <c r="S36" s="952"/>
      <c r="T36" s="953">
        <f>Q36-R36</f>
        <v>-30375634.000000004</v>
      </c>
      <c r="V36" s="863"/>
    </row>
    <row r="37" spans="2:22" s="349" customFormat="1" ht="18" customHeight="1">
      <c r="B37" s="849">
        <f t="shared" si="5"/>
        <v>14</v>
      </c>
      <c r="D37" s="948" t="s">
        <v>1094</v>
      </c>
      <c r="E37" s="949"/>
      <c r="F37" s="977"/>
      <c r="G37" s="1480"/>
      <c r="H37" s="1480"/>
      <c r="I37" s="951"/>
      <c r="J37" s="952"/>
      <c r="K37" s="952"/>
      <c r="L37" s="952">
        <f>'WP-BD'!H44</f>
        <v>2178735.56</v>
      </c>
      <c r="M37" s="952"/>
      <c r="N37" s="952"/>
      <c r="O37" s="952"/>
      <c r="P37" s="952">
        <f>'WP-BD'!H43</f>
        <v>2178735.56</v>
      </c>
      <c r="Q37" s="952"/>
      <c r="R37" s="952"/>
      <c r="S37" s="952"/>
      <c r="T37" s="953"/>
    </row>
    <row r="38" spans="2:22" s="349" customFormat="1" ht="18" customHeight="1">
      <c r="B38" s="849">
        <f t="shared" si="5"/>
        <v>15</v>
      </c>
      <c r="D38" s="948" t="s">
        <v>357</v>
      </c>
      <c r="E38" s="949"/>
      <c r="F38" s="983"/>
      <c r="G38" s="982"/>
      <c r="H38" s="982"/>
      <c r="I38" s="951">
        <f t="shared" ref="I38:T38" si="6">SUM(I33:I37)</f>
        <v>-134549618.41</v>
      </c>
      <c r="J38" s="952">
        <f t="shared" si="6"/>
        <v>-48745358.409999996</v>
      </c>
      <c r="K38" s="952">
        <f t="shared" si="6"/>
        <v>-85804260</v>
      </c>
      <c r="L38" s="952">
        <f t="shared" si="6"/>
        <v>-1268480.44</v>
      </c>
      <c r="M38" s="952">
        <f t="shared" si="6"/>
        <v>-134549618.41</v>
      </c>
      <c r="N38" s="952">
        <f t="shared" si="6"/>
        <v>-45298142.409999996</v>
      </c>
      <c r="O38" s="952">
        <f t="shared" si="6"/>
        <v>-89251476</v>
      </c>
      <c r="P38" s="952">
        <f t="shared" si="6"/>
        <v>-1168308.2800000003</v>
      </c>
      <c r="Q38" s="952">
        <f t="shared" si="6"/>
        <v>-134549618.41</v>
      </c>
      <c r="R38" s="952">
        <f t="shared" si="6"/>
        <v>-47021750.409999996</v>
      </c>
      <c r="S38" s="952">
        <f t="shared" si="6"/>
        <v>0</v>
      </c>
      <c r="T38" s="953">
        <f t="shared" si="6"/>
        <v>-87527868</v>
      </c>
    </row>
    <row r="39" spans="2:22" s="349" customFormat="1" ht="18" customHeight="1">
      <c r="B39" s="849">
        <f t="shared" si="5"/>
        <v>16</v>
      </c>
      <c r="D39" s="948"/>
      <c r="E39" s="949"/>
      <c r="F39" s="950"/>
      <c r="G39" s="940"/>
      <c r="H39" s="940"/>
      <c r="I39" s="951"/>
      <c r="J39" s="952"/>
      <c r="K39" s="952"/>
      <c r="L39" s="952"/>
      <c r="M39" s="952"/>
      <c r="N39" s="952"/>
      <c r="O39" s="952"/>
      <c r="P39" s="952"/>
      <c r="Q39" s="952"/>
      <c r="R39" s="952"/>
      <c r="S39" s="952"/>
      <c r="T39" s="953"/>
    </row>
    <row r="40" spans="2:22" s="349" customFormat="1" ht="18" customHeight="1">
      <c r="B40" s="849">
        <f t="shared" si="5"/>
        <v>17</v>
      </c>
      <c r="D40" s="984" t="s">
        <v>197</v>
      </c>
      <c r="E40" s="985"/>
      <c r="F40" s="986"/>
      <c r="G40" s="987"/>
      <c r="H40" s="987"/>
      <c r="I40" s="963">
        <f t="shared" ref="I40:T40" si="7">I38+I26+I28+I30</f>
        <v>1781912451.4999995</v>
      </c>
      <c r="J40" s="964">
        <f t="shared" si="7"/>
        <v>1155019022.1544394</v>
      </c>
      <c r="K40" s="964">
        <f t="shared" si="7"/>
        <v>626893429.34555995</v>
      </c>
      <c r="L40" s="964">
        <f t="shared" si="7"/>
        <v>35383915.95000001</v>
      </c>
      <c r="M40" s="964">
        <f t="shared" si="7"/>
        <v>1747019395.5</v>
      </c>
      <c r="N40" s="964">
        <f t="shared" si="7"/>
        <v>1124908285.0499997</v>
      </c>
      <c r="O40" s="964">
        <f t="shared" si="7"/>
        <v>622111110.45000005</v>
      </c>
      <c r="P40" s="964">
        <f t="shared" si="7"/>
        <v>36136839.779999986</v>
      </c>
      <c r="Q40" s="964">
        <f t="shared" si="7"/>
        <v>1764465923.4999998</v>
      </c>
      <c r="R40" s="964">
        <f t="shared" si="7"/>
        <v>1139963653.6022196</v>
      </c>
      <c r="S40" s="964">
        <f t="shared" si="7"/>
        <v>0</v>
      </c>
      <c r="T40" s="965">
        <f t="shared" si="7"/>
        <v>624502269.89778006</v>
      </c>
    </row>
    <row r="41" spans="2:22" s="349" customFormat="1" ht="18" customHeight="1">
      <c r="B41" s="849"/>
      <c r="E41" s="932"/>
      <c r="F41" s="933"/>
      <c r="I41" s="967"/>
      <c r="J41" s="967"/>
      <c r="K41" s="967"/>
      <c r="L41" s="967"/>
      <c r="M41" s="967"/>
      <c r="N41" s="967"/>
      <c r="O41" s="967"/>
      <c r="P41" s="967"/>
      <c r="Q41" s="967"/>
      <c r="R41" s="967"/>
      <c r="S41" s="952"/>
      <c r="T41" s="967"/>
    </row>
    <row r="42" spans="2:22" s="349" customFormat="1" ht="18" customHeight="1">
      <c r="B42" s="849"/>
      <c r="E42" s="932"/>
      <c r="F42" s="933"/>
      <c r="I42" s="967"/>
      <c r="J42" s="967"/>
      <c r="K42" s="967"/>
      <c r="L42" s="967"/>
      <c r="M42" s="967">
        <f>I42-J42</f>
        <v>0</v>
      </c>
      <c r="N42" s="967"/>
      <c r="O42" s="967"/>
      <c r="P42" s="967"/>
      <c r="Q42" s="967"/>
      <c r="R42" s="967"/>
      <c r="S42" s="952"/>
      <c r="T42" s="967"/>
    </row>
    <row r="43" spans="2:22" s="349" customFormat="1" ht="18" customHeight="1">
      <c r="B43" s="849"/>
      <c r="D43" s="935" t="s">
        <v>719</v>
      </c>
      <c r="E43" s="932"/>
      <c r="F43" s="933"/>
      <c r="I43" s="967"/>
      <c r="J43" s="967"/>
      <c r="K43" s="967"/>
      <c r="L43" s="967"/>
      <c r="M43" s="967"/>
      <c r="N43" s="967"/>
      <c r="O43" s="967"/>
      <c r="P43" s="967"/>
      <c r="Q43" s="967"/>
      <c r="R43" s="967"/>
      <c r="S43" s="952"/>
      <c r="T43" s="967"/>
    </row>
    <row r="44" spans="2:22" s="349" customFormat="1" ht="18" customHeight="1">
      <c r="B44" s="849">
        <f>B40+1</f>
        <v>18</v>
      </c>
      <c r="D44" s="941" t="s">
        <v>710</v>
      </c>
      <c r="E44" s="942"/>
      <c r="F44" s="943" t="s">
        <v>1137</v>
      </c>
      <c r="G44" s="944" t="s">
        <v>1707</v>
      </c>
      <c r="H44" s="1502"/>
      <c r="I44" s="945">
        <f>SUM('WP-BC'!G25:G31)</f>
        <v>11611691</v>
      </c>
      <c r="J44" s="946">
        <f>SUM('WP-BC'!H25:H31)</f>
        <v>0</v>
      </c>
      <c r="K44" s="946">
        <f>SUM('WP-BC'!I25:I31)</f>
        <v>11611691</v>
      </c>
      <c r="L44" s="946">
        <f>SUM('WP-BC'!N25:N31)</f>
        <v>0</v>
      </c>
      <c r="M44" s="946">
        <f>SUM('WP-BC'!K25:K31)</f>
        <v>11614441</v>
      </c>
      <c r="N44" s="946">
        <f>SUM('WP-BC'!L25:L31)</f>
        <v>0</v>
      </c>
      <c r="O44" s="946">
        <f>SUM('WP-BC'!M25:M31)</f>
        <v>11614441</v>
      </c>
      <c r="P44" s="946">
        <f>SUM('WP-BC'!N25:N31)</f>
        <v>0</v>
      </c>
      <c r="Q44" s="946">
        <f t="shared" ref="Q44:R46" si="8">AVERAGE(I44,M44)</f>
        <v>11613066</v>
      </c>
      <c r="R44" s="946">
        <f t="shared" si="8"/>
        <v>0</v>
      </c>
      <c r="S44" s="946"/>
      <c r="T44" s="947">
        <f>Q44-R44</f>
        <v>11613066</v>
      </c>
    </row>
    <row r="45" spans="2:22" s="349" customFormat="1" ht="18" customHeight="1">
      <c r="B45" s="849">
        <f>B44+1</f>
        <v>19</v>
      </c>
      <c r="D45" s="948" t="s">
        <v>107</v>
      </c>
      <c r="E45" s="949"/>
      <c r="F45" s="950" t="s">
        <v>1137</v>
      </c>
      <c r="G45" s="940" t="s">
        <v>1708</v>
      </c>
      <c r="H45" s="940" t="s">
        <v>1781</v>
      </c>
      <c r="I45" s="974">
        <f>'WP-BC'!G347</f>
        <v>1198451648.9100001</v>
      </c>
      <c r="J45" s="975">
        <f>'WP-BC'!H347</f>
        <v>414259786.78000003</v>
      </c>
      <c r="K45" s="975">
        <f>'WP-BC'!I347</f>
        <v>784191862.13000011</v>
      </c>
      <c r="L45" s="975">
        <f>'WP-BC'!J347</f>
        <v>37857699.290000007</v>
      </c>
      <c r="M45" s="975">
        <f>'WP-BC'!K347</f>
        <v>1154562852.54</v>
      </c>
      <c r="N45" s="975">
        <f>'WP-BC'!L347</f>
        <v>417717167.10999995</v>
      </c>
      <c r="O45" s="975">
        <f>'WP-BC'!M347</f>
        <v>736845685.43000019</v>
      </c>
      <c r="P45" s="975">
        <f>'WP-BC'!N347</f>
        <v>39773428.25</v>
      </c>
      <c r="Q45" s="975">
        <f t="shared" si="8"/>
        <v>1176507250.7249999</v>
      </c>
      <c r="R45" s="975">
        <f t="shared" si="8"/>
        <v>415988476.94499999</v>
      </c>
      <c r="S45" s="975"/>
      <c r="T45" s="976">
        <f>Q45-R45</f>
        <v>760518773.77999997</v>
      </c>
    </row>
    <row r="46" spans="2:22" s="349" customFormat="1" ht="18" customHeight="1">
      <c r="B46" s="849">
        <f>B45+1</f>
        <v>20</v>
      </c>
      <c r="D46" s="948"/>
      <c r="E46" s="949"/>
      <c r="F46" s="950"/>
      <c r="G46" s="940" t="s">
        <v>1706</v>
      </c>
      <c r="H46" s="940"/>
      <c r="I46" s="951">
        <f t="shared" ref="I46:P46" si="9">SUM(I44:I45)</f>
        <v>1210063339.9100001</v>
      </c>
      <c r="J46" s="952">
        <f t="shared" si="9"/>
        <v>414259786.78000003</v>
      </c>
      <c r="K46" s="952">
        <f t="shared" si="9"/>
        <v>795803553.13000011</v>
      </c>
      <c r="L46" s="952">
        <f t="shared" si="9"/>
        <v>37857699.290000007</v>
      </c>
      <c r="M46" s="952">
        <f t="shared" si="9"/>
        <v>1166177293.54</v>
      </c>
      <c r="N46" s="952">
        <f t="shared" si="9"/>
        <v>417717167.10999995</v>
      </c>
      <c r="O46" s="952">
        <f t="shared" si="9"/>
        <v>748460126.43000019</v>
      </c>
      <c r="P46" s="952">
        <f t="shared" si="9"/>
        <v>39773428.25</v>
      </c>
      <c r="Q46" s="952">
        <f t="shared" si="8"/>
        <v>1188120316.7249999</v>
      </c>
      <c r="R46" s="952">
        <f t="shared" si="8"/>
        <v>415988476.94499999</v>
      </c>
      <c r="S46" s="952"/>
      <c r="T46" s="953">
        <f>Q46-R46</f>
        <v>772131839.77999997</v>
      </c>
    </row>
    <row r="47" spans="2:22" s="349" customFormat="1" ht="18" customHeight="1">
      <c r="B47" s="849"/>
      <c r="D47" s="979" t="s">
        <v>759</v>
      </c>
      <c r="E47" s="949"/>
      <c r="F47" s="950"/>
      <c r="G47" s="940"/>
      <c r="H47" s="940"/>
      <c r="I47" s="951"/>
      <c r="J47" s="952"/>
      <c r="K47" s="952"/>
      <c r="L47" s="952"/>
      <c r="M47" s="952"/>
      <c r="N47" s="952"/>
      <c r="O47" s="952"/>
      <c r="P47" s="952"/>
      <c r="Q47" s="952"/>
      <c r="R47" s="952"/>
      <c r="S47" s="952"/>
      <c r="T47" s="953"/>
    </row>
    <row r="48" spans="2:22" s="349" customFormat="1" ht="18" customHeight="1">
      <c r="B48" s="849">
        <f>B46+1</f>
        <v>21</v>
      </c>
      <c r="D48" s="948" t="s">
        <v>711</v>
      </c>
      <c r="E48" s="949"/>
      <c r="F48" s="950"/>
      <c r="G48" s="940"/>
      <c r="H48" s="940"/>
      <c r="I48" s="951">
        <v>0</v>
      </c>
      <c r="J48" s="952">
        <v>0</v>
      </c>
      <c r="K48" s="952">
        <v>0</v>
      </c>
      <c r="L48" s="952">
        <v>0</v>
      </c>
      <c r="M48" s="952">
        <v>0</v>
      </c>
      <c r="N48" s="952">
        <v>0</v>
      </c>
      <c r="O48" s="952">
        <v>0</v>
      </c>
      <c r="P48" s="952">
        <v>0</v>
      </c>
      <c r="Q48" s="952">
        <f t="shared" ref="Q48:R51" si="10">AVERAGE(I48,M48)</f>
        <v>0</v>
      </c>
      <c r="R48" s="952">
        <f t="shared" si="10"/>
        <v>0</v>
      </c>
      <c r="S48" s="952"/>
      <c r="T48" s="953">
        <f>Q48-R48</f>
        <v>0</v>
      </c>
    </row>
    <row r="49" spans="1:20" s="349" customFormat="1" ht="18" customHeight="1">
      <c r="B49" s="849">
        <f>B48+1</f>
        <v>22</v>
      </c>
      <c r="D49" s="948" t="s">
        <v>712</v>
      </c>
      <c r="E49" s="949"/>
      <c r="F49" s="950" t="s">
        <v>1137</v>
      </c>
      <c r="G49" s="940"/>
      <c r="H49" s="940"/>
      <c r="I49" s="951">
        <f>-'WP-BC'!G344</f>
        <v>0</v>
      </c>
      <c r="J49" s="952">
        <f>-'WP-BC'!H344</f>
        <v>4017859</v>
      </c>
      <c r="K49" s="952">
        <f>-'WP-BC'!I344</f>
        <v>-4017859</v>
      </c>
      <c r="L49" s="952">
        <f>-'WP-BC'!J344</f>
        <v>0</v>
      </c>
      <c r="M49" s="952">
        <f>-'WP-BC'!K344</f>
        <v>0</v>
      </c>
      <c r="N49" s="952">
        <f>-'WP-BC'!L344</f>
        <v>4126483</v>
      </c>
      <c r="O49" s="952">
        <f>-'WP-BC'!M344</f>
        <v>-4126483</v>
      </c>
      <c r="P49" s="952">
        <f>-'WP-BC'!N344</f>
        <v>0</v>
      </c>
      <c r="Q49" s="952">
        <f t="shared" si="10"/>
        <v>0</v>
      </c>
      <c r="R49" s="952">
        <f t="shared" si="10"/>
        <v>4072171</v>
      </c>
      <c r="S49" s="952"/>
      <c r="T49" s="953">
        <f>Q49-R49</f>
        <v>-4072171</v>
      </c>
    </row>
    <row r="50" spans="1:20" s="349" customFormat="1" ht="18" customHeight="1">
      <c r="B50" s="849">
        <f>B49+1</f>
        <v>23</v>
      </c>
      <c r="D50" s="948" t="s">
        <v>662</v>
      </c>
      <c r="E50" s="949"/>
      <c r="F50" s="950" t="s">
        <v>1139</v>
      </c>
      <c r="G50" s="982"/>
      <c r="H50" s="982"/>
      <c r="I50" s="951">
        <f>-'WP-BG'!E43</f>
        <v>-680067345.29999995</v>
      </c>
      <c r="J50" s="952">
        <f>-'WP-BG'!F43</f>
        <v>-182183455.29999998</v>
      </c>
      <c r="K50" s="952">
        <f>-'WP-BG'!G43</f>
        <v>-497883890</v>
      </c>
      <c r="L50" s="952">
        <f>-'WP-BG'!H43</f>
        <v>-15782454.749999998</v>
      </c>
      <c r="M50" s="952">
        <f>-'WP-BG'!I43</f>
        <v>-678154915.55000007</v>
      </c>
      <c r="N50" s="952">
        <f>-'WP-BG'!J43</f>
        <v>-166401000.54999998</v>
      </c>
      <c r="O50" s="952">
        <f>-'WP-BG'!K43</f>
        <v>-511753915</v>
      </c>
      <c r="P50" s="952">
        <f>-'WP-BG'!L43</f>
        <v>-15702311.290000001</v>
      </c>
      <c r="Q50" s="952">
        <f t="shared" si="10"/>
        <v>-679111130.42499995</v>
      </c>
      <c r="R50" s="952">
        <f t="shared" si="10"/>
        <v>-174292227.92499998</v>
      </c>
      <c r="S50" s="952"/>
      <c r="T50" s="953">
        <f>Q50-R50</f>
        <v>-504818902.5</v>
      </c>
    </row>
    <row r="51" spans="1:20" s="349" customFormat="1" ht="18" customHeight="1">
      <c r="B51" s="849">
        <f>B50+1</f>
        <v>24</v>
      </c>
      <c r="D51" s="978" t="s">
        <v>1093</v>
      </c>
      <c r="E51" s="949"/>
      <c r="F51" s="950" t="s">
        <v>1137</v>
      </c>
      <c r="G51" s="940"/>
      <c r="H51" s="940"/>
      <c r="I51" s="974">
        <f>-SUM('WP-BC'!G30:G31,'WP-BC'!G305:G343)</f>
        <v>-18825078.300000001</v>
      </c>
      <c r="J51" s="975">
        <f>-SUM('WP-BC'!H30:H31,'WP-BC'!H305:H343)</f>
        <v>-15087058.969999999</v>
      </c>
      <c r="K51" s="975">
        <f>-SUM('WP-BC'!I30:I31,'WP-BC'!I305:I343)</f>
        <v>-3738019.33</v>
      </c>
      <c r="L51" s="975">
        <f>-SUM('WP-BC'!J30:J31,'WP-BC'!J305:J343)</f>
        <v>-638455.23</v>
      </c>
      <c r="M51" s="975">
        <f>-SUM('WP-BC'!K30:K31,'WP-BC'!K305:K343)</f>
        <v>-18731407.559999999</v>
      </c>
      <c r="N51" s="975">
        <f>-SUM('WP-BC'!L30:L31,'WP-BC'!L305:L343)</f>
        <v>-14581005.749999998</v>
      </c>
      <c r="O51" s="975">
        <f>-SUM('WP-BC'!M30:M31,'WP-BC'!M305:M343)</f>
        <v>-4150401.8099999996</v>
      </c>
      <c r="P51" s="975">
        <f>-SUM('WP-BC'!N30:N31,'WP-BC'!N305:N343)</f>
        <v>-691372.1</v>
      </c>
      <c r="Q51" s="975">
        <f t="shared" si="10"/>
        <v>-18778242.93</v>
      </c>
      <c r="R51" s="975">
        <f t="shared" si="10"/>
        <v>-14834032.359999999</v>
      </c>
      <c r="S51" s="952"/>
      <c r="T51" s="976">
        <f>Q51-R51</f>
        <v>-3944210.5700000003</v>
      </c>
    </row>
    <row r="52" spans="1:20" s="349" customFormat="1" ht="18" customHeight="1">
      <c r="B52" s="849">
        <f>B50+1</f>
        <v>24</v>
      </c>
      <c r="D52" s="948" t="s">
        <v>357</v>
      </c>
      <c r="E52" s="949"/>
      <c r="F52" s="983"/>
      <c r="G52" s="982"/>
      <c r="H52" s="982"/>
      <c r="I52" s="951">
        <f t="shared" ref="I52:P52" si="11">SUM(I48:I51)</f>
        <v>-698892423.5999999</v>
      </c>
      <c r="J52" s="952">
        <f t="shared" si="11"/>
        <v>-193252655.26999998</v>
      </c>
      <c r="K52" s="952">
        <f t="shared" si="11"/>
        <v>-505639768.32999998</v>
      </c>
      <c r="L52" s="952">
        <f t="shared" si="11"/>
        <v>-16420909.979999999</v>
      </c>
      <c r="M52" s="952">
        <f t="shared" si="11"/>
        <v>-696886323.11000001</v>
      </c>
      <c r="N52" s="952">
        <f t="shared" si="11"/>
        <v>-176855523.29999998</v>
      </c>
      <c r="O52" s="952">
        <f t="shared" si="11"/>
        <v>-520030799.81</v>
      </c>
      <c r="P52" s="952">
        <f t="shared" si="11"/>
        <v>-16393683.390000001</v>
      </c>
      <c r="Q52" s="952">
        <f>SUM(Q48:Q51)</f>
        <v>-697889373.3549999</v>
      </c>
      <c r="R52" s="952">
        <f>SUM(R48:R51)</f>
        <v>-185054089.28499997</v>
      </c>
      <c r="S52" s="952"/>
      <c r="T52" s="953">
        <f>SUM(T48:T51)</f>
        <v>-512835284.06999999</v>
      </c>
    </row>
    <row r="53" spans="1:20" s="349" customFormat="1" ht="18" customHeight="1">
      <c r="D53" s="948"/>
      <c r="E53" s="949"/>
      <c r="F53" s="950"/>
      <c r="G53" s="940"/>
      <c r="H53" s="940"/>
      <c r="I53" s="980"/>
      <c r="J53" s="981"/>
      <c r="K53" s="981"/>
      <c r="L53" s="981"/>
      <c r="M53" s="981"/>
      <c r="N53" s="981"/>
      <c r="O53" s="981"/>
      <c r="P53" s="981"/>
      <c r="Q53" s="981"/>
      <c r="R53" s="981"/>
      <c r="S53" s="981"/>
      <c r="T53" s="988"/>
    </row>
    <row r="54" spans="1:20" s="349" customFormat="1" ht="18" customHeight="1">
      <c r="B54" s="849">
        <f>B52+1</f>
        <v>25</v>
      </c>
      <c r="D54" s="984" t="s">
        <v>198</v>
      </c>
      <c r="E54" s="985"/>
      <c r="F54" s="961"/>
      <c r="G54" s="962"/>
      <c r="H54" s="962"/>
      <c r="I54" s="989">
        <f>I46+I52</f>
        <v>511170916.31000018</v>
      </c>
      <c r="J54" s="990">
        <f t="shared" ref="J54:P54" si="12">J46+J52</f>
        <v>221007131.51000005</v>
      </c>
      <c r="K54" s="990">
        <f t="shared" si="12"/>
        <v>290163784.80000013</v>
      </c>
      <c r="L54" s="990">
        <f t="shared" si="12"/>
        <v>21436789.31000001</v>
      </c>
      <c r="M54" s="990">
        <f t="shared" si="12"/>
        <v>469290970.42999995</v>
      </c>
      <c r="N54" s="990">
        <f t="shared" si="12"/>
        <v>240861643.80999997</v>
      </c>
      <c r="O54" s="990">
        <f t="shared" si="12"/>
        <v>228429326.62000018</v>
      </c>
      <c r="P54" s="990">
        <f t="shared" si="12"/>
        <v>23379744.859999999</v>
      </c>
      <c r="Q54" s="990">
        <f>Q46+Q52</f>
        <v>490230943.37</v>
      </c>
      <c r="R54" s="990">
        <f>R46+R52</f>
        <v>230934387.66000003</v>
      </c>
      <c r="S54" s="964"/>
      <c r="T54" s="991">
        <f>T46+T52</f>
        <v>259296555.70999998</v>
      </c>
    </row>
    <row r="55" spans="1:20" s="349" customFormat="1" ht="18" customHeight="1">
      <c r="B55" s="849"/>
      <c r="D55" s="940"/>
      <c r="E55" s="949"/>
      <c r="F55" s="983"/>
      <c r="G55" s="982"/>
      <c r="H55" s="982"/>
      <c r="I55" s="992"/>
      <c r="J55" s="992"/>
      <c r="K55" s="992"/>
      <c r="L55" s="992"/>
      <c r="M55" s="992"/>
      <c r="N55" s="992"/>
      <c r="O55" s="992"/>
      <c r="P55" s="992"/>
      <c r="Q55" s="992"/>
      <c r="R55" s="992"/>
      <c r="S55" s="992"/>
      <c r="T55" s="992"/>
    </row>
    <row r="56" spans="1:20" s="349" customFormat="1" ht="18" customHeight="1">
      <c r="B56" s="849"/>
      <c r="D56" s="349" t="s">
        <v>341</v>
      </c>
      <c r="E56" s="932"/>
      <c r="F56" s="933"/>
      <c r="I56" s="993"/>
      <c r="J56" s="993"/>
      <c r="K56" s="993"/>
      <c r="L56" s="993"/>
      <c r="M56" s="993"/>
      <c r="N56" s="993"/>
      <c r="O56" s="993"/>
      <c r="P56" s="993"/>
      <c r="Q56" s="993"/>
      <c r="R56" s="993"/>
      <c r="S56" s="992"/>
      <c r="T56" s="993"/>
    </row>
    <row r="57" spans="1:20" s="349" customFormat="1" ht="18" customHeight="1">
      <c r="B57" s="849"/>
      <c r="D57" s="851" t="s">
        <v>1785</v>
      </c>
      <c r="E57" s="932"/>
      <c r="F57" s="933"/>
      <c r="I57" s="993"/>
      <c r="J57" s="993"/>
      <c r="K57" s="993"/>
      <c r="L57" s="993"/>
      <c r="M57" s="993"/>
      <c r="N57" s="993"/>
      <c r="O57" s="993"/>
      <c r="P57" s="993"/>
      <c r="Q57" s="993"/>
      <c r="R57" s="993"/>
      <c r="S57" s="992"/>
      <c r="T57" s="993"/>
    </row>
    <row r="58" spans="1:20" s="349" customFormat="1" ht="18" customHeight="1">
      <c r="D58" s="349" t="s">
        <v>881</v>
      </c>
      <c r="E58" s="932"/>
      <c r="F58" s="933"/>
      <c r="I58" s="993"/>
    </row>
    <row r="59" spans="1:20" s="349" customFormat="1" ht="18" customHeight="1">
      <c r="D59" s="349" t="s">
        <v>1783</v>
      </c>
      <c r="E59" s="932"/>
      <c r="F59" s="933"/>
    </row>
    <row r="60" spans="1:20" s="349" customFormat="1" ht="18" customHeight="1">
      <c r="B60" s="849"/>
      <c r="D60" s="349" t="s">
        <v>1092</v>
      </c>
      <c r="E60" s="932"/>
      <c r="F60" s="933"/>
      <c r="S60" s="992"/>
    </row>
    <row r="61" spans="1:20" s="349" customFormat="1" ht="18" customHeight="1">
      <c r="D61" s="349" t="s">
        <v>1784</v>
      </c>
      <c r="E61" s="932"/>
      <c r="F61" s="933"/>
    </row>
    <row r="62" spans="1:20" ht="16.5" customHeight="1">
      <c r="D62" s="349" t="s">
        <v>1786</v>
      </c>
    </row>
    <row r="63" spans="1:20" ht="13.5" customHeight="1">
      <c r="A63" s="27"/>
      <c r="B63" s="27"/>
      <c r="C63" s="27"/>
      <c r="D63" s="349"/>
      <c r="E63" s="27"/>
      <c r="F63" s="933"/>
      <c r="G63" s="27"/>
      <c r="H63" s="27"/>
      <c r="I63" s="27"/>
      <c r="J63" s="27"/>
      <c r="K63" s="27"/>
      <c r="L63" s="27"/>
      <c r="M63" s="27"/>
      <c r="N63" s="27"/>
      <c r="O63" s="27"/>
      <c r="P63" s="27"/>
      <c r="Q63" s="27"/>
      <c r="R63" s="27"/>
      <c r="S63" s="27"/>
      <c r="T63" s="27"/>
    </row>
    <row r="64" spans="1:20" ht="13.5" customHeight="1">
      <c r="A64" s="27"/>
      <c r="B64" s="27"/>
      <c r="C64" s="27"/>
      <c r="D64" s="850"/>
      <c r="E64" s="851"/>
      <c r="F64" s="933"/>
      <c r="G64" s="27"/>
      <c r="H64" s="27"/>
      <c r="I64" s="27"/>
      <c r="J64" s="27"/>
      <c r="K64" s="27"/>
      <c r="L64" s="27"/>
      <c r="M64" s="27"/>
      <c r="N64" s="27"/>
      <c r="O64" s="27"/>
      <c r="P64" s="27"/>
      <c r="Q64" s="27"/>
      <c r="R64" s="27"/>
      <c r="S64" s="27"/>
      <c r="T64" s="27"/>
    </row>
    <row r="65" spans="1:20" ht="13.5" customHeight="1">
      <c r="A65" s="27"/>
      <c r="B65" s="27"/>
      <c r="C65" s="27"/>
      <c r="D65" s="850"/>
      <c r="E65" s="851"/>
      <c r="F65" s="933"/>
      <c r="G65" s="27"/>
      <c r="H65" s="27"/>
      <c r="I65" s="27"/>
      <c r="J65" s="27"/>
      <c r="K65" s="27"/>
      <c r="L65" s="27"/>
      <c r="M65" s="27"/>
      <c r="N65" s="27"/>
      <c r="O65" s="27"/>
      <c r="P65" s="27"/>
      <c r="Q65" s="27"/>
      <c r="R65" s="27"/>
      <c r="S65" s="27"/>
      <c r="T65" s="27"/>
    </row>
    <row r="66" spans="1:20" ht="13.5" customHeight="1">
      <c r="A66" s="27"/>
      <c r="B66" s="27"/>
      <c r="C66" s="27"/>
      <c r="D66" s="27"/>
      <c r="E66" s="994"/>
      <c r="F66" s="933"/>
      <c r="G66" s="27"/>
      <c r="H66" s="27"/>
      <c r="I66" s="27"/>
      <c r="J66" s="27"/>
      <c r="K66" s="27"/>
      <c r="L66" s="27"/>
      <c r="M66" s="27"/>
      <c r="N66" s="27"/>
      <c r="O66" s="27"/>
      <c r="P66" s="27"/>
      <c r="Q66" s="27"/>
      <c r="R66" s="27"/>
      <c r="S66" s="27"/>
      <c r="T66" s="27"/>
    </row>
    <row r="67" spans="1:20" ht="13.5" customHeight="1">
      <c r="A67" s="27"/>
      <c r="B67" s="27"/>
      <c r="C67" s="27"/>
      <c r="D67" s="27"/>
      <c r="E67" s="994"/>
      <c r="F67" s="933"/>
      <c r="G67" s="27"/>
      <c r="H67" s="27"/>
      <c r="I67" s="27"/>
      <c r="J67" s="27"/>
      <c r="K67" s="27"/>
      <c r="L67" s="27"/>
      <c r="M67" s="27"/>
      <c r="N67" s="27"/>
      <c r="O67" s="27"/>
      <c r="P67" s="27"/>
      <c r="Q67" s="27"/>
      <c r="R67" s="27"/>
      <c r="S67" s="27"/>
      <c r="T67" s="27"/>
    </row>
    <row r="68" spans="1:20" ht="13.5" customHeight="1">
      <c r="A68" s="27"/>
      <c r="B68" s="27"/>
      <c r="C68" s="27"/>
      <c r="D68" s="27"/>
      <c r="E68" s="994"/>
      <c r="F68" s="933"/>
      <c r="G68" s="27"/>
      <c r="H68" s="27"/>
      <c r="I68" s="27"/>
      <c r="J68" s="27"/>
      <c r="K68" s="27"/>
      <c r="L68" s="27"/>
      <c r="M68" s="27"/>
      <c r="N68" s="27"/>
      <c r="O68" s="27"/>
      <c r="P68" s="27"/>
      <c r="Q68" s="27"/>
      <c r="R68" s="27"/>
      <c r="S68" s="27"/>
      <c r="T68" s="27"/>
    </row>
    <row r="69" spans="1:20" ht="13.5" customHeight="1">
      <c r="A69" s="27"/>
      <c r="B69" s="27"/>
      <c r="C69" s="27"/>
      <c r="D69" s="27"/>
      <c r="E69" s="994"/>
      <c r="F69" s="933"/>
      <c r="G69" s="27"/>
      <c r="H69" s="27"/>
      <c r="I69" s="27"/>
      <c r="J69" s="27"/>
      <c r="K69" s="27"/>
      <c r="L69" s="27"/>
      <c r="M69" s="27"/>
      <c r="N69" s="27"/>
      <c r="O69" s="27"/>
      <c r="P69" s="27"/>
      <c r="Q69" s="27"/>
      <c r="R69" s="27"/>
      <c r="S69" s="27"/>
      <c r="T69" s="27"/>
    </row>
    <row r="70" spans="1:20" ht="13.5" customHeight="1">
      <c r="A70" s="27"/>
      <c r="B70" s="27"/>
      <c r="C70" s="27"/>
      <c r="D70" s="27"/>
      <c r="E70" s="994"/>
      <c r="F70" s="933"/>
      <c r="G70" s="27"/>
      <c r="H70" s="27"/>
      <c r="I70" s="27"/>
      <c r="J70" s="27"/>
      <c r="K70" s="27"/>
      <c r="L70" s="27"/>
      <c r="M70" s="27"/>
      <c r="N70" s="27"/>
      <c r="O70" s="27"/>
      <c r="P70" s="27"/>
      <c r="Q70" s="27"/>
      <c r="R70" s="27"/>
      <c r="S70" s="27"/>
      <c r="T70" s="27"/>
    </row>
    <row r="71" spans="1:20" ht="13.5" customHeight="1">
      <c r="A71" s="27"/>
      <c r="B71" s="27"/>
      <c r="C71" s="27"/>
      <c r="D71" s="27"/>
      <c r="E71" s="994"/>
      <c r="F71" s="933"/>
      <c r="G71" s="27"/>
      <c r="H71" s="27"/>
      <c r="I71" s="27"/>
      <c r="J71" s="27"/>
      <c r="K71" s="27"/>
      <c r="L71" s="27"/>
      <c r="M71" s="27"/>
      <c r="N71" s="27"/>
      <c r="O71" s="27"/>
      <c r="P71" s="27"/>
      <c r="Q71" s="27"/>
      <c r="R71" s="27"/>
      <c r="S71" s="27"/>
      <c r="T71" s="27"/>
    </row>
    <row r="72" spans="1:20" ht="13.5" customHeight="1">
      <c r="A72" s="27"/>
      <c r="B72" s="27"/>
      <c r="C72" s="27"/>
      <c r="D72" s="27"/>
      <c r="E72" s="994"/>
      <c r="F72" s="933"/>
      <c r="G72" s="27"/>
      <c r="H72" s="27"/>
      <c r="I72" s="27"/>
      <c r="J72" s="27"/>
      <c r="K72" s="27"/>
      <c r="L72" s="27"/>
      <c r="M72" s="27"/>
      <c r="N72" s="27"/>
      <c r="O72" s="27"/>
      <c r="P72" s="27"/>
      <c r="Q72" s="27"/>
      <c r="R72" s="27"/>
      <c r="S72" s="27"/>
      <c r="T72" s="27"/>
    </row>
    <row r="73" spans="1:20" ht="13.5" customHeight="1">
      <c r="A73" s="27"/>
      <c r="B73" s="27"/>
      <c r="C73" s="27"/>
      <c r="D73" s="27"/>
      <c r="E73" s="994"/>
      <c r="F73" s="933"/>
      <c r="G73" s="27"/>
      <c r="H73" s="27"/>
      <c r="I73" s="27"/>
      <c r="J73" s="27"/>
      <c r="K73" s="27"/>
      <c r="L73" s="27"/>
      <c r="M73" s="27"/>
      <c r="N73" s="27"/>
      <c r="O73" s="27"/>
      <c r="P73" s="27"/>
      <c r="Q73" s="27"/>
      <c r="R73" s="27"/>
      <c r="S73" s="27"/>
      <c r="T73" s="27"/>
    </row>
    <row r="74" spans="1:20" ht="13.5" customHeight="1">
      <c r="A74" s="27"/>
      <c r="B74" s="27"/>
      <c r="C74" s="27"/>
      <c r="D74" s="27"/>
      <c r="E74" s="994"/>
      <c r="F74" s="933"/>
      <c r="G74" s="27"/>
      <c r="H74" s="27"/>
      <c r="I74" s="27"/>
      <c r="J74" s="27"/>
      <c r="K74" s="27"/>
      <c r="L74" s="27"/>
      <c r="M74" s="27"/>
      <c r="N74" s="27"/>
      <c r="O74" s="27"/>
      <c r="P74" s="27"/>
      <c r="Q74" s="27"/>
      <c r="R74" s="27"/>
      <c r="S74" s="27"/>
      <c r="T74" s="27"/>
    </row>
    <row r="75" spans="1:20" ht="13.5" customHeight="1">
      <c r="A75" s="27"/>
      <c r="B75" s="27"/>
      <c r="C75" s="27"/>
      <c r="D75" s="27"/>
      <c r="E75" s="994"/>
      <c r="F75" s="933"/>
      <c r="G75" s="27"/>
      <c r="H75" s="27"/>
      <c r="I75" s="27"/>
      <c r="J75" s="27"/>
      <c r="K75" s="27"/>
      <c r="L75" s="27"/>
      <c r="M75" s="27"/>
      <c r="N75" s="27"/>
      <c r="O75" s="27"/>
      <c r="P75" s="27"/>
      <c r="Q75" s="27"/>
      <c r="R75" s="27"/>
      <c r="S75" s="27"/>
      <c r="T75" s="27"/>
    </row>
    <row r="88" spans="11:15" ht="13.5" customHeight="1">
      <c r="K88" s="726"/>
      <c r="N88" s="726"/>
      <c r="O88" s="726"/>
    </row>
    <row r="89" spans="11:15" ht="13.5" customHeight="1">
      <c r="K89" s="726"/>
      <c r="N89" s="726"/>
      <c r="O89" s="726"/>
    </row>
  </sheetData>
  <customSheetViews>
    <customSheetView guid="{B321D76C-CDE5-48BB-9CDE-80FF97D58FCF}" scale="115" showPageBreaks="1" fitToPage="1" printArea="1" view="pageBreakPreview" topLeftCell="I49">
      <selection activeCell="D33" sqref="D33"/>
      <rowBreaks count="1" manualBreakCount="1">
        <brk id="60" max="20" man="1"/>
      </rowBreaks>
      <pageMargins left="0.1" right="0.1" top="0" bottom="0" header="0.3" footer="0.3"/>
      <printOptions horizontalCentered="1"/>
      <pageSetup scale="47" orientation="landscape" r:id="rId1"/>
    </customSheetView>
  </customSheetViews>
  <mergeCells count="9">
    <mergeCell ref="G16:H16"/>
    <mergeCell ref="A5:T5"/>
    <mergeCell ref="Q11:T11"/>
    <mergeCell ref="A3:U3"/>
    <mergeCell ref="A4:U4"/>
    <mergeCell ref="A7:U7"/>
    <mergeCell ref="A8:U8"/>
    <mergeCell ref="I11:L11"/>
    <mergeCell ref="M11:P11"/>
  </mergeCells>
  <printOptions horizontalCentered="1"/>
  <pageMargins left="0.1" right="0.1" top="0" bottom="0" header="0.3" footer="0.3"/>
  <pageSetup scale="44" orientation="landscape" r:id="rId2"/>
  <rowBreaks count="1" manualBreakCount="1">
    <brk id="60" max="20"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O64"/>
  <sheetViews>
    <sheetView tabSelected="1" zoomScale="90" zoomScaleNormal="90" zoomScaleSheetLayoutView="90" workbookViewId="0">
      <selection activeCell="C30" sqref="C30"/>
    </sheetView>
  </sheetViews>
  <sheetFormatPr defaultColWidth="9" defaultRowHeight="12"/>
  <cols>
    <col min="1" max="1" width="11" style="13" customWidth="1"/>
    <col min="2" max="2" width="3.75" style="13" bestFit="1" customWidth="1"/>
    <col min="3" max="3" width="19" style="13" customWidth="1"/>
    <col min="4" max="4" width="9" style="13"/>
    <col min="5" max="5" width="37.75" style="13" customWidth="1"/>
    <col min="6" max="6" width="11.75" style="13" bestFit="1" customWidth="1"/>
    <col min="7" max="7" width="16" style="13" bestFit="1" customWidth="1"/>
    <col min="8" max="8" width="7.375" style="13" bestFit="1" customWidth="1"/>
    <col min="9" max="9" width="14.375" style="13" bestFit="1" customWidth="1"/>
    <col min="10" max="11" width="14.125" style="13" bestFit="1" customWidth="1"/>
    <col min="12" max="12" width="11.5" style="13" bestFit="1" customWidth="1"/>
    <col min="13" max="13" width="23.75" style="13" bestFit="1" customWidth="1"/>
    <col min="14" max="14" width="10.5" style="13" bestFit="1" customWidth="1"/>
    <col min="15" max="16384" width="9" style="13"/>
  </cols>
  <sheetData>
    <row r="1" spans="1:15" ht="15">
      <c r="A1" s="182" t="s">
        <v>915</v>
      </c>
      <c r="B1" s="319"/>
      <c r="H1" s="63"/>
      <c r="I1" s="63"/>
      <c r="J1" s="63"/>
      <c r="K1" s="63"/>
    </row>
    <row r="2" spans="1:15" ht="12.75">
      <c r="A2" s="319"/>
      <c r="B2" s="319"/>
      <c r="H2" s="63"/>
      <c r="I2" s="63"/>
      <c r="J2" s="63"/>
      <c r="K2" s="63"/>
    </row>
    <row r="3" spans="1:15" ht="12.75">
      <c r="A3" s="319"/>
      <c r="B3" s="319"/>
      <c r="C3" s="337"/>
      <c r="D3" s="337"/>
      <c r="E3" s="337"/>
      <c r="F3" s="337"/>
      <c r="G3" s="337"/>
      <c r="H3" s="63"/>
      <c r="I3" s="63"/>
      <c r="J3" s="63"/>
      <c r="K3" s="63"/>
    </row>
    <row r="4" spans="1:15" ht="15" customHeight="1">
      <c r="A4" s="1798" t="s">
        <v>933</v>
      </c>
      <c r="B4" s="1798"/>
      <c r="C4" s="1798"/>
      <c r="D4" s="1798"/>
      <c r="E4" s="1798"/>
      <c r="F4" s="1798"/>
      <c r="G4" s="1798"/>
      <c r="H4" s="1798"/>
      <c r="I4" s="1798"/>
      <c r="J4" s="1798"/>
      <c r="K4" s="1798"/>
      <c r="L4" s="1798"/>
      <c r="M4" s="1798"/>
      <c r="N4" s="1798"/>
    </row>
    <row r="5" spans="1:15" ht="15" customHeight="1">
      <c r="A5" s="1798" t="str">
        <f>+'F1-Proj RR'!A6</f>
        <v>NEW YORK POWER AUTHORITY</v>
      </c>
      <c r="B5" s="1798"/>
      <c r="C5" s="1798"/>
      <c r="D5" s="1798"/>
      <c r="E5" s="1798"/>
      <c r="F5" s="1798"/>
      <c r="G5" s="1798"/>
      <c r="H5" s="1798"/>
      <c r="I5" s="1798"/>
      <c r="J5" s="1798"/>
      <c r="K5" s="1798"/>
      <c r="L5" s="1798"/>
      <c r="M5" s="1798"/>
      <c r="N5" s="1798"/>
    </row>
    <row r="6" spans="1:15" ht="15" customHeight="1">
      <c r="D6" s="1611"/>
      <c r="E6" s="1611"/>
      <c r="G6" s="1617" t="s">
        <v>1850</v>
      </c>
      <c r="H6" s="1611"/>
      <c r="I6" s="1611"/>
      <c r="J6" s="1611"/>
      <c r="K6" s="1611"/>
      <c r="L6" s="1611"/>
      <c r="M6" s="1611"/>
      <c r="N6" s="1611"/>
    </row>
    <row r="7" spans="1:15" s="27" customFormat="1" ht="15" customHeight="1">
      <c r="A7" s="995"/>
      <c r="B7" s="995"/>
      <c r="C7" s="349"/>
    </row>
    <row r="8" spans="1:15" s="27" customFormat="1" ht="15" customHeight="1">
      <c r="A8" s="996" t="s">
        <v>1</v>
      </c>
      <c r="B8" s="996"/>
      <c r="C8" s="997" t="s">
        <v>1158</v>
      </c>
      <c r="D8" s="997" t="s">
        <v>1159</v>
      </c>
      <c r="E8" s="962"/>
      <c r="F8" s="962"/>
      <c r="G8" s="1797" t="s">
        <v>1837</v>
      </c>
      <c r="H8" s="1797"/>
      <c r="I8" s="1797"/>
      <c r="J8" s="1797"/>
      <c r="K8" s="1797"/>
      <c r="L8" s="1797"/>
      <c r="M8" s="1797"/>
      <c r="N8" s="1797"/>
    </row>
    <row r="9" spans="1:15" s="27" customFormat="1" ht="15" customHeight="1">
      <c r="A9" s="995"/>
      <c r="B9" s="995"/>
      <c r="C9" s="998" t="s">
        <v>995</v>
      </c>
      <c r="F9" s="933" t="s">
        <v>85</v>
      </c>
      <c r="G9" s="933" t="s">
        <v>753</v>
      </c>
      <c r="H9" s="933" t="s">
        <v>64</v>
      </c>
      <c r="I9" s="933" t="s">
        <v>65</v>
      </c>
      <c r="J9" s="933" t="s">
        <v>828</v>
      </c>
      <c r="K9" s="933" t="s">
        <v>754</v>
      </c>
      <c r="L9" s="933" t="s">
        <v>755</v>
      </c>
      <c r="M9" s="933" t="s">
        <v>1838</v>
      </c>
      <c r="N9" s="933" t="s">
        <v>756</v>
      </c>
    </row>
    <row r="10" spans="1:15" s="27" customFormat="1" ht="15" customHeight="1">
      <c r="A10" s="995">
        <v>1</v>
      </c>
      <c r="B10" s="995"/>
      <c r="C10" s="999">
        <v>350</v>
      </c>
      <c r="D10" s="27" t="s">
        <v>996</v>
      </c>
      <c r="E10" s="349"/>
    </row>
    <row r="11" spans="1:15" s="27" customFormat="1" ht="15" customHeight="1">
      <c r="A11" s="995">
        <f t="shared" ref="A11:A18" si="0">+A10+1</f>
        <v>2</v>
      </c>
      <c r="B11" s="995"/>
      <c r="C11" s="999" t="s">
        <v>581</v>
      </c>
      <c r="D11" s="27" t="s">
        <v>997</v>
      </c>
      <c r="E11" s="349"/>
      <c r="F11" s="1000"/>
      <c r="G11" s="1000">
        <v>1.34E-2</v>
      </c>
      <c r="H11" s="1000">
        <v>1.2200000000000001E-2</v>
      </c>
      <c r="I11" s="1000">
        <v>1.0500000000000001E-2</v>
      </c>
      <c r="J11" s="1000"/>
      <c r="K11" s="1000">
        <v>1.2999999999999999E-2</v>
      </c>
      <c r="L11" s="1000"/>
      <c r="M11" s="1000">
        <v>3.3300000000000003E-2</v>
      </c>
      <c r="N11" s="1000">
        <v>1.6E-2</v>
      </c>
      <c r="O11" s="1001"/>
    </row>
    <row r="12" spans="1:15" s="27" customFormat="1" ht="15" customHeight="1">
      <c r="A12" s="995">
        <f t="shared" si="0"/>
        <v>3</v>
      </c>
      <c r="B12" s="995"/>
      <c r="C12" s="999" t="s">
        <v>582</v>
      </c>
      <c r="D12" s="27" t="s">
        <v>998</v>
      </c>
      <c r="E12" s="349"/>
      <c r="F12" s="1000"/>
      <c r="G12" s="1000">
        <v>1.5100000000000001E-2</v>
      </c>
      <c r="H12" s="1000">
        <v>1.6199999999999999E-2</v>
      </c>
      <c r="I12" s="1000">
        <v>1.7500000000000002E-2</v>
      </c>
      <c r="J12" s="1000"/>
      <c r="K12" s="1000">
        <v>1.4800000000000001E-2</v>
      </c>
      <c r="L12" s="1000">
        <v>1.55E-2</v>
      </c>
      <c r="M12" s="1000">
        <v>3.3300000000000003E-2</v>
      </c>
      <c r="N12" s="1000">
        <v>1.8700000000000001E-2</v>
      </c>
      <c r="O12" s="1001"/>
    </row>
    <row r="13" spans="1:15" s="27" customFormat="1" ht="15" customHeight="1">
      <c r="A13" s="995">
        <f t="shared" si="0"/>
        <v>4</v>
      </c>
      <c r="B13" s="995"/>
      <c r="C13" s="999" t="s">
        <v>999</v>
      </c>
      <c r="D13" s="27" t="s">
        <v>1000</v>
      </c>
      <c r="E13" s="349"/>
      <c r="F13" s="1000"/>
      <c r="G13" s="1000">
        <v>3.2000000000000001E-2</v>
      </c>
      <c r="H13" s="1000">
        <v>2.0400000000000001E-2</v>
      </c>
      <c r="I13" s="1000">
        <v>1.72E-2</v>
      </c>
      <c r="J13" s="1000">
        <v>1.06E-2</v>
      </c>
      <c r="K13" s="1000">
        <v>1.89E-2</v>
      </c>
      <c r="L13" s="1000">
        <v>2.0400000000000001E-2</v>
      </c>
      <c r="M13" s="1000"/>
      <c r="N13" s="1000">
        <v>2.06E-2</v>
      </c>
      <c r="O13" s="1001"/>
    </row>
    <row r="14" spans="1:15" s="27" customFormat="1" ht="15" customHeight="1">
      <c r="A14" s="995">
        <f t="shared" si="0"/>
        <v>5</v>
      </c>
      <c r="B14" s="995"/>
      <c r="C14" s="999" t="s">
        <v>1001</v>
      </c>
      <c r="D14" s="27" t="s">
        <v>1002</v>
      </c>
      <c r="E14" s="349"/>
      <c r="F14" s="1000"/>
      <c r="G14" s="1000">
        <v>2.2200000000000001E-2</v>
      </c>
      <c r="H14" s="1000">
        <v>1.9800000000000002E-2</v>
      </c>
      <c r="I14" s="1000">
        <v>1.2999999999999999E-2</v>
      </c>
      <c r="J14" s="1000"/>
      <c r="K14" s="1000">
        <v>1.4500000000000001E-2</v>
      </c>
      <c r="L14" s="1000">
        <v>1.77E-2</v>
      </c>
      <c r="M14" s="1000"/>
      <c r="N14" s="1000">
        <v>2.06E-2</v>
      </c>
      <c r="O14" s="1001"/>
    </row>
    <row r="15" spans="1:15" s="27" customFormat="1" ht="15" customHeight="1">
      <c r="A15" s="995">
        <f t="shared" si="0"/>
        <v>6</v>
      </c>
      <c r="B15" s="995"/>
      <c r="C15" s="999" t="s">
        <v>1003</v>
      </c>
      <c r="D15" s="27" t="s">
        <v>1004</v>
      </c>
      <c r="E15" s="349"/>
      <c r="F15" s="1000"/>
      <c r="G15" s="1000">
        <v>2.5000000000000001E-2</v>
      </c>
      <c r="H15" s="1000">
        <v>1.95E-2</v>
      </c>
      <c r="I15" s="1000">
        <v>1.3599999999999999E-2</v>
      </c>
      <c r="J15" s="1000">
        <v>9.7000000000000003E-3</v>
      </c>
      <c r="K15" s="1000">
        <v>2.1399999999999999E-2</v>
      </c>
      <c r="L15" s="1000">
        <v>1.7399999999999999E-2</v>
      </c>
      <c r="M15" s="1000"/>
      <c r="N15" s="1000">
        <v>1.8800000000000001E-2</v>
      </c>
      <c r="O15" s="1001"/>
    </row>
    <row r="16" spans="1:15" s="27" customFormat="1" ht="15" customHeight="1">
      <c r="A16" s="995">
        <f t="shared" si="0"/>
        <v>7</v>
      </c>
      <c r="B16" s="995"/>
      <c r="C16" s="999" t="s">
        <v>1005</v>
      </c>
      <c r="D16" s="27" t="s">
        <v>1006</v>
      </c>
      <c r="E16" s="349"/>
      <c r="F16" s="1000"/>
      <c r="G16" s="1000">
        <v>1.8E-3</v>
      </c>
      <c r="H16" s="1000"/>
      <c r="I16" s="1000"/>
      <c r="J16" s="1000"/>
      <c r="K16" s="1000"/>
      <c r="L16" s="1000">
        <v>1.23E-2</v>
      </c>
      <c r="M16" s="1000">
        <v>3.3300000000000003E-2</v>
      </c>
      <c r="N16" s="1000">
        <v>1.4E-2</v>
      </c>
      <c r="O16" s="1001"/>
    </row>
    <row r="17" spans="1:15" s="27" customFormat="1" ht="15" customHeight="1">
      <c r="A17" s="995">
        <f t="shared" si="0"/>
        <v>8</v>
      </c>
      <c r="B17" s="995"/>
      <c r="C17" s="999" t="s">
        <v>1007</v>
      </c>
      <c r="D17" s="27" t="s">
        <v>1008</v>
      </c>
      <c r="E17" s="349"/>
      <c r="F17" s="1000"/>
      <c r="G17" s="1000">
        <v>1.6999999999999999E-3</v>
      </c>
      <c r="H17" s="1000"/>
      <c r="I17" s="1000"/>
      <c r="J17" s="1000"/>
      <c r="K17" s="1000"/>
      <c r="L17" s="1000">
        <v>1.29E-2</v>
      </c>
      <c r="M17" s="1000">
        <v>3.3300000000000003E-2</v>
      </c>
      <c r="N17" s="1000">
        <v>1.7500000000000002E-2</v>
      </c>
      <c r="O17" s="1001"/>
    </row>
    <row r="18" spans="1:15" s="27" customFormat="1" ht="15" customHeight="1">
      <c r="A18" s="995">
        <f t="shared" si="0"/>
        <v>9</v>
      </c>
      <c r="B18" s="995"/>
      <c r="C18" s="999" t="s">
        <v>1009</v>
      </c>
      <c r="D18" s="27" t="s">
        <v>1010</v>
      </c>
      <c r="E18" s="349"/>
      <c r="F18" s="1000"/>
      <c r="G18" s="1000">
        <v>5.4999999999999997E-3</v>
      </c>
      <c r="H18" s="1000">
        <v>2.8E-3</v>
      </c>
      <c r="I18" s="1000">
        <v>6.4000000000000003E-3</v>
      </c>
      <c r="J18" s="1000">
        <v>1.2999999999999999E-3</v>
      </c>
      <c r="K18" s="1000">
        <v>7.3000000000000001E-3</v>
      </c>
      <c r="L18" s="1000">
        <v>8.9999999999999993E-3</v>
      </c>
      <c r="M18" s="1000"/>
      <c r="N18" s="1000">
        <v>0.01</v>
      </c>
      <c r="O18" s="1001"/>
    </row>
    <row r="19" spans="1:15" s="27" customFormat="1" ht="15" customHeight="1">
      <c r="A19" s="995"/>
      <c r="B19" s="995"/>
      <c r="C19" s="999" t="s">
        <v>1011</v>
      </c>
    </row>
    <row r="20" spans="1:15" s="27" customFormat="1" ht="15" customHeight="1">
      <c r="A20" s="995">
        <f>A18+1</f>
        <v>10</v>
      </c>
      <c r="B20" s="995"/>
      <c r="C20" s="999" t="s">
        <v>1012</v>
      </c>
      <c r="D20" s="27" t="s">
        <v>1013</v>
      </c>
      <c r="E20" s="349"/>
      <c r="F20" s="1000">
        <v>1.14E-2</v>
      </c>
      <c r="G20" s="1000">
        <v>1.4500000000000001E-2</v>
      </c>
      <c r="H20" s="1000">
        <v>9.7000000000000003E-3</v>
      </c>
      <c r="I20" s="1000">
        <v>1.4999999999999999E-2</v>
      </c>
      <c r="J20" s="1000"/>
      <c r="K20" s="1000">
        <v>1.34E-2</v>
      </c>
      <c r="L20" s="1000"/>
      <c r="M20" s="1000">
        <v>3.4500000000000003E-2</v>
      </c>
      <c r="N20" s="1000">
        <v>1.67E-2</v>
      </c>
    </row>
    <row r="21" spans="1:15" s="27" customFormat="1" ht="15" customHeight="1">
      <c r="A21" s="995">
        <f>A20+1</f>
        <v>11</v>
      </c>
      <c r="B21" s="995"/>
      <c r="C21" s="999" t="s">
        <v>1014</v>
      </c>
      <c r="D21" s="27" t="s">
        <v>1015</v>
      </c>
      <c r="E21" s="349"/>
      <c r="F21" s="1000">
        <v>5.5599999999999997E-2</v>
      </c>
      <c r="G21" s="1000">
        <v>5.5599999999999997E-2</v>
      </c>
      <c r="H21" s="1000">
        <v>5.5599999999999997E-2</v>
      </c>
      <c r="I21" s="1000">
        <v>5.5599999999999997E-2</v>
      </c>
      <c r="J21" s="1000"/>
      <c r="K21" s="1000">
        <v>5.5599999999999997E-2</v>
      </c>
      <c r="L21" s="1000"/>
      <c r="M21" s="1000">
        <v>9.0800000000000006E-2</v>
      </c>
      <c r="N21" s="1000">
        <v>5.5599999999999997E-2</v>
      </c>
    </row>
    <row r="22" spans="1:15" s="27" customFormat="1" ht="15" customHeight="1">
      <c r="A22" s="995">
        <f t="shared" ref="A22:A34" si="1">A21+1</f>
        <v>12</v>
      </c>
      <c r="B22" s="995"/>
      <c r="C22" s="999" t="s">
        <v>1825</v>
      </c>
      <c r="D22" s="27" t="s">
        <v>1827</v>
      </c>
      <c r="E22" s="349"/>
      <c r="F22" s="1000">
        <v>0.2</v>
      </c>
      <c r="G22" s="1000">
        <v>0.2</v>
      </c>
      <c r="H22" s="1000">
        <v>0.2</v>
      </c>
      <c r="I22" s="1000">
        <v>0.2</v>
      </c>
      <c r="J22" s="1000"/>
      <c r="K22" s="1000">
        <v>0.2</v>
      </c>
      <c r="L22" s="1000"/>
      <c r="M22" s="1000"/>
      <c r="N22" s="1000">
        <v>0.2</v>
      </c>
    </row>
    <row r="23" spans="1:15" s="27" customFormat="1" ht="15" customHeight="1">
      <c r="A23" s="995">
        <f t="shared" si="1"/>
        <v>13</v>
      </c>
      <c r="B23" s="995"/>
      <c r="C23" s="999" t="s">
        <v>1826</v>
      </c>
      <c r="D23" s="27" t="s">
        <v>1828</v>
      </c>
      <c r="E23" s="349"/>
      <c r="F23" s="1000">
        <v>0.1</v>
      </c>
      <c r="G23" s="1000">
        <v>0.1</v>
      </c>
      <c r="H23" s="1000">
        <v>0.1</v>
      </c>
      <c r="I23" s="1000">
        <v>0.1</v>
      </c>
      <c r="J23" s="1000"/>
      <c r="K23" s="1000">
        <v>0.1</v>
      </c>
      <c r="L23" s="1000"/>
      <c r="M23" s="1000"/>
      <c r="N23" s="1000">
        <v>0.1</v>
      </c>
    </row>
    <row r="24" spans="1:15" s="27" customFormat="1" ht="15" customHeight="1">
      <c r="A24" s="995">
        <f t="shared" si="1"/>
        <v>14</v>
      </c>
      <c r="B24" s="995"/>
      <c r="C24" s="999" t="s">
        <v>1016</v>
      </c>
      <c r="D24" s="27" t="s">
        <v>1017</v>
      </c>
      <c r="E24" s="349"/>
      <c r="F24" s="1000">
        <v>2.5600000000000001E-2</v>
      </c>
      <c r="G24" s="1000">
        <v>4.4900000000000002E-2</v>
      </c>
      <c r="H24" s="1000">
        <v>2.9600000000000001E-2</v>
      </c>
      <c r="I24" s="1000">
        <v>5.0299999999999997E-2</v>
      </c>
      <c r="J24" s="1000"/>
      <c r="K24" s="1000">
        <v>4.48E-2</v>
      </c>
      <c r="L24" s="1000"/>
      <c r="M24" s="1000">
        <v>0.13039999999999999</v>
      </c>
      <c r="N24" s="1000">
        <v>0.1</v>
      </c>
    </row>
    <row r="25" spans="1:15" s="27" customFormat="1" ht="15" customHeight="1">
      <c r="A25" s="995">
        <f t="shared" si="1"/>
        <v>15</v>
      </c>
      <c r="B25" s="995"/>
      <c r="C25" s="999" t="s">
        <v>1018</v>
      </c>
      <c r="D25" s="27" t="s">
        <v>1019</v>
      </c>
      <c r="E25" s="349"/>
      <c r="F25" s="1000"/>
      <c r="G25" s="1000">
        <v>2.6499999999999999E-2</v>
      </c>
      <c r="H25" s="1000" t="s">
        <v>362</v>
      </c>
      <c r="I25" s="1000">
        <v>3.2099999999999997E-2</v>
      </c>
      <c r="J25" s="1000"/>
      <c r="K25" s="1000">
        <v>3.3300000000000003E-2</v>
      </c>
      <c r="L25" s="1000"/>
      <c r="M25" s="1000">
        <v>3.15E-2</v>
      </c>
      <c r="N25" s="1000">
        <v>3.3300000000000003E-2</v>
      </c>
    </row>
    <row r="26" spans="1:15" s="27" customFormat="1" ht="15" customHeight="1">
      <c r="A26" s="995">
        <f t="shared" si="1"/>
        <v>16</v>
      </c>
      <c r="B26" s="995"/>
      <c r="C26" s="999" t="s">
        <v>1020</v>
      </c>
      <c r="D26" s="27" t="s">
        <v>1021</v>
      </c>
      <c r="E26" s="349"/>
      <c r="F26" s="1000">
        <v>2.8799999999999999E-2</v>
      </c>
      <c r="G26" s="1000">
        <v>6.4500000000000002E-2</v>
      </c>
      <c r="H26" s="1000">
        <v>4.1399999999999999E-2</v>
      </c>
      <c r="I26" s="1000">
        <v>3.6700000000000003E-2</v>
      </c>
      <c r="J26" s="1000"/>
      <c r="K26" s="1000">
        <v>1.2E-2</v>
      </c>
      <c r="L26" s="1000"/>
      <c r="M26" s="1000">
        <v>4.9399999999999999E-2</v>
      </c>
      <c r="N26" s="1000">
        <v>0.05</v>
      </c>
    </row>
    <row r="27" spans="1:15" s="27" customFormat="1" ht="15" customHeight="1">
      <c r="A27" s="995">
        <f t="shared" si="1"/>
        <v>17</v>
      </c>
      <c r="B27" s="995"/>
      <c r="C27" s="999" t="s">
        <v>1022</v>
      </c>
      <c r="D27" s="27" t="s">
        <v>1023</v>
      </c>
      <c r="E27" s="349"/>
      <c r="F27" s="1000">
        <v>4.82E-2</v>
      </c>
      <c r="G27" s="1000">
        <v>5.4800000000000001E-2</v>
      </c>
      <c r="H27" s="1000">
        <v>1.5699999999999999E-2</v>
      </c>
      <c r="I27" s="1000">
        <v>2.3E-2</v>
      </c>
      <c r="J27" s="1000"/>
      <c r="K27" s="1000">
        <v>1.52E-2</v>
      </c>
      <c r="L27" s="1000"/>
      <c r="M27" s="1000">
        <v>4.4299999999999999E-2</v>
      </c>
      <c r="N27" s="1000">
        <v>0.05</v>
      </c>
    </row>
    <row r="28" spans="1:15" s="27" customFormat="1" ht="15" customHeight="1">
      <c r="A28" s="995">
        <f t="shared" si="1"/>
        <v>18</v>
      </c>
      <c r="B28" s="995"/>
      <c r="C28" s="999" t="s">
        <v>1024</v>
      </c>
      <c r="D28" s="27" t="s">
        <v>1025</v>
      </c>
      <c r="E28" s="349"/>
      <c r="F28" s="1000"/>
      <c r="G28" s="1000">
        <v>5.4699999999999999E-2</v>
      </c>
      <c r="H28" s="1000">
        <v>6.5100000000000005E-2</v>
      </c>
      <c r="I28" s="1000">
        <v>7.2300000000000003E-2</v>
      </c>
      <c r="J28" s="1000"/>
      <c r="K28" s="1000">
        <v>4.8099999999999997E-2</v>
      </c>
      <c r="L28" s="1000" t="s">
        <v>362</v>
      </c>
      <c r="M28" s="1000">
        <v>9.3299999999999994E-2</v>
      </c>
      <c r="N28" s="1000">
        <v>8.3299999999999999E-2</v>
      </c>
    </row>
    <row r="29" spans="1:15" s="27" customFormat="1" ht="15" customHeight="1">
      <c r="A29" s="995">
        <f t="shared" si="1"/>
        <v>19</v>
      </c>
      <c r="B29" s="995"/>
      <c r="C29" s="999" t="s">
        <v>1026</v>
      </c>
      <c r="D29" s="27" t="s">
        <v>1027</v>
      </c>
      <c r="E29" s="349"/>
      <c r="F29" s="1000">
        <v>6.6699999999999995E-2</v>
      </c>
      <c r="G29" s="1000">
        <v>6.6699999999999995E-2</v>
      </c>
      <c r="H29" s="1000">
        <v>6.6699999999999995E-2</v>
      </c>
      <c r="I29" s="1000">
        <v>6.6699999999999995E-2</v>
      </c>
      <c r="J29" s="1000"/>
      <c r="K29" s="1000">
        <v>6.6699999999999995E-2</v>
      </c>
      <c r="L29" s="1000">
        <v>6.6699999999999995E-2</v>
      </c>
      <c r="M29" s="1000">
        <v>6.6299999999999998E-2</v>
      </c>
      <c r="N29" s="1000">
        <v>6.6699999999999995E-2</v>
      </c>
    </row>
    <row r="30" spans="1:15" s="27" customFormat="1" ht="15" customHeight="1">
      <c r="A30" s="995">
        <f t="shared" si="1"/>
        <v>20</v>
      </c>
      <c r="B30" s="995"/>
      <c r="C30" s="999" t="s">
        <v>1028</v>
      </c>
      <c r="D30" s="27" t="s">
        <v>1839</v>
      </c>
      <c r="E30" s="349"/>
      <c r="F30" s="1615">
        <v>2.0000000000000002E-5</v>
      </c>
      <c r="G30" s="1000">
        <v>0.1104</v>
      </c>
      <c r="H30" s="1000">
        <v>8.6E-3</v>
      </c>
      <c r="I30" s="1000">
        <v>3.6700000000000003E-2</v>
      </c>
      <c r="J30" s="1000"/>
      <c r="K30" s="1000">
        <v>2.0000000000000001E-4</v>
      </c>
      <c r="L30" s="1000"/>
      <c r="M30" s="1000">
        <v>5.9400000000000001E-2</v>
      </c>
      <c r="N30" s="1000">
        <v>0.05</v>
      </c>
    </row>
    <row r="31" spans="1:15" s="27" customFormat="1" ht="15" customHeight="1">
      <c r="A31" s="995">
        <f t="shared" si="1"/>
        <v>21</v>
      </c>
      <c r="B31" s="995"/>
      <c r="C31" s="999"/>
      <c r="D31" s="27" t="s">
        <v>583</v>
      </c>
      <c r="E31" s="349"/>
      <c r="F31" s="1000">
        <f>1/5</f>
        <v>0.2</v>
      </c>
      <c r="G31" s="1000">
        <f t="shared" ref="G31:N31" si="2">1/5</f>
        <v>0.2</v>
      </c>
      <c r="H31" s="1000">
        <f t="shared" si="2"/>
        <v>0.2</v>
      </c>
      <c r="I31" s="1000">
        <f t="shared" si="2"/>
        <v>0.2</v>
      </c>
      <c r="J31" s="1000">
        <f t="shared" si="2"/>
        <v>0.2</v>
      </c>
      <c r="K31" s="1000">
        <f t="shared" si="2"/>
        <v>0.2</v>
      </c>
      <c r="L31" s="1000">
        <f t="shared" si="2"/>
        <v>0.2</v>
      </c>
      <c r="M31" s="1000">
        <f t="shared" si="2"/>
        <v>0.2</v>
      </c>
      <c r="N31" s="1000">
        <f t="shared" si="2"/>
        <v>0.2</v>
      </c>
    </row>
    <row r="32" spans="1:15" s="27" customFormat="1" ht="15" customHeight="1">
      <c r="A32" s="995">
        <f t="shared" si="1"/>
        <v>22</v>
      </c>
      <c r="B32" s="995"/>
      <c r="C32" s="999"/>
      <c r="D32" s="27" t="s">
        <v>584</v>
      </c>
      <c r="E32" s="349"/>
      <c r="F32" s="1000">
        <f>1/10</f>
        <v>0.1</v>
      </c>
      <c r="G32" s="1000">
        <f t="shared" ref="G32:N32" si="3">1/10</f>
        <v>0.1</v>
      </c>
      <c r="H32" s="1000">
        <f t="shared" si="3"/>
        <v>0.1</v>
      </c>
      <c r="I32" s="1000">
        <f t="shared" si="3"/>
        <v>0.1</v>
      </c>
      <c r="J32" s="1000">
        <f t="shared" si="3"/>
        <v>0.1</v>
      </c>
      <c r="K32" s="1000">
        <f t="shared" si="3"/>
        <v>0.1</v>
      </c>
      <c r="L32" s="1000">
        <f t="shared" si="3"/>
        <v>0.1</v>
      </c>
      <c r="M32" s="1000">
        <f t="shared" si="3"/>
        <v>0.1</v>
      </c>
      <c r="N32" s="1000">
        <f t="shared" si="3"/>
        <v>0.1</v>
      </c>
    </row>
    <row r="33" spans="1:14" s="27" customFormat="1" ht="15" customHeight="1">
      <c r="A33" s="995">
        <f t="shared" si="1"/>
        <v>23</v>
      </c>
      <c r="B33" s="995"/>
      <c r="C33" s="999"/>
      <c r="D33" s="27" t="s">
        <v>585</v>
      </c>
      <c r="E33" s="349"/>
      <c r="F33" s="1000">
        <f>1/20</f>
        <v>0.05</v>
      </c>
      <c r="G33" s="1000">
        <f t="shared" ref="G33:N33" si="4">1/20</f>
        <v>0.05</v>
      </c>
      <c r="H33" s="1000">
        <f t="shared" si="4"/>
        <v>0.05</v>
      </c>
      <c r="I33" s="1000">
        <f t="shared" si="4"/>
        <v>0.05</v>
      </c>
      <c r="J33" s="1000">
        <f t="shared" si="4"/>
        <v>0.05</v>
      </c>
      <c r="K33" s="1000">
        <f t="shared" si="4"/>
        <v>0.05</v>
      </c>
      <c r="L33" s="1000">
        <f t="shared" si="4"/>
        <v>0.05</v>
      </c>
      <c r="M33" s="1000">
        <f t="shared" si="4"/>
        <v>0.05</v>
      </c>
      <c r="N33" s="1000">
        <f t="shared" si="4"/>
        <v>0.05</v>
      </c>
    </row>
    <row r="34" spans="1:14" s="27" customFormat="1" ht="15" customHeight="1">
      <c r="A34" s="995">
        <f t="shared" si="1"/>
        <v>24</v>
      </c>
      <c r="B34" s="995"/>
      <c r="C34" s="999" t="s">
        <v>1829</v>
      </c>
      <c r="D34" s="27" t="s">
        <v>84</v>
      </c>
      <c r="E34" s="349"/>
      <c r="F34" s="1000"/>
      <c r="G34" s="1000">
        <v>6.6699999999999995E-2</v>
      </c>
      <c r="H34" s="1000">
        <v>6.6699999999999995E-2</v>
      </c>
      <c r="I34" s="1000">
        <v>6.6699999999999995E-2</v>
      </c>
      <c r="J34" s="1000"/>
      <c r="K34" s="1000"/>
      <c r="L34" s="1000"/>
      <c r="M34" s="1000"/>
      <c r="N34" s="1000">
        <v>6.6699999999999995E-2</v>
      </c>
    </row>
    <row r="35" spans="1:14" s="27" customFormat="1" ht="15" customHeight="1">
      <c r="A35" s="995"/>
      <c r="B35" s="995"/>
      <c r="C35" s="999"/>
      <c r="F35" s="1002"/>
      <c r="G35" s="1002"/>
      <c r="H35" s="1002"/>
      <c r="I35" s="1002"/>
      <c r="J35" s="1002"/>
      <c r="K35" s="1002"/>
      <c r="L35" s="1002"/>
      <c r="M35" s="1002"/>
      <c r="N35" s="1002"/>
    </row>
    <row r="36" spans="1:14" s="27" customFormat="1" ht="15" customHeight="1">
      <c r="A36" s="995"/>
      <c r="B36" s="995"/>
      <c r="C36" s="999" t="s">
        <v>1029</v>
      </c>
      <c r="F36" s="1002"/>
      <c r="G36" s="1002"/>
      <c r="H36" s="1002"/>
      <c r="I36" s="1002"/>
      <c r="J36" s="1002"/>
      <c r="K36" s="1002"/>
      <c r="L36" s="1002"/>
      <c r="M36" s="1002"/>
    </row>
    <row r="37" spans="1:14" s="27" customFormat="1" ht="15" customHeight="1">
      <c r="A37" s="995">
        <f>A34+1</f>
        <v>25</v>
      </c>
      <c r="B37" s="995"/>
      <c r="C37" s="999" t="s">
        <v>1030</v>
      </c>
      <c r="D37" s="27" t="s">
        <v>1031</v>
      </c>
      <c r="E37" s="349"/>
      <c r="F37" s="1002"/>
      <c r="G37" s="1002"/>
      <c r="H37" s="1002"/>
      <c r="I37" s="1002"/>
      <c r="J37" s="1002"/>
      <c r="K37" s="1002"/>
      <c r="L37" s="1002"/>
      <c r="M37" s="1002"/>
    </row>
    <row r="38" spans="1:14" s="27" customFormat="1" ht="15" customHeight="1">
      <c r="A38" s="995">
        <f>A37+1</f>
        <v>26</v>
      </c>
      <c r="B38" s="995"/>
      <c r="C38" s="999"/>
      <c r="D38" s="27" t="s">
        <v>583</v>
      </c>
      <c r="E38" s="349"/>
      <c r="F38" s="1000">
        <f>1/5</f>
        <v>0.2</v>
      </c>
      <c r="G38" s="1000">
        <f t="shared" ref="G38:N38" si="5">1/5</f>
        <v>0.2</v>
      </c>
      <c r="H38" s="1000">
        <f t="shared" si="5"/>
        <v>0.2</v>
      </c>
      <c r="I38" s="1000">
        <f t="shared" si="5"/>
        <v>0.2</v>
      </c>
      <c r="J38" s="1000">
        <f t="shared" si="5"/>
        <v>0.2</v>
      </c>
      <c r="K38" s="1000">
        <f t="shared" si="5"/>
        <v>0.2</v>
      </c>
      <c r="L38" s="1000">
        <f t="shared" si="5"/>
        <v>0.2</v>
      </c>
      <c r="M38" s="1000">
        <f t="shared" si="5"/>
        <v>0.2</v>
      </c>
      <c r="N38" s="1000">
        <f t="shared" si="5"/>
        <v>0.2</v>
      </c>
    </row>
    <row r="39" spans="1:14" s="27" customFormat="1" ht="15" customHeight="1">
      <c r="A39" s="995">
        <f>+A38+1</f>
        <v>27</v>
      </c>
      <c r="B39" s="995"/>
      <c r="C39" s="999"/>
      <c r="D39" s="27" t="s">
        <v>586</v>
      </c>
      <c r="E39" s="349"/>
      <c r="F39" s="1000">
        <f>1/7</f>
        <v>0.14285714285714285</v>
      </c>
      <c r="G39" s="1000">
        <f t="shared" ref="G39:N39" si="6">1/7</f>
        <v>0.14285714285714285</v>
      </c>
      <c r="H39" s="1000">
        <f t="shared" si="6"/>
        <v>0.14285714285714285</v>
      </c>
      <c r="I39" s="1000">
        <f t="shared" si="6"/>
        <v>0.14285714285714285</v>
      </c>
      <c r="J39" s="1000">
        <f t="shared" si="6"/>
        <v>0.14285714285714285</v>
      </c>
      <c r="K39" s="1000">
        <f t="shared" si="6"/>
        <v>0.14285714285714285</v>
      </c>
      <c r="L39" s="1000">
        <f t="shared" si="6"/>
        <v>0.14285714285714285</v>
      </c>
      <c r="M39" s="1000">
        <f t="shared" si="6"/>
        <v>0.14285714285714285</v>
      </c>
      <c r="N39" s="1000">
        <f t="shared" si="6"/>
        <v>0.14285714285714285</v>
      </c>
    </row>
    <row r="40" spans="1:14" s="27" customFormat="1" ht="15" customHeight="1">
      <c r="A40" s="995">
        <f>+A39+1</f>
        <v>28</v>
      </c>
      <c r="B40" s="995"/>
      <c r="C40" s="999"/>
      <c r="D40" s="27" t="s">
        <v>584</v>
      </c>
      <c r="E40" s="349"/>
      <c r="F40" s="1000">
        <f>1/10</f>
        <v>0.1</v>
      </c>
      <c r="G40" s="1000">
        <f t="shared" ref="G40:N40" si="7">1/10</f>
        <v>0.1</v>
      </c>
      <c r="H40" s="1000">
        <f t="shared" si="7"/>
        <v>0.1</v>
      </c>
      <c r="I40" s="1000">
        <f t="shared" si="7"/>
        <v>0.1</v>
      </c>
      <c r="J40" s="1000">
        <f t="shared" si="7"/>
        <v>0.1</v>
      </c>
      <c r="K40" s="1000">
        <f t="shared" si="7"/>
        <v>0.1</v>
      </c>
      <c r="L40" s="1000">
        <f t="shared" si="7"/>
        <v>0.1</v>
      </c>
      <c r="M40" s="1000">
        <f t="shared" si="7"/>
        <v>0.1</v>
      </c>
      <c r="N40" s="1000">
        <f t="shared" si="7"/>
        <v>0.1</v>
      </c>
    </row>
    <row r="41" spans="1:14" s="27" customFormat="1" ht="15" customHeight="1">
      <c r="A41" s="995">
        <f>+A40+1</f>
        <v>29</v>
      </c>
      <c r="B41" s="995"/>
      <c r="C41" s="349"/>
      <c r="D41" s="1003" t="s">
        <v>1032</v>
      </c>
      <c r="F41" s="1004" t="s">
        <v>820</v>
      </c>
    </row>
    <row r="42" spans="1:14" s="27" customFormat="1" ht="15" customHeight="1">
      <c r="A42" s="995"/>
      <c r="B42" s="995"/>
      <c r="C42" s="1609"/>
      <c r="D42" s="994"/>
      <c r="E42" s="932"/>
      <c r="F42" s="1610"/>
      <c r="G42" s="1610"/>
      <c r="H42" s="1610"/>
      <c r="I42" s="1610"/>
      <c r="J42" s="1610"/>
      <c r="K42" s="1610"/>
      <c r="L42" s="1610"/>
      <c r="M42" s="1610"/>
      <c r="N42" s="1610"/>
    </row>
    <row r="43" spans="1:14" s="27" customFormat="1" ht="15" customHeight="1">
      <c r="A43" s="995"/>
      <c r="B43" s="995"/>
      <c r="C43" s="1616" t="s">
        <v>571</v>
      </c>
      <c r="D43" s="994"/>
      <c r="E43" s="932"/>
      <c r="F43" s="1608"/>
      <c r="G43" s="1608"/>
      <c r="H43" s="1608"/>
      <c r="I43" s="1608"/>
      <c r="J43" s="1608"/>
      <c r="K43" s="1608"/>
      <c r="L43" s="1608"/>
      <c r="M43" s="1608"/>
      <c r="N43" s="1608"/>
    </row>
    <row r="44" spans="1:14" s="27" customFormat="1" ht="15" customHeight="1">
      <c r="A44" s="995"/>
      <c r="B44" s="995" t="s">
        <v>360</v>
      </c>
      <c r="C44" s="999" t="s">
        <v>1840</v>
      </c>
      <c r="D44" s="994"/>
      <c r="E44" s="932"/>
      <c r="F44" s="1608"/>
      <c r="G44" s="1608"/>
      <c r="H44" s="1608"/>
      <c r="I44" s="1608"/>
      <c r="J44" s="1608"/>
      <c r="K44" s="1608"/>
      <c r="L44" s="1608"/>
      <c r="M44" s="1608"/>
      <c r="N44" s="1608"/>
    </row>
    <row r="45" spans="1:14" s="27" customFormat="1" ht="15" customHeight="1">
      <c r="A45" s="995"/>
      <c r="B45" s="995"/>
      <c r="C45" s="999" t="s">
        <v>1841</v>
      </c>
      <c r="D45" s="994"/>
      <c r="E45" s="932"/>
      <c r="F45" s="1608"/>
      <c r="G45" s="1608"/>
      <c r="H45" s="1608"/>
      <c r="I45" s="1608"/>
      <c r="J45" s="1608"/>
      <c r="K45" s="1608"/>
      <c r="L45" s="1608"/>
      <c r="M45" s="1608"/>
      <c r="N45" s="1608"/>
    </row>
    <row r="46" spans="1:14" s="27" customFormat="1" ht="15" customHeight="1">
      <c r="A46" s="995"/>
      <c r="B46" s="995"/>
      <c r="C46" s="999" t="s">
        <v>1843</v>
      </c>
      <c r="D46" s="994"/>
      <c r="E46" s="932"/>
      <c r="F46" s="1608"/>
      <c r="G46" s="1608"/>
      <c r="H46" s="1608"/>
      <c r="I46" s="1608"/>
      <c r="J46" s="1608"/>
      <c r="K46" s="1608"/>
      <c r="L46" s="1608"/>
      <c r="M46" s="1608"/>
      <c r="N46" s="1608"/>
    </row>
    <row r="47" spans="1:14" s="27" customFormat="1" ht="15" customHeight="1">
      <c r="A47" s="995"/>
      <c r="B47" s="995" t="s">
        <v>361</v>
      </c>
      <c r="C47" s="1003" t="s">
        <v>1835</v>
      </c>
      <c r="D47" s="932"/>
      <c r="E47" s="932"/>
      <c r="F47" s="1608"/>
      <c r="G47" s="1608"/>
      <c r="H47" s="1608"/>
      <c r="I47" s="1608"/>
      <c r="J47" s="1608"/>
      <c r="K47" s="1608"/>
      <c r="L47" s="1608"/>
      <c r="M47" s="1608"/>
      <c r="N47" s="1608"/>
    </row>
    <row r="48" spans="1:14" s="27" customFormat="1" ht="15" customHeight="1">
      <c r="A48" s="995"/>
      <c r="B48" s="995"/>
      <c r="C48" s="1003" t="s">
        <v>1846</v>
      </c>
      <c r="D48" s="349"/>
      <c r="E48" s="349"/>
      <c r="F48" s="1614"/>
      <c r="G48" s="349"/>
      <c r="H48" s="349"/>
    </row>
    <row r="49" spans="1:11" s="27" customFormat="1" ht="15" customHeight="1">
      <c r="A49" s="995"/>
      <c r="B49" s="995"/>
      <c r="C49" s="1003" t="s">
        <v>1845</v>
      </c>
      <c r="D49" s="349"/>
      <c r="E49" s="349"/>
      <c r="F49" s="349"/>
      <c r="G49" s="349"/>
      <c r="H49" s="349"/>
    </row>
    <row r="50" spans="1:11" s="27" customFormat="1" ht="15" customHeight="1">
      <c r="A50" s="995"/>
      <c r="B50" s="995"/>
      <c r="C50" s="1003" t="s">
        <v>1836</v>
      </c>
      <c r="D50" s="349"/>
      <c r="E50" s="349"/>
      <c r="F50" s="349"/>
      <c r="G50" s="349"/>
      <c r="H50" s="349"/>
    </row>
    <row r="51" spans="1:11" s="27" customFormat="1" ht="15" customHeight="1">
      <c r="A51" s="995"/>
      <c r="B51" s="995" t="s">
        <v>362</v>
      </c>
      <c r="C51" s="1003" t="s">
        <v>1842</v>
      </c>
      <c r="D51" s="349"/>
      <c r="E51" s="349"/>
      <c r="F51" s="349"/>
      <c r="G51" s="349"/>
      <c r="H51" s="349"/>
    </row>
    <row r="52" spans="1:11" s="27" customFormat="1" ht="15" customHeight="1">
      <c r="A52" s="995"/>
      <c r="B52" s="995" t="s">
        <v>363</v>
      </c>
      <c r="C52" s="1003" t="s">
        <v>1844</v>
      </c>
      <c r="D52" s="349"/>
      <c r="E52" s="349"/>
      <c r="F52" s="349"/>
      <c r="G52" s="349"/>
      <c r="H52" s="349"/>
    </row>
    <row r="53" spans="1:11" s="27" customFormat="1" ht="15" customHeight="1">
      <c r="A53" s="995"/>
      <c r="B53" s="995" t="s">
        <v>820</v>
      </c>
      <c r="C53" s="1003" t="s">
        <v>1834</v>
      </c>
      <c r="D53" s="349"/>
      <c r="E53" s="349"/>
      <c r="F53" s="349"/>
      <c r="G53" s="349"/>
      <c r="H53" s="349"/>
    </row>
    <row r="54" spans="1:11" s="27" customFormat="1" ht="15" customHeight="1">
      <c r="A54" s="995"/>
      <c r="B54" s="995"/>
      <c r="C54" s="1003" t="s">
        <v>1831</v>
      </c>
      <c r="D54" s="349"/>
      <c r="E54" s="349"/>
      <c r="F54" s="349"/>
      <c r="G54" s="349"/>
      <c r="H54" s="349"/>
    </row>
    <row r="55" spans="1:11" s="27" customFormat="1" ht="15" customHeight="1">
      <c r="A55" s="995"/>
      <c r="B55" s="995"/>
      <c r="C55" s="1003" t="s">
        <v>1832</v>
      </c>
      <c r="D55" s="349"/>
      <c r="E55" s="349"/>
      <c r="F55" s="349"/>
      <c r="G55" s="349"/>
      <c r="H55" s="349"/>
    </row>
    <row r="56" spans="1:11" s="27" customFormat="1" ht="15" customHeight="1">
      <c r="A56" s="995"/>
      <c r="B56" s="995"/>
      <c r="C56" s="1003" t="s">
        <v>1847</v>
      </c>
      <c r="D56" s="349"/>
      <c r="E56" s="349"/>
      <c r="F56" s="349"/>
      <c r="G56" s="349"/>
      <c r="H56" s="349"/>
    </row>
    <row r="57" spans="1:11" s="27" customFormat="1" ht="15" customHeight="1">
      <c r="A57" s="995"/>
      <c r="B57" s="995"/>
      <c r="C57" s="1003" t="s">
        <v>1848</v>
      </c>
      <c r="D57" s="349"/>
      <c r="E57" s="349"/>
      <c r="F57" s="349"/>
      <c r="G57" s="349"/>
      <c r="H57" s="349"/>
    </row>
    <row r="58" spans="1:11" s="27" customFormat="1" ht="15" customHeight="1">
      <c r="A58" s="995"/>
      <c r="B58" s="995"/>
      <c r="C58" s="1003" t="s">
        <v>1833</v>
      </c>
      <c r="D58" s="349"/>
      <c r="E58" s="349"/>
      <c r="F58" s="349"/>
      <c r="G58" s="349"/>
      <c r="H58" s="349"/>
    </row>
    <row r="59" spans="1:11" s="27" customFormat="1" ht="15" customHeight="1">
      <c r="A59" s="995"/>
      <c r="B59" s="995"/>
      <c r="C59" s="1005"/>
      <c r="G59" s="349"/>
    </row>
    <row r="60" spans="1:11" s="27" customFormat="1" ht="15" customHeight="1">
      <c r="A60" s="995"/>
      <c r="B60" s="995"/>
      <c r="C60" s="27" t="s">
        <v>1849</v>
      </c>
      <c r="G60" s="349"/>
    </row>
    <row r="61" spans="1:11" ht="12.75">
      <c r="A61" s="319"/>
      <c r="B61" s="319"/>
      <c r="C61" s="320"/>
      <c r="D61" s="320"/>
      <c r="E61" s="320"/>
      <c r="F61" s="320"/>
      <c r="G61" s="320"/>
      <c r="H61" s="63"/>
      <c r="I61" s="63"/>
      <c r="J61" s="63"/>
      <c r="K61" s="63"/>
    </row>
    <row r="62" spans="1:11" ht="12.75">
      <c r="A62" s="63"/>
      <c r="B62" s="63"/>
      <c r="C62" s="63"/>
      <c r="D62" s="63"/>
      <c r="E62" s="63"/>
      <c r="F62" s="63"/>
      <c r="G62" s="63"/>
      <c r="H62" s="63"/>
      <c r="I62" s="63"/>
      <c r="J62" s="63"/>
      <c r="K62" s="63"/>
    </row>
    <row r="63" spans="1:11" ht="12.75">
      <c r="A63" s="63"/>
      <c r="B63" s="63"/>
      <c r="C63" s="63"/>
      <c r="D63" s="63"/>
      <c r="E63" s="63"/>
      <c r="F63" s="63"/>
      <c r="G63" s="63"/>
      <c r="H63" s="63"/>
      <c r="I63" s="63"/>
      <c r="J63" s="63"/>
      <c r="K63" s="63"/>
    </row>
    <row r="64" spans="1:11" ht="12.75">
      <c r="A64" s="63"/>
      <c r="B64" s="63"/>
      <c r="C64" s="63"/>
      <c r="D64" s="63"/>
      <c r="E64" s="63"/>
      <c r="F64" s="63"/>
      <c r="G64" s="63"/>
      <c r="H64" s="63"/>
      <c r="I64" s="63"/>
      <c r="J64" s="63"/>
      <c r="K64" s="63"/>
    </row>
  </sheetData>
  <customSheetViews>
    <customSheetView guid="{B321D76C-CDE5-48BB-9CDE-80FF97D58FCF}" scale="90" showPageBreaks="1" fitToPage="1" printArea="1" view="pageBreakPreview">
      <selection activeCell="I11" sqref="I11"/>
      <pageMargins left="0.7" right="0.7" top="0.75" bottom="0.75" header="0.3" footer="0.3"/>
      <pageSetup scale="59" orientation="landscape" r:id="rId1"/>
    </customSheetView>
  </customSheetViews>
  <mergeCells count="3">
    <mergeCell ref="G8:N8"/>
    <mergeCell ref="A4:N4"/>
    <mergeCell ref="A5:N5"/>
  </mergeCells>
  <pageMargins left="0.7" right="0.7" top="0.75" bottom="0.75" header="0.3" footer="0.3"/>
  <pageSetup scale="55"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theme="9"/>
    <pageSetUpPr fitToPage="1"/>
  </sheetPr>
  <dimension ref="A1:Y284"/>
  <sheetViews>
    <sheetView showGridLines="0" tabSelected="1" defaultGridColor="0" view="pageBreakPreview" colorId="22" zoomScale="63" zoomScaleNormal="80" zoomScaleSheetLayoutView="63" workbookViewId="0">
      <selection activeCell="C30" sqref="C30"/>
    </sheetView>
  </sheetViews>
  <sheetFormatPr defaultColWidth="15.5" defaultRowHeight="12"/>
  <cols>
    <col min="1" max="1" width="4.125" customWidth="1"/>
    <col min="2" max="2" width="27.5" customWidth="1"/>
    <col min="3" max="3" width="16.25" bestFit="1" customWidth="1"/>
    <col min="4" max="4" width="19" customWidth="1"/>
    <col min="5" max="5" width="5.5" customWidth="1"/>
    <col min="6" max="6" width="23.5" customWidth="1"/>
    <col min="7" max="7" width="3.5" customWidth="1"/>
    <col min="8" max="8" width="15.5" bestFit="1" customWidth="1"/>
    <col min="9" max="9" width="3.75" customWidth="1"/>
    <col min="10" max="10" width="21.5" bestFit="1" customWidth="1"/>
    <col min="11" max="11" width="29.125" customWidth="1"/>
    <col min="12" max="12" width="21.5" bestFit="1" customWidth="1"/>
    <col min="13" max="13" width="3.375" customWidth="1"/>
    <col min="14" max="14" width="11" customWidth="1"/>
    <col min="15" max="15" width="2.5" customWidth="1"/>
    <col min="16" max="16" width="17.625" customWidth="1"/>
    <col min="17" max="17" width="2.75" customWidth="1"/>
    <col min="18" max="18" width="11.5" customWidth="1"/>
  </cols>
  <sheetData>
    <row r="1" spans="1:25" s="8" customFormat="1" ht="20.25">
      <c r="A1" s="643" t="s">
        <v>917</v>
      </c>
      <c r="C1" s="101"/>
      <c r="D1" s="4"/>
      <c r="E1" s="4"/>
      <c r="F1" s="4"/>
      <c r="G1" s="4"/>
      <c r="H1" s="4"/>
      <c r="I1" s="4"/>
      <c r="J1" s="4"/>
      <c r="K1" s="4"/>
      <c r="L1" s="4"/>
      <c r="M1" s="4"/>
      <c r="O1" s="4"/>
      <c r="P1" s="159"/>
      <c r="Q1" s="4"/>
      <c r="R1" s="4"/>
      <c r="S1" s="4"/>
      <c r="T1" s="4"/>
      <c r="U1" s="4"/>
      <c r="V1" s="4"/>
      <c r="W1" s="4"/>
      <c r="X1" s="4"/>
      <c r="Y1" s="4"/>
    </row>
    <row r="2" spans="1:25" s="9" customFormat="1" ht="18">
      <c r="A2" s="1"/>
      <c r="C2" s="1"/>
      <c r="D2" s="1"/>
      <c r="E2" s="1"/>
      <c r="F2" s="1"/>
      <c r="G2" s="1"/>
      <c r="H2" s="1"/>
      <c r="I2" s="1"/>
      <c r="J2" s="1"/>
      <c r="K2" s="1"/>
      <c r="L2" s="1"/>
      <c r="M2" s="1"/>
      <c r="Q2" s="2"/>
      <c r="R2" s="1"/>
      <c r="S2" s="1"/>
      <c r="T2" s="1"/>
      <c r="U2" s="1"/>
      <c r="V2" s="1"/>
      <c r="W2" s="1"/>
      <c r="X2" s="1"/>
      <c r="Y2" s="1"/>
    </row>
    <row r="3" spans="1:25" ht="16.5" customHeight="1">
      <c r="A3" s="3"/>
      <c r="B3" s="3"/>
      <c r="C3" s="3"/>
      <c r="D3" s="3"/>
      <c r="E3" s="3"/>
      <c r="F3" s="3"/>
      <c r="G3" s="3"/>
      <c r="H3" s="3"/>
      <c r="I3" s="3"/>
      <c r="J3" s="3"/>
      <c r="K3" s="3"/>
      <c r="L3" s="3"/>
      <c r="M3" s="3"/>
      <c r="N3" s="3"/>
      <c r="O3" s="3"/>
      <c r="P3" s="3"/>
      <c r="Q3" s="3"/>
      <c r="R3" s="3"/>
      <c r="S3" s="3"/>
      <c r="T3" s="3"/>
      <c r="U3" s="3"/>
      <c r="V3" s="3"/>
      <c r="W3" s="3"/>
      <c r="X3" s="3"/>
      <c r="Y3" s="3"/>
    </row>
    <row r="4" spans="1:25" s="8" customFormat="1" ht="15.75">
      <c r="A4" s="1784" t="s">
        <v>199</v>
      </c>
      <c r="B4" s="1784"/>
      <c r="C4" s="1784"/>
      <c r="D4" s="1784"/>
      <c r="E4" s="1784"/>
      <c r="F4" s="1784"/>
      <c r="G4" s="1784"/>
      <c r="H4" s="1784"/>
      <c r="I4" s="1784"/>
      <c r="J4" s="1784"/>
      <c r="K4" s="1784"/>
      <c r="L4" s="1784"/>
      <c r="M4" s="1784"/>
      <c r="N4" s="1784"/>
      <c r="O4" s="1784"/>
      <c r="P4" s="1784"/>
      <c r="Q4" s="1784"/>
      <c r="R4" s="7"/>
      <c r="S4" s="7"/>
      <c r="T4" s="7"/>
      <c r="U4" s="7"/>
      <c r="V4" s="7"/>
      <c r="W4" s="7"/>
      <c r="X4" s="7"/>
      <c r="Y4" s="7"/>
    </row>
    <row r="5" spans="1:25" s="8" customFormat="1" ht="15.75">
      <c r="A5" s="1784" t="s">
        <v>103</v>
      </c>
      <c r="B5" s="1784"/>
      <c r="C5" s="1784"/>
      <c r="D5" s="1784"/>
      <c r="E5" s="1784"/>
      <c r="F5" s="1784"/>
      <c r="G5" s="1784"/>
      <c r="H5" s="1784"/>
      <c r="I5" s="1784"/>
      <c r="J5" s="1784"/>
      <c r="K5" s="1784"/>
      <c r="L5" s="1784"/>
      <c r="M5" s="1784"/>
      <c r="N5" s="1784"/>
      <c r="O5" s="1784"/>
      <c r="P5" s="1784"/>
      <c r="Q5" s="1784"/>
      <c r="R5" s="7"/>
      <c r="S5" s="7"/>
      <c r="T5" s="7"/>
      <c r="U5" s="7"/>
      <c r="V5" s="7"/>
      <c r="W5" s="7"/>
      <c r="X5" s="7"/>
      <c r="Y5" s="7"/>
    </row>
    <row r="6" spans="1:25" s="8" customFormat="1" ht="18" customHeight="1">
      <c r="A6" s="1785" t="s">
        <v>2036</v>
      </c>
      <c r="B6" s="1785"/>
      <c r="C6" s="1785"/>
      <c r="D6" s="1785"/>
      <c r="E6" s="1785"/>
      <c r="F6" s="1785"/>
      <c r="G6" s="1785"/>
      <c r="H6" s="1785"/>
      <c r="I6" s="1785"/>
      <c r="J6" s="1785"/>
      <c r="K6" s="1785"/>
      <c r="L6" s="1785"/>
      <c r="M6" s="1785"/>
      <c r="N6" s="1785"/>
      <c r="O6" s="1785"/>
      <c r="P6" s="1785"/>
      <c r="Q6" s="1785"/>
      <c r="R6" s="7"/>
      <c r="S6" s="7"/>
      <c r="T6" s="7"/>
      <c r="U6" s="7"/>
      <c r="V6" s="7"/>
      <c r="W6" s="7"/>
      <c r="X6" s="7"/>
      <c r="Y6" s="7"/>
    </row>
    <row r="7" spans="1:25" s="8" customFormat="1" ht="15">
      <c r="A7" s="7"/>
      <c r="B7" s="7"/>
      <c r="C7" s="7"/>
      <c r="D7" s="7"/>
      <c r="E7" s="7"/>
      <c r="F7" s="7"/>
      <c r="G7" s="7"/>
      <c r="H7" s="7"/>
      <c r="I7" s="7"/>
      <c r="J7" s="7"/>
      <c r="K7" s="7"/>
      <c r="L7" s="7"/>
      <c r="M7" s="7"/>
      <c r="N7" s="7"/>
      <c r="O7" s="7"/>
      <c r="P7" s="7"/>
      <c r="Q7" s="7"/>
      <c r="R7" s="7"/>
      <c r="S7" s="7"/>
      <c r="T7" s="7"/>
      <c r="U7" s="7"/>
      <c r="V7" s="7"/>
      <c r="W7" s="7"/>
      <c r="X7" s="7"/>
      <c r="Y7" s="7"/>
    </row>
    <row r="8" spans="1:25" s="8" customFormat="1" ht="15.75">
      <c r="A8" s="1786" t="s">
        <v>916</v>
      </c>
      <c r="B8" s="1786"/>
      <c r="C8" s="1786"/>
      <c r="D8" s="1786"/>
      <c r="E8" s="1786"/>
      <c r="F8" s="1786"/>
      <c r="G8" s="1786"/>
      <c r="H8" s="1786"/>
      <c r="I8" s="1786"/>
      <c r="J8" s="1786"/>
      <c r="K8" s="1786"/>
      <c r="L8" s="1786"/>
      <c r="M8" s="1786"/>
      <c r="N8" s="1786"/>
      <c r="O8" s="1786"/>
      <c r="P8" s="1786"/>
      <c r="Q8" s="1786"/>
      <c r="R8" s="7"/>
      <c r="S8" s="7"/>
      <c r="T8" s="7"/>
      <c r="U8" s="7"/>
      <c r="V8" s="7"/>
      <c r="W8" s="7"/>
      <c r="X8" s="7"/>
      <c r="Y8" s="7"/>
    </row>
    <row r="9" spans="1:25" s="8" customFormat="1" ht="15.75">
      <c r="A9" s="1784" t="s">
        <v>204</v>
      </c>
      <c r="B9" s="1784"/>
      <c r="C9" s="1784"/>
      <c r="D9" s="1784"/>
      <c r="E9" s="1784"/>
      <c r="F9" s="1784"/>
      <c r="G9" s="1784"/>
      <c r="H9" s="1784"/>
      <c r="I9" s="1784"/>
      <c r="J9" s="1784"/>
      <c r="K9" s="1784"/>
      <c r="L9" s="1784"/>
      <c r="M9" s="1784"/>
      <c r="N9" s="1784"/>
      <c r="O9" s="1784"/>
      <c r="P9" s="1784"/>
      <c r="Q9" s="1784"/>
      <c r="R9" s="7"/>
      <c r="S9" s="7"/>
      <c r="T9" s="7"/>
      <c r="U9" s="7"/>
      <c r="V9" s="7"/>
      <c r="W9" s="7"/>
      <c r="X9" s="7"/>
      <c r="Y9" s="7"/>
    </row>
    <row r="10" spans="1:25" s="8" customFormat="1" ht="15">
      <c r="A10" s="7"/>
      <c r="B10" s="7"/>
      <c r="C10" s="7"/>
      <c r="D10" s="7"/>
      <c r="E10" s="7"/>
      <c r="F10" s="7"/>
      <c r="G10" s="7"/>
      <c r="H10" s="7"/>
      <c r="I10" s="7"/>
      <c r="J10" s="7"/>
      <c r="K10" s="7"/>
      <c r="L10" s="7"/>
      <c r="M10" s="7"/>
      <c r="N10" s="7"/>
      <c r="O10" s="7"/>
      <c r="P10" s="7"/>
      <c r="Q10" s="7"/>
      <c r="R10" s="7"/>
      <c r="S10" s="7"/>
      <c r="T10" s="7"/>
      <c r="U10" s="7"/>
      <c r="V10" s="7"/>
      <c r="W10" s="7"/>
      <c r="X10" s="7"/>
      <c r="Y10" s="7"/>
    </row>
    <row r="11" spans="1:25" s="158" customFormat="1" ht="15.75">
      <c r="A11" s="4"/>
      <c r="B11" s="4"/>
      <c r="C11" s="4"/>
      <c r="D11" s="4"/>
      <c r="E11" s="4"/>
      <c r="F11" s="4"/>
      <c r="G11" s="4"/>
      <c r="H11" s="757"/>
      <c r="I11" s="4"/>
      <c r="J11" s="4"/>
      <c r="K11" s="4"/>
      <c r="L11" s="4"/>
      <c r="M11" s="4"/>
      <c r="N11" s="4"/>
      <c r="O11" s="4"/>
      <c r="P11" s="4"/>
      <c r="Q11" s="4"/>
      <c r="R11" s="4"/>
      <c r="S11" s="4"/>
      <c r="T11" s="4"/>
      <c r="U11" s="4"/>
      <c r="V11" s="4"/>
      <c r="W11" s="4"/>
      <c r="X11" s="4"/>
      <c r="Y11" s="4"/>
    </row>
    <row r="12" spans="1:25" s="158" customFormat="1" ht="15.75">
      <c r="A12" s="4"/>
      <c r="B12" s="4"/>
      <c r="C12" s="4"/>
      <c r="D12" s="4"/>
      <c r="E12" s="4"/>
      <c r="F12" s="4"/>
      <c r="G12" s="4"/>
      <c r="H12" s="757" t="s">
        <v>24</v>
      </c>
      <c r="I12" s="4"/>
      <c r="J12" s="757" t="s">
        <v>1096</v>
      </c>
      <c r="K12" s="4"/>
      <c r="L12" s="4"/>
      <c r="M12" s="4"/>
      <c r="O12" s="4"/>
      <c r="P12" s="4"/>
      <c r="Q12" s="4"/>
      <c r="R12" s="4"/>
      <c r="S12" s="4"/>
      <c r="T12" s="4"/>
      <c r="U12" s="4"/>
      <c r="V12" s="4"/>
      <c r="W12" s="4"/>
      <c r="X12" s="4"/>
      <c r="Y12" s="4"/>
    </row>
    <row r="13" spans="1:25" s="158" customFormat="1" ht="15.75">
      <c r="A13" s="4"/>
      <c r="B13" s="4"/>
      <c r="C13" s="4"/>
      <c r="D13" s="4"/>
      <c r="E13" s="4"/>
      <c r="F13" s="4"/>
      <c r="G13" s="4"/>
      <c r="H13" s="757" t="s">
        <v>25</v>
      </c>
      <c r="I13" s="4"/>
      <c r="J13" s="757" t="s">
        <v>26</v>
      </c>
      <c r="K13" s="4"/>
      <c r="L13" s="757" t="s">
        <v>32</v>
      </c>
      <c r="M13" s="4"/>
      <c r="N13" s="757" t="s">
        <v>46</v>
      </c>
      <c r="O13" s="4"/>
      <c r="P13" s="757" t="s">
        <v>48</v>
      </c>
      <c r="Q13" s="4"/>
      <c r="R13" s="4"/>
      <c r="S13" s="4"/>
      <c r="T13" s="4"/>
      <c r="U13" s="4"/>
      <c r="V13" s="4"/>
      <c r="W13" s="4"/>
      <c r="X13" s="4"/>
      <c r="Y13" s="4"/>
    </row>
    <row r="14" spans="1:25" s="158" customFormat="1" ht="15.75">
      <c r="A14" s="4"/>
      <c r="B14" s="1006" t="s">
        <v>49</v>
      </c>
      <c r="C14" s="4"/>
      <c r="D14" s="757" t="s">
        <v>27</v>
      </c>
      <c r="E14" s="4"/>
      <c r="F14" s="757" t="s">
        <v>32</v>
      </c>
      <c r="G14" s="4"/>
      <c r="H14" s="757" t="s">
        <v>61</v>
      </c>
      <c r="I14" s="4"/>
      <c r="J14" s="757" t="s">
        <v>815</v>
      </c>
      <c r="K14" s="4"/>
      <c r="L14" s="757" t="s">
        <v>815</v>
      </c>
      <c r="M14" s="4"/>
      <c r="N14" s="757" t="s">
        <v>47</v>
      </c>
      <c r="O14" s="4"/>
      <c r="P14" s="757" t="s">
        <v>49</v>
      </c>
      <c r="Q14" s="4"/>
      <c r="R14" s="4"/>
      <c r="S14" s="4"/>
      <c r="T14" s="4"/>
      <c r="U14" s="4"/>
      <c r="V14" s="4"/>
      <c r="W14" s="4"/>
      <c r="X14" s="4"/>
      <c r="Y14" s="4"/>
    </row>
    <row r="15" spans="1:25" s="158" customFormat="1" ht="15.75">
      <c r="A15" s="4"/>
      <c r="B15" s="4"/>
      <c r="C15" s="4"/>
      <c r="D15" s="524" t="s">
        <v>813</v>
      </c>
      <c r="E15" s="4"/>
      <c r="F15" s="524" t="s">
        <v>814</v>
      </c>
      <c r="G15" s="4"/>
      <c r="H15" s="524" t="s">
        <v>1095</v>
      </c>
      <c r="I15" s="4"/>
      <c r="J15" s="524" t="s">
        <v>285</v>
      </c>
      <c r="K15" s="4"/>
      <c r="L15" s="524" t="s">
        <v>833</v>
      </c>
      <c r="M15" s="4"/>
      <c r="N15" s="524" t="s">
        <v>1097</v>
      </c>
      <c r="O15" s="4"/>
      <c r="P15" s="524" t="s">
        <v>1105</v>
      </c>
      <c r="Q15" s="4"/>
      <c r="R15" s="4"/>
      <c r="S15" s="4"/>
      <c r="T15" s="4"/>
      <c r="U15" s="4"/>
      <c r="V15" s="4"/>
      <c r="W15" s="4"/>
      <c r="X15" s="4"/>
      <c r="Y15" s="4"/>
    </row>
    <row r="16" spans="1:25" s="158" customFormat="1" ht="15">
      <c r="A16" s="4"/>
      <c r="B16" s="4"/>
      <c r="C16" s="4"/>
      <c r="D16" s="525" t="s">
        <v>6</v>
      </c>
      <c r="E16" s="4"/>
      <c r="F16" s="525" t="s">
        <v>7</v>
      </c>
      <c r="G16" s="4"/>
      <c r="H16" s="525" t="s">
        <v>8</v>
      </c>
      <c r="I16" s="4"/>
      <c r="J16" s="525" t="s">
        <v>9</v>
      </c>
      <c r="K16" s="4"/>
      <c r="L16" s="525" t="s">
        <v>28</v>
      </c>
      <c r="M16" s="4"/>
      <c r="N16" s="525" t="s">
        <v>29</v>
      </c>
      <c r="O16" s="4"/>
      <c r="P16" s="525" t="s">
        <v>50</v>
      </c>
      <c r="Q16" s="4"/>
      <c r="R16" s="4"/>
      <c r="S16" s="4"/>
      <c r="T16" s="4"/>
      <c r="U16" s="4"/>
      <c r="V16" s="4"/>
      <c r="W16" s="4"/>
      <c r="X16" s="4"/>
      <c r="Y16" s="4"/>
    </row>
    <row r="17" spans="1:25" s="158" customFormat="1" ht="15">
      <c r="A17" s="4"/>
      <c r="B17" s="4"/>
      <c r="C17" s="4"/>
      <c r="D17" s="20"/>
      <c r="E17" s="20"/>
      <c r="F17" s="20"/>
      <c r="G17" s="20"/>
      <c r="H17" s="4"/>
      <c r="I17" s="4"/>
      <c r="J17" s="4"/>
      <c r="K17" s="4"/>
      <c r="L17" s="4"/>
      <c r="M17" s="4"/>
      <c r="N17" s="4"/>
      <c r="O17" s="4"/>
      <c r="P17" s="4"/>
      <c r="Q17" s="4"/>
      <c r="R17" s="4"/>
      <c r="S17" s="4"/>
      <c r="T17" s="4"/>
      <c r="U17" s="4"/>
      <c r="V17" s="4"/>
      <c r="W17" s="4"/>
      <c r="X17" s="4"/>
      <c r="Y17" s="4"/>
    </row>
    <row r="18" spans="1:25" s="158" customFormat="1" ht="15">
      <c r="A18" s="4"/>
      <c r="B18" s="4"/>
      <c r="C18" s="4"/>
      <c r="D18" s="20"/>
      <c r="E18" s="20"/>
      <c r="F18" s="20"/>
      <c r="G18" s="20"/>
      <c r="H18" s="4"/>
      <c r="I18" s="4"/>
      <c r="J18" s="4"/>
      <c r="K18" s="4"/>
      <c r="L18" s="4"/>
      <c r="M18" s="4"/>
      <c r="N18" s="4"/>
      <c r="O18" s="4"/>
      <c r="P18" s="4"/>
      <c r="Q18" s="4"/>
      <c r="R18" s="4"/>
      <c r="S18" s="4"/>
      <c r="T18" s="4"/>
      <c r="U18" s="4"/>
      <c r="V18" s="4"/>
      <c r="W18" s="4"/>
      <c r="X18" s="4"/>
      <c r="Y18" s="4"/>
    </row>
    <row r="19" spans="1:25" s="158" customFormat="1" ht="15.75">
      <c r="A19" s="4">
        <v>1</v>
      </c>
      <c r="B19" s="5" t="s">
        <v>51</v>
      </c>
      <c r="C19" s="4"/>
      <c r="D19" s="1007">
        <f>'B2-Plant'!T40</f>
        <v>624502269.89778006</v>
      </c>
      <c r="E19" s="914" t="s">
        <v>360</v>
      </c>
      <c r="F19" s="1008">
        <f>'B2-Plant'!T54</f>
        <v>259296555.70999998</v>
      </c>
      <c r="G19" s="914" t="s">
        <v>361</v>
      </c>
      <c r="H19" s="1671">
        <f>+'E1-Labor Ratio'!H21</f>
        <v>0.29502901668219966</v>
      </c>
      <c r="I19" s="4"/>
      <c r="J19" s="1009">
        <f>F19*H19</f>
        <v>76500007.860202491</v>
      </c>
      <c r="K19" s="1010"/>
      <c r="L19" s="1009">
        <f>D19+J19</f>
        <v>701002277.75798249</v>
      </c>
      <c r="M19" s="4"/>
      <c r="N19" s="4"/>
      <c r="O19" s="4"/>
      <c r="P19" s="4"/>
      <c r="Q19" s="4"/>
      <c r="R19" s="4"/>
      <c r="S19" s="4"/>
      <c r="T19" s="4"/>
      <c r="U19" s="4"/>
      <c r="V19" s="4"/>
      <c r="W19" s="4"/>
      <c r="X19" s="4"/>
      <c r="Y19" s="4"/>
    </row>
    <row r="20" spans="1:25" s="158" customFormat="1" ht="15">
      <c r="A20" s="4"/>
      <c r="B20" s="4"/>
      <c r="C20" s="4"/>
      <c r="D20" s="930"/>
      <c r="E20" s="20"/>
      <c r="F20" s="20"/>
      <c r="G20" s="20"/>
      <c r="H20" s="1569"/>
      <c r="I20" s="4"/>
      <c r="J20" s="4"/>
      <c r="K20" s="4"/>
      <c r="L20" s="4"/>
      <c r="M20" s="4"/>
      <c r="N20" s="4"/>
      <c r="O20" s="4"/>
      <c r="P20" s="4"/>
      <c r="Q20" s="4"/>
      <c r="R20" s="4"/>
      <c r="S20" s="4"/>
      <c r="T20" s="4"/>
      <c r="U20" s="4"/>
      <c r="V20" s="4"/>
      <c r="W20" s="4"/>
      <c r="X20" s="4"/>
      <c r="Y20" s="4"/>
    </row>
    <row r="21" spans="1:25" s="158" customFormat="1" ht="15.75">
      <c r="A21" s="4">
        <v>2</v>
      </c>
      <c r="B21" s="5" t="s">
        <v>52</v>
      </c>
      <c r="C21" s="4"/>
      <c r="D21" s="930"/>
      <c r="E21" s="20"/>
      <c r="F21" s="20"/>
      <c r="G21" s="20"/>
      <c r="H21" s="1569"/>
      <c r="I21" s="4"/>
      <c r="J21" s="4"/>
      <c r="K21" s="4"/>
      <c r="L21" s="4"/>
      <c r="M21" s="4"/>
      <c r="N21" s="4"/>
      <c r="O21" s="4"/>
      <c r="P21" s="4"/>
      <c r="Q21" s="4"/>
      <c r="R21" s="4"/>
      <c r="S21" s="4"/>
      <c r="T21" s="4"/>
      <c r="U21" s="4"/>
      <c r="V21" s="4"/>
      <c r="W21" s="4"/>
      <c r="X21" s="4"/>
      <c r="Y21" s="4"/>
    </row>
    <row r="22" spans="1:25" s="158" customFormat="1" ht="15">
      <c r="A22" s="4"/>
      <c r="B22" s="4"/>
      <c r="C22" s="4"/>
      <c r="D22" s="930"/>
      <c r="E22" s="20"/>
      <c r="F22" s="20"/>
      <c r="G22" s="20"/>
      <c r="H22" s="1569"/>
      <c r="I22" s="4"/>
      <c r="J22" s="4"/>
      <c r="K22" s="4"/>
      <c r="L22" s="4"/>
      <c r="M22" s="4"/>
      <c r="N22" s="4"/>
      <c r="O22" s="4"/>
      <c r="P22" s="4"/>
      <c r="Q22" s="4"/>
      <c r="R22" s="4"/>
      <c r="S22" s="4"/>
      <c r="T22" s="4"/>
      <c r="U22" s="4"/>
      <c r="V22" s="4"/>
      <c r="W22" s="4"/>
      <c r="X22" s="4"/>
      <c r="Y22" s="4"/>
    </row>
    <row r="23" spans="1:25" s="158" customFormat="1" ht="15.75">
      <c r="A23" s="4">
        <v>3</v>
      </c>
      <c r="B23" s="1256" t="s">
        <v>1098</v>
      </c>
      <c r="C23" s="4"/>
      <c r="D23" s="922">
        <f>('A1-O&amp;M'!J37+'A2-A&amp;G'!J40)/8</f>
        <v>15518883.499664225</v>
      </c>
      <c r="E23" s="20" t="s">
        <v>362</v>
      </c>
      <c r="F23" s="20"/>
      <c r="G23" s="20"/>
      <c r="H23" s="1569"/>
      <c r="I23" s="4"/>
      <c r="J23" s="4"/>
      <c r="K23" s="4"/>
      <c r="L23" s="1011">
        <f>D23+J23</f>
        <v>15518883.499664225</v>
      </c>
      <c r="M23" s="4"/>
      <c r="N23" s="4"/>
      <c r="O23" s="4"/>
      <c r="P23" s="4"/>
      <c r="Q23" s="4"/>
      <c r="R23" s="4"/>
      <c r="S23" s="4"/>
      <c r="T23" s="4"/>
      <c r="U23" s="4"/>
      <c r="V23" s="4"/>
      <c r="W23" s="4"/>
      <c r="X23" s="4"/>
      <c r="Y23" s="4"/>
    </row>
    <row r="24" spans="1:25" s="158" customFormat="1" ht="15.75">
      <c r="A24" s="4">
        <v>4</v>
      </c>
      <c r="B24" s="1256" t="s">
        <v>1099</v>
      </c>
      <c r="C24" s="4"/>
      <c r="D24" s="922">
        <f>+'WP-BD'!J48</f>
        <v>42485343.419999927</v>
      </c>
      <c r="E24" s="20" t="s">
        <v>363</v>
      </c>
      <c r="F24" s="20"/>
      <c r="G24" s="20"/>
      <c r="H24" s="1569"/>
      <c r="I24" s="4"/>
      <c r="J24" s="4"/>
      <c r="K24" s="4"/>
      <c r="L24" s="1012">
        <f>D24+J24</f>
        <v>42485343.419999927</v>
      </c>
      <c r="M24" s="4"/>
      <c r="N24" s="4"/>
      <c r="O24" s="4"/>
      <c r="P24" s="4"/>
      <c r="Q24" s="4"/>
      <c r="R24" s="4"/>
      <c r="S24" s="4"/>
      <c r="T24" s="4"/>
      <c r="U24" s="4"/>
      <c r="V24" s="4"/>
      <c r="W24" s="4"/>
      <c r="X24" s="4"/>
      <c r="Y24" s="4"/>
    </row>
    <row r="25" spans="1:25" s="158" customFormat="1" ht="15.75">
      <c r="A25" s="4">
        <v>5</v>
      </c>
      <c r="B25" s="1256" t="s">
        <v>1100</v>
      </c>
      <c r="C25" s="4"/>
      <c r="D25" s="1013">
        <f>'WP-CA'!J30</f>
        <v>81390902.5</v>
      </c>
      <c r="E25" s="20" t="s">
        <v>820</v>
      </c>
      <c r="F25" s="20"/>
      <c r="G25" s="20"/>
      <c r="H25" s="1671">
        <f>+'E1-Labor Ratio'!H21</f>
        <v>0.29502901668219966</v>
      </c>
      <c r="I25" s="4"/>
      <c r="J25" s="4"/>
      <c r="K25" s="4"/>
      <c r="L25" s="1011">
        <f>D25*H25</f>
        <v>24012677.931451786</v>
      </c>
      <c r="M25" s="4"/>
      <c r="N25" s="4"/>
      <c r="O25" s="4"/>
      <c r="P25" s="4"/>
      <c r="Q25" s="4"/>
      <c r="R25" s="4"/>
      <c r="S25" s="4"/>
      <c r="T25" s="4"/>
      <c r="U25" s="4"/>
      <c r="V25" s="4"/>
      <c r="W25" s="4"/>
      <c r="X25" s="4"/>
      <c r="Y25" s="4"/>
    </row>
    <row r="26" spans="1:25" s="158" customFormat="1" ht="15.75">
      <c r="A26" s="4">
        <v>6</v>
      </c>
      <c r="B26" s="1257" t="s">
        <v>1101</v>
      </c>
      <c r="C26" s="1015"/>
      <c r="D26" s="922">
        <f>'WP-CB'!F21</f>
        <v>11047294.18</v>
      </c>
      <c r="E26" s="20" t="s">
        <v>821</v>
      </c>
      <c r="F26" s="1016"/>
      <c r="G26" s="20"/>
      <c r="H26" s="1671">
        <f>+'E1-Labor Ratio'!H21</f>
        <v>0.29502901668219966</v>
      </c>
      <c r="I26" s="4"/>
      <c r="J26" s="1017"/>
      <c r="K26" s="4"/>
      <c r="L26" s="1012">
        <f>D26*H26</f>
        <v>3259272.338924387</v>
      </c>
      <c r="M26" s="4"/>
      <c r="N26" s="4"/>
      <c r="O26" s="4"/>
      <c r="P26" s="4"/>
      <c r="Q26" s="4"/>
      <c r="R26" s="4"/>
      <c r="S26" s="4"/>
      <c r="T26" s="4"/>
      <c r="U26" s="4"/>
      <c r="V26" s="4"/>
      <c r="W26" s="4"/>
      <c r="X26" s="4"/>
      <c r="Y26" s="4"/>
    </row>
    <row r="27" spans="1:25" s="158" customFormat="1" ht="15.75">
      <c r="A27" s="4">
        <v>7</v>
      </c>
      <c r="B27" s="1257" t="s">
        <v>1102</v>
      </c>
      <c r="C27" s="1015"/>
      <c r="D27" s="922">
        <v>0</v>
      </c>
      <c r="E27" s="20" t="s">
        <v>1710</v>
      </c>
      <c r="F27" s="1016"/>
      <c r="G27" s="20"/>
      <c r="H27" s="1569"/>
      <c r="I27" s="4"/>
      <c r="J27" s="1017"/>
      <c r="K27" s="4"/>
      <c r="L27" s="1012"/>
      <c r="M27" s="4"/>
      <c r="N27" s="4"/>
      <c r="O27" s="4"/>
      <c r="P27" s="4"/>
      <c r="Q27" s="4"/>
      <c r="R27" s="4"/>
      <c r="S27" s="4"/>
      <c r="T27" s="4"/>
      <c r="U27" s="4"/>
      <c r="V27" s="4"/>
      <c r="W27" s="4"/>
      <c r="X27" s="4"/>
      <c r="Y27" s="4"/>
    </row>
    <row r="28" spans="1:25" s="158" customFormat="1" ht="15.75">
      <c r="A28" s="4">
        <v>8</v>
      </c>
      <c r="B28" s="1257" t="s">
        <v>1103</v>
      </c>
      <c r="C28" s="1015"/>
      <c r="D28" s="922">
        <v>0</v>
      </c>
      <c r="E28" s="20" t="s">
        <v>1710</v>
      </c>
      <c r="F28" s="1016"/>
      <c r="G28" s="20"/>
      <c r="H28" s="1569"/>
      <c r="I28" s="4"/>
      <c r="J28" s="1017"/>
      <c r="K28" s="4"/>
      <c r="L28" s="1012"/>
      <c r="M28" s="4"/>
      <c r="N28" s="4"/>
      <c r="O28" s="4"/>
      <c r="P28" s="4"/>
      <c r="Q28" s="4"/>
      <c r="R28" s="4"/>
      <c r="S28" s="4"/>
      <c r="T28" s="4"/>
      <c r="U28" s="4"/>
      <c r="V28" s="4"/>
      <c r="W28" s="4"/>
      <c r="X28" s="4"/>
      <c r="Y28" s="4"/>
    </row>
    <row r="29" spans="1:25" s="158" customFormat="1" ht="15.75">
      <c r="A29" s="4">
        <v>9</v>
      </c>
      <c r="B29" s="1257" t="s">
        <v>1104</v>
      </c>
      <c r="C29" s="1015"/>
      <c r="D29" s="922">
        <v>0</v>
      </c>
      <c r="E29" s="20" t="s">
        <v>1710</v>
      </c>
      <c r="F29" s="1016"/>
      <c r="G29" s="20"/>
      <c r="H29" s="1569"/>
      <c r="I29" s="4"/>
      <c r="J29" s="1017"/>
      <c r="K29" s="4"/>
      <c r="L29" s="1012"/>
      <c r="M29" s="4"/>
      <c r="N29" s="4"/>
      <c r="O29" s="4"/>
      <c r="P29" s="4"/>
      <c r="Q29" s="4"/>
      <c r="R29" s="4"/>
      <c r="S29" s="4"/>
      <c r="T29" s="4"/>
      <c r="U29" s="4"/>
      <c r="V29" s="4"/>
      <c r="W29" s="4"/>
      <c r="X29" s="4"/>
      <c r="Y29" s="4"/>
    </row>
    <row r="30" spans="1:25" s="158" customFormat="1" ht="15">
      <c r="A30" s="4"/>
      <c r="B30" s="4"/>
      <c r="C30" s="4"/>
      <c r="D30" s="20"/>
      <c r="E30" s="20"/>
      <c r="F30" s="20"/>
      <c r="G30" s="20"/>
      <c r="H30" s="1569"/>
      <c r="I30" s="4"/>
      <c r="J30" s="4"/>
      <c r="K30" s="4"/>
      <c r="L30" s="4"/>
      <c r="M30" s="4"/>
      <c r="N30" s="4"/>
      <c r="O30" s="4"/>
      <c r="P30" s="4"/>
      <c r="Q30" s="4"/>
      <c r="R30" s="4"/>
      <c r="S30" s="4"/>
      <c r="T30" s="4"/>
      <c r="U30" s="4"/>
      <c r="V30" s="4"/>
      <c r="W30" s="4"/>
      <c r="X30" s="4"/>
      <c r="Y30" s="4"/>
    </row>
    <row r="31" spans="1:25" s="158" customFormat="1" ht="15.75">
      <c r="A31" s="4">
        <v>10</v>
      </c>
      <c r="B31" s="1018" t="s">
        <v>580</v>
      </c>
      <c r="C31" s="4"/>
      <c r="D31" s="1019">
        <f>SUM(D19:D29)</f>
        <v>774944693.49744415</v>
      </c>
      <c r="E31" s="1020"/>
      <c r="F31" s="1019">
        <f>SUM(F19:F29)</f>
        <v>259296555.70999998</v>
      </c>
      <c r="G31" s="20"/>
      <c r="H31" s="1671">
        <f>+'E1-Labor Ratio'!H21</f>
        <v>0.29502901668219966</v>
      </c>
      <c r="I31" s="4"/>
      <c r="J31" s="1019">
        <f>SUM(J19:J29)</f>
        <v>76500007.860202491</v>
      </c>
      <c r="K31" s="4"/>
      <c r="L31" s="1021">
        <f>SUM(L19:L30)</f>
        <v>786278454.94802284</v>
      </c>
      <c r="M31" s="4"/>
      <c r="N31" s="1672">
        <f>'D1-Cap Structure'!H25</f>
        <v>7.2510956511270888E-2</v>
      </c>
      <c r="O31" s="4"/>
      <c r="P31" s="1021">
        <f>L31*N31</f>
        <v>57013802.852485351</v>
      </c>
      <c r="Q31" s="4"/>
      <c r="R31" s="4"/>
      <c r="S31" s="4"/>
      <c r="T31" s="4"/>
      <c r="U31" s="4"/>
      <c r="V31" s="4"/>
      <c r="W31" s="4"/>
      <c r="X31" s="4"/>
      <c r="Y31" s="4"/>
    </row>
    <row r="32" spans="1:25" s="158" customFormat="1" ht="15">
      <c r="A32" s="4"/>
      <c r="B32" s="4"/>
      <c r="C32" s="4"/>
      <c r="D32" s="4"/>
      <c r="E32" s="4"/>
      <c r="F32" s="4"/>
      <c r="G32" s="4"/>
      <c r="H32" s="1569"/>
      <c r="I32" s="4"/>
      <c r="J32" s="4"/>
      <c r="K32" s="4"/>
      <c r="L32" s="4"/>
      <c r="M32" s="4"/>
      <c r="N32" s="4"/>
      <c r="O32" s="4"/>
      <c r="P32" s="4"/>
      <c r="Q32" s="4"/>
      <c r="R32" s="4"/>
      <c r="S32" s="4"/>
      <c r="T32" s="4"/>
      <c r="U32" s="4"/>
      <c r="V32" s="4"/>
      <c r="W32" s="4"/>
      <c r="X32" s="4"/>
      <c r="Y32" s="4"/>
    </row>
    <row r="33" spans="1:25" s="158" customFormat="1" ht="15">
      <c r="A33" s="4"/>
      <c r="B33" s="4"/>
      <c r="C33" s="4"/>
      <c r="D33" s="4"/>
      <c r="E33" s="4"/>
      <c r="F33" s="4"/>
      <c r="G33" s="4"/>
      <c r="H33" s="1569"/>
      <c r="I33" s="4"/>
      <c r="J33" s="4"/>
      <c r="K33" s="4"/>
      <c r="L33" s="4"/>
      <c r="M33" s="4"/>
      <c r="N33" s="4"/>
      <c r="O33" s="4"/>
      <c r="P33" s="4"/>
      <c r="Q33" s="4"/>
      <c r="R33" s="4"/>
      <c r="S33" s="4"/>
      <c r="T33" s="4"/>
      <c r="U33" s="4"/>
      <c r="V33" s="4"/>
      <c r="W33" s="4"/>
      <c r="X33" s="4"/>
      <c r="Y33" s="4"/>
    </row>
    <row r="34" spans="1:25" s="158" customFormat="1" ht="15.75">
      <c r="A34" s="4"/>
      <c r="B34" s="14" t="s">
        <v>918</v>
      </c>
      <c r="C34" s="4"/>
      <c r="D34" s="4"/>
      <c r="E34" s="4"/>
      <c r="F34" s="4"/>
      <c r="G34" s="4"/>
      <c r="H34" s="1569"/>
      <c r="I34" s="4"/>
      <c r="J34" s="4"/>
      <c r="K34" s="4"/>
      <c r="L34" s="4"/>
      <c r="M34" s="4"/>
      <c r="N34" s="4"/>
      <c r="O34" s="4"/>
      <c r="P34" s="4"/>
      <c r="Q34" s="4"/>
      <c r="R34" s="4"/>
      <c r="S34" s="4"/>
      <c r="T34" s="4"/>
      <c r="U34" s="4"/>
      <c r="V34" s="4"/>
      <c r="W34" s="4"/>
      <c r="X34" s="4"/>
      <c r="Y34" s="4"/>
    </row>
    <row r="35" spans="1:25" s="158" customFormat="1" ht="15">
      <c r="A35" s="4"/>
      <c r="B35" s="20"/>
      <c r="C35" s="4"/>
      <c r="D35" s="4"/>
      <c r="E35" s="4"/>
      <c r="F35" s="4"/>
      <c r="G35" s="4"/>
      <c r="H35" s="4"/>
      <c r="I35" s="4"/>
      <c r="J35" s="4"/>
      <c r="K35" s="4"/>
      <c r="L35" s="4"/>
      <c r="M35" s="4"/>
      <c r="N35" s="4"/>
      <c r="O35" s="4"/>
      <c r="P35" s="4"/>
      <c r="Q35" s="4"/>
      <c r="R35" s="4"/>
      <c r="S35" s="4"/>
      <c r="T35" s="4"/>
      <c r="U35" s="4"/>
      <c r="V35" s="4"/>
      <c r="W35" s="4"/>
      <c r="X35" s="4"/>
      <c r="Y35" s="4"/>
    </row>
    <row r="36" spans="1:25" s="158" customFormat="1" ht="15.75">
      <c r="A36" s="4"/>
      <c r="B36" s="14" t="s">
        <v>919</v>
      </c>
      <c r="C36" s="4"/>
      <c r="D36" s="4"/>
      <c r="E36" s="4"/>
      <c r="F36" s="4"/>
      <c r="G36" s="4"/>
      <c r="H36" s="4"/>
      <c r="I36" s="4"/>
      <c r="J36" s="4"/>
      <c r="K36" s="4"/>
      <c r="L36" s="4"/>
      <c r="M36" s="4"/>
      <c r="N36" s="4"/>
      <c r="O36" s="4"/>
      <c r="P36" s="4"/>
      <c r="Q36" s="4"/>
      <c r="R36" s="4"/>
      <c r="S36" s="4"/>
      <c r="T36" s="4"/>
      <c r="U36" s="4"/>
      <c r="V36" s="4"/>
      <c r="W36" s="4"/>
      <c r="X36" s="4"/>
      <c r="Y36" s="4"/>
    </row>
    <row r="37" spans="1:25" s="158" customFormat="1" ht="15">
      <c r="A37" s="4"/>
      <c r="B37" s="20"/>
      <c r="C37" s="4"/>
      <c r="D37" s="4"/>
      <c r="E37" s="4"/>
      <c r="F37" s="4"/>
      <c r="G37" s="4"/>
      <c r="H37" s="4"/>
      <c r="I37" s="4"/>
      <c r="J37" s="4"/>
      <c r="K37" s="4"/>
      <c r="L37" s="4"/>
      <c r="M37" s="4"/>
      <c r="N37" s="4"/>
      <c r="O37" s="4"/>
      <c r="P37" s="4"/>
      <c r="Q37" s="4"/>
      <c r="R37" s="4"/>
      <c r="S37" s="4"/>
      <c r="T37" s="4"/>
      <c r="U37" s="4"/>
      <c r="V37" s="4"/>
      <c r="W37" s="4"/>
      <c r="X37" s="4"/>
      <c r="Y37" s="4"/>
    </row>
    <row r="38" spans="1:25" s="158" customFormat="1" ht="15.75">
      <c r="A38" s="4"/>
      <c r="B38" s="1022" t="s">
        <v>1065</v>
      </c>
      <c r="C38" s="4"/>
      <c r="D38" s="1015"/>
      <c r="E38" s="4"/>
      <c r="F38" s="4"/>
      <c r="G38" s="4"/>
      <c r="H38" s="4"/>
      <c r="I38" s="4"/>
      <c r="J38" s="4"/>
      <c r="K38" s="4"/>
      <c r="L38" s="4"/>
      <c r="M38" s="4"/>
      <c r="N38" s="4"/>
      <c r="O38" s="4"/>
      <c r="P38" s="4"/>
      <c r="Q38" s="4"/>
      <c r="R38" s="4"/>
      <c r="S38" s="4"/>
      <c r="T38" s="4"/>
      <c r="U38" s="4"/>
      <c r="V38" s="4"/>
      <c r="W38" s="4"/>
      <c r="X38" s="4"/>
      <c r="Y38" s="4"/>
    </row>
    <row r="39" spans="1:25" s="158" customFormat="1" ht="15">
      <c r="A39" s="4"/>
      <c r="B39" s="20"/>
      <c r="C39" s="4"/>
      <c r="D39" s="4"/>
      <c r="E39" s="4"/>
      <c r="F39" s="4"/>
      <c r="G39" s="4"/>
      <c r="H39" s="4"/>
      <c r="I39" s="4"/>
      <c r="J39" s="4"/>
      <c r="K39" s="4"/>
      <c r="L39" s="4"/>
      <c r="M39" s="4"/>
      <c r="N39" s="4"/>
      <c r="O39" s="4"/>
      <c r="P39" s="4"/>
      <c r="Q39" s="4"/>
      <c r="R39" s="4"/>
      <c r="S39" s="4"/>
      <c r="T39" s="4"/>
      <c r="U39" s="4"/>
      <c r="V39" s="4"/>
      <c r="W39" s="4"/>
      <c r="X39" s="4"/>
      <c r="Y39" s="4"/>
    </row>
    <row r="40" spans="1:25" s="158" customFormat="1" ht="15.75">
      <c r="A40" s="4"/>
      <c r="B40" s="1022" t="s">
        <v>922</v>
      </c>
      <c r="C40" s="4"/>
      <c r="D40" s="4"/>
      <c r="E40" s="4"/>
      <c r="F40" s="4"/>
      <c r="G40" s="4"/>
      <c r="H40" s="4"/>
      <c r="I40" s="4"/>
      <c r="J40" s="4"/>
      <c r="K40" s="4"/>
      <c r="L40" s="4"/>
      <c r="M40" s="4"/>
      <c r="N40" s="4"/>
      <c r="O40" s="4"/>
      <c r="P40" s="4"/>
      <c r="Q40" s="4"/>
      <c r="R40" s="4"/>
      <c r="S40" s="4"/>
      <c r="T40" s="4"/>
      <c r="U40" s="4"/>
      <c r="V40" s="4"/>
      <c r="W40" s="4"/>
      <c r="X40" s="4"/>
      <c r="Y40" s="4"/>
    </row>
    <row r="41" spans="1:25" s="158" customFormat="1" ht="15">
      <c r="A41" s="4"/>
      <c r="B41" s="20"/>
      <c r="C41" s="4"/>
      <c r="D41" s="4"/>
      <c r="E41" s="4"/>
      <c r="F41" s="4"/>
      <c r="G41" s="4"/>
      <c r="H41" s="4"/>
      <c r="I41" s="4"/>
      <c r="J41" s="4"/>
      <c r="K41" s="4"/>
      <c r="L41" s="4"/>
      <c r="M41" s="4"/>
      <c r="N41" s="4"/>
      <c r="O41" s="4"/>
      <c r="P41" s="4"/>
      <c r="Q41" s="4"/>
      <c r="R41" s="4"/>
      <c r="S41" s="4"/>
      <c r="T41" s="4"/>
      <c r="U41" s="4"/>
      <c r="V41" s="4"/>
      <c r="W41" s="4"/>
      <c r="X41" s="4"/>
      <c r="Y41" s="4"/>
    </row>
    <row r="42" spans="1:25" s="158" customFormat="1" ht="15.75">
      <c r="A42" s="4"/>
      <c r="B42" s="14" t="s">
        <v>1803</v>
      </c>
      <c r="C42" s="4"/>
      <c r="D42" s="4"/>
      <c r="E42" s="4"/>
      <c r="F42" s="4"/>
      <c r="G42" s="4"/>
      <c r="H42" s="4"/>
      <c r="I42" s="4"/>
      <c r="J42" s="4"/>
      <c r="K42" s="4"/>
      <c r="L42" s="4"/>
      <c r="M42" s="4"/>
      <c r="N42" s="4"/>
      <c r="O42" s="4"/>
      <c r="P42" s="4"/>
      <c r="Q42" s="4"/>
      <c r="R42" s="4"/>
      <c r="S42" s="4"/>
      <c r="T42" s="4"/>
      <c r="U42" s="4"/>
      <c r="V42" s="4"/>
      <c r="W42" s="4"/>
      <c r="X42" s="4"/>
      <c r="Y42" s="4"/>
    </row>
    <row r="43" spans="1:25" s="158" customFormat="1" ht="15">
      <c r="A43" s="4"/>
      <c r="B43" s="20"/>
      <c r="C43" s="4"/>
      <c r="D43" s="4"/>
      <c r="E43" s="4"/>
      <c r="F43" s="4"/>
      <c r="G43" s="4"/>
      <c r="H43" s="4"/>
      <c r="I43" s="4"/>
      <c r="J43" s="4"/>
      <c r="K43" s="4"/>
      <c r="L43" s="4"/>
      <c r="M43" s="4"/>
      <c r="N43" s="4"/>
      <c r="O43" s="4"/>
      <c r="P43" s="4"/>
      <c r="Q43" s="4"/>
      <c r="R43" s="4"/>
      <c r="S43" s="4"/>
      <c r="T43" s="4"/>
      <c r="U43" s="4"/>
      <c r="V43" s="4"/>
      <c r="W43" s="4"/>
      <c r="X43" s="4"/>
      <c r="Y43" s="4"/>
    </row>
    <row r="44" spans="1:25" s="158" customFormat="1" ht="15.75">
      <c r="A44" s="4"/>
      <c r="B44" s="14" t="s">
        <v>1711</v>
      </c>
      <c r="C44" s="4"/>
      <c r="D44" s="4"/>
      <c r="E44" s="4"/>
      <c r="F44" s="4"/>
      <c r="G44" s="4"/>
      <c r="H44" s="4"/>
      <c r="I44" s="4"/>
      <c r="J44" s="4"/>
      <c r="K44" s="4"/>
      <c r="L44" s="4"/>
      <c r="M44" s="4"/>
      <c r="N44" s="4"/>
      <c r="O44" s="4"/>
      <c r="P44" s="4"/>
      <c r="Q44" s="4"/>
      <c r="R44" s="4"/>
      <c r="S44" s="4"/>
      <c r="T44" s="4"/>
      <c r="U44" s="4"/>
      <c r="V44" s="4"/>
      <c r="W44" s="4"/>
      <c r="X44" s="4"/>
      <c r="Y44" s="4"/>
    </row>
    <row r="45" spans="1:25" s="158" customFormat="1" ht="15">
      <c r="A45" s="4"/>
      <c r="B45" s="20"/>
      <c r="C45" s="4"/>
      <c r="D45" s="4"/>
      <c r="E45" s="4"/>
      <c r="F45" s="4"/>
      <c r="G45" s="4"/>
      <c r="H45" s="4"/>
      <c r="I45" s="4"/>
      <c r="J45" s="4"/>
      <c r="K45" s="4"/>
      <c r="L45" s="4"/>
      <c r="M45" s="4"/>
      <c r="N45" s="4"/>
      <c r="O45" s="4"/>
      <c r="P45" s="4"/>
      <c r="Q45" s="4"/>
      <c r="R45" s="4"/>
      <c r="S45" s="4"/>
      <c r="T45" s="4"/>
      <c r="U45" s="4"/>
      <c r="V45" s="4"/>
      <c r="W45" s="4"/>
      <c r="X45" s="4"/>
      <c r="Y45" s="4"/>
    </row>
    <row r="46" spans="1:25" s="158" customFormat="1" ht="15.75">
      <c r="A46" s="4"/>
      <c r="B46" s="14" t="s">
        <v>1772</v>
      </c>
      <c r="C46" s="4"/>
      <c r="D46" s="4"/>
      <c r="E46" s="4"/>
      <c r="F46" s="4"/>
      <c r="G46" s="4"/>
      <c r="H46" s="4"/>
      <c r="I46" s="4"/>
      <c r="J46" s="4"/>
      <c r="K46" s="4"/>
      <c r="L46" s="4"/>
      <c r="M46" s="4"/>
      <c r="N46" s="4"/>
      <c r="O46" s="4"/>
      <c r="P46" s="4"/>
      <c r="Q46" s="4"/>
      <c r="R46" s="4"/>
      <c r="S46" s="4"/>
      <c r="T46" s="4"/>
      <c r="U46" s="4"/>
      <c r="V46" s="4"/>
      <c r="W46" s="4"/>
      <c r="X46" s="4"/>
      <c r="Y46" s="4"/>
    </row>
    <row r="47" spans="1:25" s="158" customFormat="1" ht="15">
      <c r="A47" s="4"/>
      <c r="B47" s="4"/>
      <c r="C47" s="648" t="s">
        <v>578</v>
      </c>
      <c r="D47" s="648" t="s">
        <v>579</v>
      </c>
      <c r="E47" s="4"/>
      <c r="F47" s="4"/>
      <c r="G47" s="4"/>
      <c r="H47" s="4"/>
      <c r="I47" s="4"/>
      <c r="J47" s="4"/>
      <c r="K47" s="4"/>
      <c r="L47" s="4"/>
      <c r="M47" s="4"/>
      <c r="N47" s="4"/>
      <c r="O47" s="4"/>
      <c r="P47" s="4"/>
      <c r="Q47" s="4"/>
      <c r="R47" s="4"/>
      <c r="S47" s="4"/>
      <c r="T47" s="4"/>
      <c r="U47" s="4"/>
      <c r="V47" s="4"/>
      <c r="W47" s="4"/>
      <c r="X47" s="4"/>
      <c r="Y47" s="4"/>
    </row>
    <row r="48" spans="1:25" s="158" customFormat="1" ht="15">
      <c r="A48" s="4"/>
      <c r="B48" s="4"/>
      <c r="C48" s="649"/>
      <c r="D48" s="649"/>
      <c r="E48" s="4"/>
      <c r="F48" s="4"/>
      <c r="G48" s="4"/>
      <c r="H48" s="4"/>
      <c r="I48" s="4"/>
      <c r="J48" s="4"/>
      <c r="K48" s="4"/>
      <c r="L48" s="4"/>
      <c r="M48" s="4"/>
      <c r="N48" s="4"/>
      <c r="O48" s="4"/>
      <c r="P48" s="4"/>
      <c r="Q48" s="4"/>
      <c r="R48" s="4"/>
      <c r="S48" s="4"/>
      <c r="T48" s="4"/>
      <c r="U48" s="4"/>
      <c r="V48" s="4"/>
      <c r="W48" s="4"/>
      <c r="X48" s="4"/>
      <c r="Y48" s="4"/>
    </row>
    <row r="49" spans="1:25" s="158" customFormat="1" ht="15">
      <c r="A49" s="4"/>
      <c r="B49" s="4"/>
      <c r="C49" s="649"/>
      <c r="D49" s="649"/>
      <c r="E49" s="4"/>
      <c r="F49" s="4"/>
      <c r="G49" s="4"/>
      <c r="H49" s="4"/>
      <c r="I49" s="4"/>
      <c r="J49" s="4"/>
      <c r="K49" s="4"/>
      <c r="L49" s="4"/>
      <c r="M49" s="4"/>
      <c r="N49" s="4"/>
      <c r="O49" s="4"/>
      <c r="P49" s="4"/>
      <c r="Q49" s="4"/>
      <c r="R49" s="4"/>
      <c r="S49" s="4"/>
      <c r="T49" s="4"/>
      <c r="U49" s="4"/>
      <c r="V49" s="4"/>
      <c r="W49" s="4"/>
      <c r="X49" s="4"/>
      <c r="Y49" s="4"/>
    </row>
    <row r="50" spans="1:25" s="158" customFormat="1" ht="15">
      <c r="A50" s="4"/>
      <c r="B50" s="4"/>
      <c r="C50" s="649"/>
      <c r="D50" s="649"/>
      <c r="E50" s="4"/>
      <c r="F50" s="4"/>
      <c r="G50" s="4"/>
      <c r="H50" s="4"/>
      <c r="I50" s="4"/>
      <c r="J50" s="4"/>
      <c r="K50" s="4"/>
      <c r="L50" s="4"/>
      <c r="M50" s="4"/>
      <c r="N50" s="4"/>
      <c r="O50" s="4"/>
      <c r="P50" s="4"/>
      <c r="Q50" s="4"/>
      <c r="R50" s="4"/>
      <c r="S50" s="4"/>
      <c r="T50" s="4"/>
      <c r="U50" s="4"/>
      <c r="V50" s="4"/>
      <c r="W50" s="4"/>
      <c r="X50" s="4"/>
      <c r="Y50" s="4"/>
    </row>
    <row r="51" spans="1:25" s="8" customFormat="1" ht="15">
      <c r="A51" s="7"/>
      <c r="B51" s="7"/>
      <c r="C51" s="7"/>
      <c r="D51" s="7"/>
      <c r="E51" s="7"/>
      <c r="F51" s="7"/>
      <c r="G51" s="7"/>
      <c r="H51" s="7"/>
      <c r="I51" s="7"/>
      <c r="J51" s="7"/>
      <c r="K51" s="7"/>
      <c r="L51" s="7"/>
      <c r="M51" s="7"/>
      <c r="N51" s="7"/>
      <c r="O51" s="7"/>
      <c r="P51" s="7"/>
      <c r="Q51" s="7"/>
      <c r="R51" s="7"/>
      <c r="S51" s="7"/>
      <c r="T51" s="7"/>
      <c r="U51" s="7"/>
      <c r="V51" s="7"/>
      <c r="W51" s="7"/>
      <c r="X51" s="7"/>
      <c r="Y51" s="7"/>
    </row>
    <row r="52" spans="1:25" s="8" customFormat="1" ht="15">
      <c r="A52" s="7"/>
      <c r="B52" s="7"/>
      <c r="C52" s="7"/>
      <c r="D52" s="7"/>
      <c r="E52" s="7"/>
      <c r="F52" s="7"/>
      <c r="G52" s="7"/>
      <c r="H52" s="7"/>
      <c r="I52" s="7"/>
      <c r="J52" s="7"/>
      <c r="K52" s="7"/>
      <c r="L52" s="7"/>
      <c r="M52" s="7"/>
      <c r="N52" s="7"/>
      <c r="O52" s="7"/>
      <c r="P52" s="7"/>
      <c r="Q52" s="7"/>
      <c r="R52" s="7"/>
      <c r="S52" s="7"/>
      <c r="T52" s="7"/>
      <c r="U52" s="7"/>
      <c r="V52" s="7"/>
      <c r="W52" s="7"/>
      <c r="X52" s="7"/>
      <c r="Y52" s="7"/>
    </row>
    <row r="53" spans="1:25" s="8" customFormat="1" ht="15"/>
    <row r="54" spans="1:25" s="8" customFormat="1" ht="15"/>
    <row r="55" spans="1:25" s="8" customFormat="1" ht="15"/>
    <row r="56" spans="1:25" s="8" customFormat="1" ht="15"/>
    <row r="57" spans="1:25" s="8" customFormat="1" ht="15"/>
    <row r="58" spans="1:25" s="8" customFormat="1" ht="15"/>
    <row r="59" spans="1:25" s="8" customFormat="1" ht="15"/>
    <row r="60" spans="1:25" s="8" customFormat="1" ht="15"/>
    <row r="61" spans="1:25" s="8" customFormat="1" ht="15"/>
    <row r="62" spans="1:25" s="8" customFormat="1" ht="15"/>
    <row r="63" spans="1:25" s="8" customFormat="1" ht="15"/>
    <row r="64" spans="1:25"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sheetData>
  <customSheetViews>
    <customSheetView guid="{B321D76C-CDE5-48BB-9CDE-80FF97D58FCF}" scale="70" colorId="22" showPageBreaks="1" showGridLines="0" fitToPage="1" printArea="1" view="pageBreakPreview" topLeftCell="A7">
      <selection activeCell="H38" sqref="H38"/>
      <pageMargins left="0.25" right="0.25" top="0.5" bottom="0.5" header="0.5" footer="0.5"/>
      <printOptions horizontalCentered="1"/>
      <pageSetup scale="57" orientation="landscape" r:id="rId1"/>
      <headerFooter alignWithMargins="0"/>
    </customSheetView>
  </customSheetViews>
  <mergeCells count="5">
    <mergeCell ref="A4:Q4"/>
    <mergeCell ref="A5:Q5"/>
    <mergeCell ref="A9:Q9"/>
    <mergeCell ref="A6:Q6"/>
    <mergeCell ref="A8:Q8"/>
  </mergeCells>
  <phoneticPr fontId="0" type="noConversion"/>
  <printOptions horizontalCentered="1"/>
  <pageMargins left="0.25" right="0.25" top="0.5" bottom="0.5" header="0.5" footer="0.5"/>
  <pageSetup scale="57"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tabColor rgb="FF7030A0"/>
    <pageSetUpPr fitToPage="1"/>
  </sheetPr>
  <dimension ref="A1:L36"/>
  <sheetViews>
    <sheetView showGridLines="0" tabSelected="1" defaultGridColor="0" view="pageBreakPreview" topLeftCell="A13" colorId="22" zoomScale="83" zoomScaleNormal="70" zoomScaleSheetLayoutView="83" workbookViewId="0">
      <selection activeCell="C30" sqref="C30"/>
    </sheetView>
  </sheetViews>
  <sheetFormatPr defaultColWidth="9.5" defaultRowHeight="12"/>
  <cols>
    <col min="1" max="1" width="2.5" style="13" customWidth="1"/>
    <col min="2" max="2" width="9.5" style="13" customWidth="1"/>
    <col min="3" max="3" width="30.5" style="13" bestFit="1" customWidth="1"/>
    <col min="4" max="4" width="26.5" style="13" bestFit="1" customWidth="1"/>
    <col min="5" max="5" width="6.75" style="13" customWidth="1"/>
    <col min="6" max="6" width="14.5" style="13" bestFit="1" customWidth="1"/>
    <col min="7" max="7" width="6.125" style="13" customWidth="1"/>
    <col min="8" max="8" width="15" style="13" customWidth="1"/>
    <col min="9" max="9" width="5" style="13" customWidth="1"/>
    <col min="10" max="10" width="24.375" style="13" bestFit="1" customWidth="1"/>
    <col min="11" max="11" width="29.125" style="13" customWidth="1"/>
    <col min="12" max="12" width="5.5" style="13" customWidth="1"/>
    <col min="13" max="16384" width="9.5" style="13"/>
  </cols>
  <sheetData>
    <row r="1" spans="1:12" s="103" customFormat="1" ht="15.75">
      <c r="A1" s="167" t="s">
        <v>921</v>
      </c>
      <c r="B1" s="159"/>
      <c r="C1" s="104"/>
      <c r="J1" s="159"/>
      <c r="L1" s="105"/>
    </row>
    <row r="2" spans="1:12" ht="15.75">
      <c r="A2" s="20"/>
      <c r="C2" s="14"/>
      <c r="D2" s="20"/>
      <c r="E2" s="20"/>
      <c r="F2" s="20"/>
      <c r="G2" s="20"/>
      <c r="H2" s="20"/>
    </row>
    <row r="3" spans="1:12" ht="15">
      <c r="A3" s="20"/>
      <c r="B3" s="20"/>
      <c r="D3" s="20"/>
      <c r="E3" s="20"/>
      <c r="F3" s="20"/>
      <c r="G3" s="20"/>
      <c r="H3" s="20"/>
      <c r="I3" s="20"/>
      <c r="J3" s="20"/>
    </row>
    <row r="6" spans="1:12" ht="15.75">
      <c r="A6" s="1799" t="s">
        <v>199</v>
      </c>
      <c r="B6" s="1799"/>
      <c r="C6" s="1799"/>
      <c r="D6" s="1799"/>
      <c r="E6" s="1799"/>
      <c r="F6" s="1799"/>
      <c r="G6" s="1799"/>
      <c r="H6" s="1799"/>
      <c r="I6" s="1799"/>
      <c r="J6" s="1799"/>
      <c r="K6" s="1799"/>
      <c r="L6" s="1799"/>
    </row>
    <row r="7" spans="1:12" ht="15.75">
      <c r="A7" s="1799" t="s">
        <v>103</v>
      </c>
      <c r="B7" s="1799"/>
      <c r="C7" s="1799"/>
      <c r="D7" s="1799"/>
      <c r="E7" s="1799"/>
      <c r="F7" s="1799"/>
      <c r="G7" s="1799"/>
      <c r="H7" s="1799"/>
      <c r="I7" s="1799"/>
      <c r="J7" s="1799"/>
      <c r="K7" s="1799"/>
      <c r="L7" s="1799"/>
    </row>
    <row r="8" spans="1:12" ht="15.75">
      <c r="A8" s="1785" t="str">
        <f>SUMMARY!A7</f>
        <v>YEAR ENDING DECEMBER 31, 2018</v>
      </c>
      <c r="B8" s="1785"/>
      <c r="C8" s="1785"/>
      <c r="D8" s="1785"/>
      <c r="E8" s="1785"/>
      <c r="F8" s="1785"/>
      <c r="G8" s="1785"/>
      <c r="H8" s="1785"/>
      <c r="I8" s="1785"/>
      <c r="J8" s="1785"/>
      <c r="K8" s="1785"/>
      <c r="L8" s="1785"/>
    </row>
    <row r="9" spans="1:12" ht="15.75">
      <c r="A9" s="312"/>
      <c r="B9" s="312"/>
      <c r="C9" s="312"/>
      <c r="D9" s="312"/>
      <c r="E9" s="312"/>
      <c r="F9" s="312"/>
      <c r="G9" s="312"/>
      <c r="H9" s="312"/>
      <c r="I9" s="312"/>
      <c r="J9" s="312"/>
      <c r="K9" s="312"/>
      <c r="L9" s="312"/>
    </row>
    <row r="10" spans="1:12" ht="15.75">
      <c r="A10" s="1800" t="s">
        <v>920</v>
      </c>
      <c r="B10" s="1800"/>
      <c r="C10" s="1800"/>
      <c r="D10" s="1800"/>
      <c r="E10" s="1800"/>
      <c r="F10" s="1800"/>
      <c r="G10" s="1800"/>
      <c r="H10" s="1800"/>
      <c r="I10" s="1800"/>
      <c r="J10" s="1800"/>
      <c r="K10" s="1800"/>
      <c r="L10" s="1800"/>
    </row>
    <row r="11" spans="1:12" ht="15.75">
      <c r="A11" s="1799" t="s">
        <v>748</v>
      </c>
      <c r="B11" s="1799"/>
      <c r="C11" s="1799"/>
      <c r="D11" s="1799"/>
      <c r="E11" s="1799"/>
      <c r="F11" s="1799"/>
      <c r="G11" s="1799"/>
      <c r="H11" s="1799"/>
      <c r="I11" s="1799"/>
      <c r="J11" s="1799"/>
      <c r="K11" s="1799"/>
      <c r="L11" s="1799"/>
    </row>
    <row r="12" spans="1:12" ht="15.75">
      <c r="A12" s="1799"/>
      <c r="B12" s="1799"/>
      <c r="C12" s="1799"/>
      <c r="D12" s="1799"/>
      <c r="E12" s="1799"/>
      <c r="F12" s="1799"/>
      <c r="G12" s="1799"/>
      <c r="H12" s="1799"/>
      <c r="I12" s="1799"/>
      <c r="J12" s="1799"/>
      <c r="K12" s="1799"/>
      <c r="L12" s="1799"/>
    </row>
    <row r="14" spans="1:12" s="27" customFormat="1" ht="12.75"/>
    <row r="15" spans="1:12" s="27" customFormat="1" ht="15.75">
      <c r="H15" s="759"/>
    </row>
    <row r="16" spans="1:12" s="933" customFormat="1" ht="15.75">
      <c r="A16" s="21"/>
      <c r="B16" s="21"/>
      <c r="C16" s="21"/>
      <c r="D16" s="1254" t="s">
        <v>834</v>
      </c>
      <c r="E16" s="21"/>
      <c r="F16" s="1254" t="s">
        <v>835</v>
      </c>
      <c r="G16" s="21"/>
      <c r="H16" s="1023" t="s">
        <v>837</v>
      </c>
      <c r="I16" s="21"/>
      <c r="J16" s="1024"/>
    </row>
    <row r="17" spans="1:10" s="933" customFormat="1" ht="15.75">
      <c r="A17" s="21"/>
      <c r="B17" s="893" t="s">
        <v>1</v>
      </c>
      <c r="C17" s="893" t="s">
        <v>54</v>
      </c>
      <c r="D17" s="893" t="s">
        <v>1775</v>
      </c>
      <c r="E17" s="1258"/>
      <c r="F17" s="893" t="s">
        <v>1776</v>
      </c>
      <c r="G17" s="1258"/>
      <c r="H17" s="1024" t="s">
        <v>836</v>
      </c>
      <c r="I17" s="1258"/>
      <c r="J17" s="1024" t="s">
        <v>55</v>
      </c>
    </row>
    <row r="18" spans="1:10" s="27" customFormat="1" ht="15.75">
      <c r="A18" s="20"/>
      <c r="C18" s="20"/>
      <c r="D18" s="1025" t="s">
        <v>192</v>
      </c>
      <c r="E18" s="20"/>
      <c r="F18" s="1025" t="s">
        <v>193</v>
      </c>
      <c r="G18" s="20"/>
      <c r="H18" s="1025" t="s">
        <v>194</v>
      </c>
      <c r="I18" s="20"/>
      <c r="J18" s="1025" t="s">
        <v>195</v>
      </c>
    </row>
    <row r="19" spans="1:10" s="27" customFormat="1" ht="12.75"/>
    <row r="20" spans="1:10" s="27" customFormat="1" ht="12.75">
      <c r="H20" s="206"/>
    </row>
    <row r="21" spans="1:10" s="27" customFormat="1" ht="15.75">
      <c r="A21" s="20"/>
      <c r="B21" s="1254">
        <v>1</v>
      </c>
      <c r="C21" s="759" t="s">
        <v>1106</v>
      </c>
      <c r="D21" s="1026">
        <f>+'WP-DA'!K14</f>
        <v>0.5</v>
      </c>
      <c r="E21" s="20"/>
      <c r="F21" s="1027">
        <f>'WP-DA'!M14</f>
        <v>5.0521913022541783E-2</v>
      </c>
      <c r="G21" s="20"/>
      <c r="H21" s="1027">
        <f>D21*F21</f>
        <v>2.5260956511270891E-2</v>
      </c>
      <c r="I21" s="20"/>
      <c r="J21" s="20" t="s">
        <v>750</v>
      </c>
    </row>
    <row r="22" spans="1:10" s="27" customFormat="1" ht="15">
      <c r="A22" s="20"/>
      <c r="B22" s="21"/>
      <c r="C22" s="20"/>
      <c r="D22" s="1028"/>
      <c r="E22" s="20"/>
      <c r="F22" s="1029"/>
      <c r="G22" s="20"/>
      <c r="H22" s="1029"/>
      <c r="I22" s="20"/>
      <c r="J22" s="20"/>
    </row>
    <row r="23" spans="1:10" s="27" customFormat="1" ht="15.75">
      <c r="A23" s="20"/>
      <c r="B23" s="1254">
        <v>2</v>
      </c>
      <c r="C23" s="893" t="s">
        <v>56</v>
      </c>
      <c r="D23" s="1030">
        <f>+'WP-DA'!K18</f>
        <v>0.5</v>
      </c>
      <c r="E23" s="20"/>
      <c r="F23" s="1031">
        <f>'WP-DA'!M18</f>
        <v>9.4500000000000001E-2</v>
      </c>
      <c r="G23" s="20"/>
      <c r="H23" s="1673">
        <f>D23*F23</f>
        <v>4.725E-2</v>
      </c>
      <c r="I23" s="20"/>
      <c r="J23" s="20" t="s">
        <v>750</v>
      </c>
    </row>
    <row r="24" spans="1:10" s="27" customFormat="1" ht="15">
      <c r="A24" s="20"/>
      <c r="B24" s="21"/>
      <c r="C24" s="20"/>
      <c r="D24" s="1028"/>
      <c r="E24" s="20"/>
      <c r="F24" s="20"/>
      <c r="G24" s="20"/>
      <c r="H24" s="1029"/>
      <c r="I24" s="20"/>
      <c r="J24" s="20"/>
    </row>
    <row r="25" spans="1:10" s="27" customFormat="1" ht="15.75">
      <c r="A25" s="20"/>
      <c r="B25" s="1254">
        <v>3</v>
      </c>
      <c r="C25" s="759" t="s">
        <v>57</v>
      </c>
      <c r="D25" s="1026">
        <f>SUM(D21:D23)</f>
        <v>1</v>
      </c>
      <c r="E25" s="20"/>
      <c r="F25" s="20"/>
      <c r="G25" s="20"/>
      <c r="H25" s="1640">
        <f>SUM(H21:H23)</f>
        <v>7.2510956511270888E-2</v>
      </c>
      <c r="I25" s="20"/>
      <c r="J25" s="20" t="s">
        <v>751</v>
      </c>
    </row>
    <row r="26" spans="1:10" s="27" customFormat="1" ht="12.75">
      <c r="H26" s="206"/>
    </row>
    <row r="27" spans="1:10" s="27" customFormat="1" ht="12.75"/>
    <row r="28" spans="1:10" s="100" customFormat="1" ht="15">
      <c r="B28" s="100" t="s">
        <v>341</v>
      </c>
    </row>
    <row r="29" spans="1:10" s="100" customFormat="1" ht="15">
      <c r="B29" s="100" t="s">
        <v>1793</v>
      </c>
    </row>
    <row r="30" spans="1:10" s="100" customFormat="1" ht="15">
      <c r="B30" s="100" t="s">
        <v>1787</v>
      </c>
    </row>
    <row r="31" spans="1:10" s="100" customFormat="1" ht="15">
      <c r="B31" s="100" t="s">
        <v>1792</v>
      </c>
    </row>
    <row r="32" spans="1:10" s="100" customFormat="1" ht="15">
      <c r="B32" s="100" t="s">
        <v>1788</v>
      </c>
    </row>
    <row r="33" s="100" customFormat="1" ht="15"/>
    <row r="34" s="100" customFormat="1" ht="15"/>
    <row r="35" s="100" customFormat="1" ht="15"/>
    <row r="36" s="100" customFormat="1" ht="15"/>
  </sheetData>
  <customSheetViews>
    <customSheetView guid="{B321D76C-CDE5-48BB-9CDE-80FF97D58FCF}" colorId="22" showPageBreaks="1" showGridLines="0" fitToPage="1" printArea="1" view="pageBreakPreview" topLeftCell="A13">
      <selection activeCell="B29" sqref="B29"/>
      <pageMargins left="0.25" right="0.25" top="0.25" bottom="0.25" header="0.5" footer="0.5"/>
      <printOptions horizontalCentered="1"/>
      <pageSetup scale="77" orientation="landscape" r:id="rId1"/>
      <headerFooter alignWithMargins="0"/>
    </customSheetView>
  </customSheetViews>
  <mergeCells count="6">
    <mergeCell ref="A12:L12"/>
    <mergeCell ref="A6:L6"/>
    <mergeCell ref="A7:L7"/>
    <mergeCell ref="A11:L11"/>
    <mergeCell ref="A10:L10"/>
    <mergeCell ref="A8:L8"/>
  </mergeCells>
  <phoneticPr fontId="0" type="noConversion"/>
  <printOptions horizontalCentered="1"/>
  <pageMargins left="0.25" right="0.25" top="0.25" bottom="0.25" header="0.5" footer="0.5"/>
  <pageSetup scale="77"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47</vt:i4>
      </vt:variant>
    </vt:vector>
  </HeadingPairs>
  <TitlesOfParts>
    <vt:vector size="88" baseType="lpstr">
      <vt:lpstr>Index</vt:lpstr>
      <vt:lpstr>SUMMARY</vt:lpstr>
      <vt:lpstr>A1-O&amp;M</vt:lpstr>
      <vt:lpstr>A2-A&amp;G</vt:lpstr>
      <vt:lpstr>B1-Depn</vt:lpstr>
      <vt:lpstr>B2-Plant</vt:lpstr>
      <vt:lpstr>B3-Depn Rates</vt:lpstr>
      <vt:lpstr>C1-Rate Base</vt:lpstr>
      <vt:lpstr>D1-Cap Structure</vt:lpstr>
      <vt:lpstr>D2-Project Cap Structures</vt:lpstr>
      <vt:lpstr>E1-Labor Ratio</vt:lpstr>
      <vt:lpstr>F1-Proj RR</vt:lpstr>
      <vt:lpstr>F2-Incentives</vt:lpstr>
      <vt:lpstr>F3-True-Up</vt:lpstr>
      <vt:lpstr>WP-AA</vt:lpstr>
      <vt:lpstr>WP-AB</vt:lpstr>
      <vt:lpstr>WP-AC</vt:lpstr>
      <vt:lpstr>WP-AD</vt:lpstr>
      <vt:lpstr>WP-AE</vt:lpstr>
      <vt:lpstr>WP-AF</vt:lpstr>
      <vt:lpstr>WP-AG</vt:lpstr>
      <vt:lpstr>WP-AH</vt:lpstr>
      <vt:lpstr>WP-AI</vt:lpstr>
      <vt:lpstr>WP-BA</vt:lpstr>
      <vt:lpstr>WP-BB</vt:lpstr>
      <vt:lpstr>WP-BC</vt:lpstr>
      <vt:lpstr>WP-BD</vt:lpstr>
      <vt:lpstr>WP-BE</vt:lpstr>
      <vt:lpstr>WP-BF</vt:lpstr>
      <vt:lpstr>WP-BG</vt:lpstr>
      <vt:lpstr>WP-BH</vt:lpstr>
      <vt:lpstr>WP-BI</vt:lpstr>
      <vt:lpstr>WP-CA</vt:lpstr>
      <vt:lpstr>WP-CB</vt:lpstr>
      <vt:lpstr>WP-DA</vt:lpstr>
      <vt:lpstr>WP-DB</vt:lpstr>
      <vt:lpstr>WP-EA</vt:lpstr>
      <vt:lpstr>WP-AR-IS</vt:lpstr>
      <vt:lpstr>WP-AR-BS</vt:lpstr>
      <vt:lpstr>WP-AR-Cap Assets</vt:lpstr>
      <vt:lpstr>WP-Reconciliations</vt:lpstr>
      <vt:lpstr>'A1-O&amp;M'!Print_Area</vt:lpstr>
      <vt:lpstr>'A2-A&amp;G'!Print_Area</vt:lpstr>
      <vt:lpstr>'B1-Depn'!Print_Area</vt:lpstr>
      <vt:lpstr>'B2-Plant'!Print_Area</vt:lpstr>
      <vt:lpstr>'B3-Depn Rates'!Print_Area</vt:lpstr>
      <vt:lpstr>'C1-Rate Base'!Print_Area</vt:lpstr>
      <vt:lpstr>'D1-Cap Structure'!Print_Area</vt:lpstr>
      <vt:lpstr>'D2-Project Cap Structures'!Print_Area</vt:lpstr>
      <vt:lpstr>'E1-Labor Ratio'!Print_Area</vt:lpstr>
      <vt:lpstr>'F1-Proj RR'!Print_Area</vt:lpstr>
      <vt:lpstr>'F2-Incentives'!Print_Area</vt:lpstr>
      <vt:lpstr>'F3-True-Up'!Print_Area</vt:lpstr>
      <vt:lpstr>Index!Print_Area</vt:lpstr>
      <vt:lpstr>SUMMARY!Print_Area</vt:lpstr>
      <vt:lpstr>'WP-AA'!Print_Area</vt:lpstr>
      <vt:lpstr>'WP-AB'!Print_Area</vt:lpstr>
      <vt:lpstr>'WP-AC'!Print_Area</vt:lpstr>
      <vt:lpstr>'WP-AD'!Print_Area</vt:lpstr>
      <vt:lpstr>'WP-AE'!Print_Area</vt:lpstr>
      <vt:lpstr>'WP-AF'!Print_Area</vt:lpstr>
      <vt:lpstr>'WP-AG'!Print_Area</vt:lpstr>
      <vt:lpstr>'WP-AH'!Print_Area</vt:lpstr>
      <vt:lpstr>'WP-AI'!Print_Area</vt:lpstr>
      <vt:lpstr>'WP-AR-BS'!Print_Area</vt:lpstr>
      <vt:lpstr>'WP-AR-Cap Assets'!Print_Area</vt:lpstr>
      <vt:lpstr>'WP-AR-IS'!Print_Area</vt:lpstr>
      <vt:lpstr>'WP-BA'!Print_Area</vt:lpstr>
      <vt:lpstr>'WP-BB'!Print_Area</vt:lpstr>
      <vt:lpstr>'WP-BC'!Print_Area</vt:lpstr>
      <vt:lpstr>'WP-BD'!Print_Area</vt:lpstr>
      <vt:lpstr>'WP-BE'!Print_Area</vt:lpstr>
      <vt:lpstr>'WP-BF'!Print_Area</vt:lpstr>
      <vt:lpstr>'WP-BG'!Print_Area</vt:lpstr>
      <vt:lpstr>'WP-BH'!Print_Area</vt:lpstr>
      <vt:lpstr>'WP-BI'!Print_Area</vt:lpstr>
      <vt:lpstr>'WP-CA'!Print_Area</vt:lpstr>
      <vt:lpstr>'WP-CB'!Print_Area</vt:lpstr>
      <vt:lpstr>'WP-DA'!Print_Area</vt:lpstr>
      <vt:lpstr>'WP-DB'!Print_Area</vt:lpstr>
      <vt:lpstr>'WP-EA'!Print_Area</vt:lpstr>
      <vt:lpstr>'WP-Reconciliations'!Print_Area</vt:lpstr>
      <vt:lpstr>Print_Area</vt:lpstr>
      <vt:lpstr>'WP-AB'!Print_Titles</vt:lpstr>
      <vt:lpstr>'WP-AR-BS'!Print_Titles</vt:lpstr>
      <vt:lpstr>'WP-BA'!Print_Titles</vt:lpstr>
      <vt:lpstr>'WP-BB'!Print_Titles</vt:lpstr>
      <vt:lpstr>'WP-BC'!Print_Titles</vt:lpstr>
    </vt:vector>
  </TitlesOfParts>
  <Company>RSI,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Tarney</dc:creator>
  <cp:lastModifiedBy>Kamalya Marano</cp:lastModifiedBy>
  <cp:lastPrinted>2019-06-26T13:19:01Z</cp:lastPrinted>
  <dcterms:created xsi:type="dcterms:W3CDTF">1997-11-24T21:15:50Z</dcterms:created>
  <dcterms:modified xsi:type="dcterms:W3CDTF">2019-06-26T13:20:15Z</dcterms:modified>
</cp:coreProperties>
</file>